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C615D3EE-67E3-A14E-BF3E-D67133999507}" xr6:coauthVersionLast="45" xr6:coauthVersionMax="45" xr10:uidLastSave="{00000000-0000-0000-0000-000000000000}"/>
  <bookViews>
    <workbookView xWindow="0" yWindow="500" windowWidth="14400" windowHeight="16320" tabRatio="899" firstSheet="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 i="1" l="1"/>
  <c r="D33" i="43"/>
  <c r="Y6" i="1" l="1"/>
  <c r="F19" i="6"/>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U28" i="79" s="1"/>
  <c r="M28" i="79"/>
  <c r="L28" i="79"/>
  <c r="I28" i="79"/>
  <c r="AD28" i="79" s="1"/>
  <c r="AB27" i="79"/>
  <c r="AA27" i="79"/>
  <c r="Z27" i="79"/>
  <c r="N27" i="79"/>
  <c r="M27" i="79"/>
  <c r="T27" i="79" s="1"/>
  <c r="W27" i="79" s="1"/>
  <c r="L27" i="79"/>
  <c r="I27" i="79"/>
  <c r="AB26" i="79"/>
  <c r="AA26" i="79"/>
  <c r="Z26" i="79"/>
  <c r="N26" i="79"/>
  <c r="M26" i="79"/>
  <c r="L26" i="79"/>
  <c r="S26" i="79" s="1"/>
  <c r="I26" i="79"/>
  <c r="AB25" i="79"/>
  <c r="AA25" i="79"/>
  <c r="Z25" i="79"/>
  <c r="N25" i="79"/>
  <c r="M25" i="79"/>
  <c r="L25" i="79"/>
  <c r="S20" i="79" s="1"/>
  <c r="I25" i="79"/>
  <c r="AD25" i="79" s="1"/>
  <c r="AB24" i="79"/>
  <c r="AA24" i="79"/>
  <c r="Z24" i="79"/>
  <c r="N24" i="79"/>
  <c r="M24" i="79"/>
  <c r="L24" i="79"/>
  <c r="I24" i="79"/>
  <c r="AB23" i="79"/>
  <c r="AA23" i="79"/>
  <c r="Z23" i="79"/>
  <c r="N23" i="79"/>
  <c r="U23" i="79" s="1"/>
  <c r="M23" i="79"/>
  <c r="L23" i="79"/>
  <c r="I23" i="79"/>
  <c r="AD23" i="79" s="1"/>
  <c r="AB22" i="79"/>
  <c r="AB20" i="79" s="1"/>
  <c r="AA22" i="79"/>
  <c r="AA20" i="79" s="1"/>
  <c r="AD20" i="79" s="1"/>
  <c r="Z22" i="79"/>
  <c r="N22" i="79"/>
  <c r="M22" i="79"/>
  <c r="L22" i="79"/>
  <c r="I22" i="79"/>
  <c r="AD22" i="79" s="1"/>
  <c r="U20" i="79"/>
  <c r="N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P11" i="79"/>
  <c r="O11" i="79"/>
  <c r="V11" i="79" s="1"/>
  <c r="N11" i="79"/>
  <c r="M11" i="79"/>
  <c r="T11" i="79" s="1"/>
  <c r="W11" i="79" s="1"/>
  <c r="L11" i="79"/>
  <c r="S11" i="79" s="1"/>
  <c r="K11" i="79"/>
  <c r="I11" i="79"/>
  <c r="AC10" i="79"/>
  <c r="AB10" i="79"/>
  <c r="AA10" i="79"/>
  <c r="AD10" i="79" s="1"/>
  <c r="Z10" i="79"/>
  <c r="Y10" i="79"/>
  <c r="O10" i="79"/>
  <c r="V10" i="79" s="1"/>
  <c r="N10" i="79"/>
  <c r="U10" i="79" s="1"/>
  <c r="M10" i="79"/>
  <c r="P10" i="79" s="1"/>
  <c r="L10" i="79"/>
  <c r="K10" i="79"/>
  <c r="R10" i="79" s="1"/>
  <c r="I10" i="79"/>
  <c r="AC9" i="79"/>
  <c r="AB9" i="79"/>
  <c r="AA9" i="79"/>
  <c r="AD9" i="79" s="1"/>
  <c r="Z9" i="79"/>
  <c r="Y9" i="79"/>
  <c r="P9" i="79"/>
  <c r="O9" i="79"/>
  <c r="V9" i="79" s="1"/>
  <c r="N9" i="79"/>
  <c r="M9" i="79"/>
  <c r="T9" i="79" s="1"/>
  <c r="W9" i="79" s="1"/>
  <c r="L9" i="79"/>
  <c r="S9" i="79" s="1"/>
  <c r="K9" i="79"/>
  <c r="I9" i="79"/>
  <c r="AC8" i="79"/>
  <c r="AB8" i="79"/>
  <c r="AA8" i="79"/>
  <c r="AD8" i="79" s="1"/>
  <c r="Z8" i="79"/>
  <c r="Y8" i="79"/>
  <c r="O8" i="79"/>
  <c r="V8" i="79" s="1"/>
  <c r="N8" i="79"/>
  <c r="U8" i="79" s="1"/>
  <c r="M8" i="79"/>
  <c r="P8" i="79" s="1"/>
  <c r="L8" i="79"/>
  <c r="K8" i="79"/>
  <c r="R8" i="79" s="1"/>
  <c r="I8" i="79"/>
  <c r="AC7" i="79"/>
  <c r="AB7" i="79"/>
  <c r="AA7" i="79"/>
  <c r="AD7" i="79" s="1"/>
  <c r="Z7" i="79"/>
  <c r="Y7" i="79"/>
  <c r="O7" i="79"/>
  <c r="N7" i="79"/>
  <c r="U7" i="79" s="1"/>
  <c r="M7" i="79"/>
  <c r="T7" i="79" s="1"/>
  <c r="W7" i="79" s="1"/>
  <c r="L7" i="79"/>
  <c r="K7" i="79"/>
  <c r="I7" i="79"/>
  <c r="AC6" i="79"/>
  <c r="AB6" i="79"/>
  <c r="AA6" i="79"/>
  <c r="AD6" i="79" s="1"/>
  <c r="Z6" i="79"/>
  <c r="Y6" i="79"/>
  <c r="O6" i="79"/>
  <c r="N6" i="79"/>
  <c r="M6" i="79"/>
  <c r="P6" i="79" s="1"/>
  <c r="L6" i="79"/>
  <c r="K6" i="79"/>
  <c r="K3" i="79" s="1"/>
  <c r="I6" i="79"/>
  <c r="AC5" i="79"/>
  <c r="AB5" i="79"/>
  <c r="AB3" i="79" s="1"/>
  <c r="AA5" i="79"/>
  <c r="AD5" i="79" s="1"/>
  <c r="Z5" i="79"/>
  <c r="Z3" i="79" s="1"/>
  <c r="Y5" i="79"/>
  <c r="Y3" i="79" s="1"/>
  <c r="O5" i="79"/>
  <c r="N5" i="79"/>
  <c r="M5" i="79"/>
  <c r="T3" i="79" s="1"/>
  <c r="W3" i="79" s="1"/>
  <c r="L5" i="79"/>
  <c r="S5" i="79" s="1"/>
  <c r="K5" i="79"/>
  <c r="I5" i="79"/>
  <c r="AC3" i="79"/>
  <c r="V3" i="79"/>
  <c r="S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2" i="79" l="1"/>
  <c r="W22" i="79" s="1"/>
  <c r="U6" i="79"/>
  <c r="R7" i="79"/>
  <c r="U22" i="79"/>
  <c r="Z20" i="79"/>
  <c r="AD27" i="79"/>
  <c r="S28" i="79"/>
  <c r="U3" i="79"/>
  <c r="R5" i="79"/>
  <c r="V6" i="79"/>
  <c r="S7" i="79"/>
  <c r="U9" i="79"/>
  <c r="U11" i="79"/>
  <c r="T20" i="79"/>
  <c r="W20" i="79" s="1"/>
  <c r="AD26" i="79"/>
  <c r="S27" i="79"/>
  <c r="T28" i="79"/>
  <c r="W28" i="79" s="1"/>
  <c r="U27" i="79"/>
  <c r="N3" i="79"/>
  <c r="U5" i="79"/>
  <c r="V7" i="79"/>
  <c r="S8" i="79"/>
  <c r="S10" i="79"/>
  <c r="S24" i="79"/>
  <c r="T25" i="79"/>
  <c r="W25" i="79" s="1"/>
  <c r="U26" i="79"/>
  <c r="M3" i="79"/>
  <c r="P3" i="79" s="1"/>
  <c r="T5" i="79"/>
  <c r="W5" i="79" s="1"/>
  <c r="AD24" i="79"/>
  <c r="S25" i="79"/>
  <c r="T26" i="79"/>
  <c r="W26" i="79" s="1"/>
  <c r="O3" i="79"/>
  <c r="AA3" i="79"/>
  <c r="AD3" i="79" s="1"/>
  <c r="V5" i="79"/>
  <c r="R6" i="79"/>
  <c r="L20" i="79"/>
  <c r="U25" i="79"/>
  <c r="R3" i="79"/>
  <c r="P5" i="79"/>
  <c r="S6" i="79"/>
  <c r="R9" i="79"/>
  <c r="R11" i="79"/>
  <c r="M20" i="79"/>
  <c r="P20" i="79" s="1"/>
  <c r="U24" i="79"/>
  <c r="AD29"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B49" i="48"/>
  <c r="B5" i="72" s="1"/>
  <c r="D89" i="71"/>
  <c r="F88" i="71"/>
  <c r="F87" i="71" s="1"/>
  <c r="E88" i="71"/>
  <c r="E87" i="71"/>
  <c r="E86" i="71" s="1"/>
  <c r="C88" i="71"/>
  <c r="D88" i="71"/>
  <c r="B88" i="71"/>
  <c r="B87" i="71" s="1"/>
  <c r="B86" i="71" s="1"/>
  <c r="F86" i="71"/>
  <c r="D85" i="71"/>
  <c r="F84" i="71"/>
  <c r="E84" i="71"/>
  <c r="E83" i="71" s="1"/>
  <c r="E82" i="71" s="1"/>
  <c r="C84" i="71"/>
  <c r="D84" i="71"/>
  <c r="B84" i="71"/>
  <c r="F83" i="71"/>
  <c r="F82" i="71" s="1"/>
  <c r="B83" i="71"/>
  <c r="B82" i="7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D76" i="71" s="1"/>
  <c r="T76" i="71"/>
  <c r="B76" i="71"/>
  <c r="S76" i="71"/>
  <c r="Q75" i="71"/>
  <c r="P75" i="71"/>
  <c r="O75" i="71"/>
  <c r="N75"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U68" i="71" s="1"/>
  <c r="C68" i="71"/>
  <c r="B68" i="71"/>
  <c r="S68" i="71"/>
  <c r="F67" i="71"/>
  <c r="B67" i="71"/>
  <c r="D65" i="71"/>
  <c r="Q64" i="71"/>
  <c r="P64" i="71"/>
  <c r="O64" i="71"/>
  <c r="N64" i="71"/>
  <c r="Q63" i="71"/>
  <c r="P63" i="71"/>
  <c r="O63" i="71"/>
  <c r="N63" i="71"/>
  <c r="Q62" i="71"/>
  <c r="P62" i="71"/>
  <c r="O62" i="71"/>
  <c r="N62" i="71"/>
  <c r="Q61" i="71"/>
  <c r="F62" i="71"/>
  <c r="F63" i="71"/>
  <c r="F64" i="7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c r="C59" i="71" s="1"/>
  <c r="N57" i="71"/>
  <c r="B58" i="71" s="1"/>
  <c r="B59" i="71"/>
  <c r="B60" i="71" s="1"/>
  <c r="S60" i="71" s="1"/>
  <c r="D57" i="71"/>
  <c r="Q56" i="71"/>
  <c r="P56" i="71"/>
  <c r="O56" i="71"/>
  <c r="N56" i="71"/>
  <c r="Q55" i="71"/>
  <c r="P55" i="71"/>
  <c r="O55" i="71"/>
  <c r="N55" i="71"/>
  <c r="Q54" i="71"/>
  <c r="P54" i="71"/>
  <c r="O54" i="71"/>
  <c r="N54" i="71"/>
  <c r="C54" i="71"/>
  <c r="C55" i="71" s="1"/>
  <c r="C56" i="71" s="1"/>
  <c r="Q53" i="71"/>
  <c r="F54" i="71" s="1"/>
  <c r="F55" i="71" s="1"/>
  <c r="F56" i="71" s="1"/>
  <c r="V56" i="71" s="1"/>
  <c r="P53" i="71"/>
  <c r="E54" i="71" s="1"/>
  <c r="O53" i="71"/>
  <c r="N53" i="71"/>
  <c r="B54" i="71" s="1"/>
  <c r="B55" i="71"/>
  <c r="B56" i="71"/>
  <c r="S56" i="71" s="1"/>
  <c r="D53" i="71"/>
  <c r="Q52" i="71"/>
  <c r="P52" i="71"/>
  <c r="O52" i="71"/>
  <c r="N52" i="71"/>
  <c r="Q51" i="71"/>
  <c r="P51" i="71"/>
  <c r="O51" i="71"/>
  <c r="N51" i="71"/>
  <c r="Q50" i="71"/>
  <c r="P50" i="71"/>
  <c r="O50" i="71"/>
  <c r="N50" i="71"/>
  <c r="Q49" i="71"/>
  <c r="F50" i="71"/>
  <c r="P49" i="71"/>
  <c r="E50" i="71" s="1"/>
  <c r="O49" i="71"/>
  <c r="C50" i="71"/>
  <c r="C51" i="71" s="1"/>
  <c r="N49" i="71"/>
  <c r="B50" i="7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N45" i="71"/>
  <c r="B46" i="71"/>
  <c r="B47" i="71" s="1"/>
  <c r="D45" i="71"/>
  <c r="Q44" i="71"/>
  <c r="P44" i="71"/>
  <c r="O44" i="71"/>
  <c r="N44" i="71"/>
  <c r="Q43" i="71"/>
  <c r="P43" i="71"/>
  <c r="O43" i="71"/>
  <c r="N43" i="71"/>
  <c r="Q42" i="71"/>
  <c r="P42" i="71"/>
  <c r="O42" i="71"/>
  <c r="N42" i="71"/>
  <c r="F42" i="71"/>
  <c r="F43" i="71" s="1"/>
  <c r="F44" i="71"/>
  <c r="V44" i="71"/>
  <c r="Q41" i="71"/>
  <c r="P41" i="71"/>
  <c r="E42" i="71"/>
  <c r="E43" i="71"/>
  <c r="E44" i="71" s="1"/>
  <c r="U44" i="71" s="1"/>
  <c r="O41" i="71"/>
  <c r="C42" i="71" s="1"/>
  <c r="N41" i="71"/>
  <c r="B42" i="71"/>
  <c r="B43" i="71"/>
  <c r="B44" i="71" s="1"/>
  <c r="S44" i="71" s="1"/>
  <c r="D41" i="71"/>
  <c r="Q40" i="71"/>
  <c r="P40" i="71"/>
  <c r="O40" i="71"/>
  <c r="N40" i="71"/>
  <c r="Q39" i="71"/>
  <c r="AB9" i="71" s="1"/>
  <c r="P39" i="71"/>
  <c r="O39" i="71"/>
  <c r="Y39" i="71"/>
  <c r="Z39" i="71" s="1"/>
  <c r="N39" i="71"/>
  <c r="X39" i="71" s="1"/>
  <c r="Q38" i="71"/>
  <c r="P38" i="71"/>
  <c r="O38" i="71"/>
  <c r="Y38" i="71" s="1"/>
  <c r="Z38" i="71" s="1"/>
  <c r="N38" i="71"/>
  <c r="F38" i="71"/>
  <c r="F39" i="71"/>
  <c r="Q37" i="71"/>
  <c r="P37" i="71"/>
  <c r="O37" i="71"/>
  <c r="N37" i="71"/>
  <c r="X34" i="71" s="1"/>
  <c r="D37" i="71"/>
  <c r="Q36" i="71"/>
  <c r="P36" i="71"/>
  <c r="O36" i="71"/>
  <c r="Y36" i="71" s="1"/>
  <c r="Z36" i="71" s="1"/>
  <c r="N36" i="71"/>
  <c r="Q35" i="71"/>
  <c r="AB35" i="71"/>
  <c r="P35" i="71"/>
  <c r="O35" i="71"/>
  <c r="N35" i="71"/>
  <c r="Q34" i="71"/>
  <c r="P34" i="71"/>
  <c r="AA34" i="71" s="1"/>
  <c r="O34" i="71"/>
  <c r="N34" i="71"/>
  <c r="F35" i="71"/>
  <c r="F36" i="71" s="1"/>
  <c r="V36" i="71" s="1"/>
  <c r="Q33" i="71"/>
  <c r="F34" i="71" s="1"/>
  <c r="P33" i="71"/>
  <c r="O33" i="71"/>
  <c r="N33" i="71"/>
  <c r="B34" i="71" s="1"/>
  <c r="B35" i="71" s="1"/>
  <c r="B36" i="71" s="1"/>
  <c r="S36" i="71" s="1"/>
  <c r="D33" i="71"/>
  <c r="Q32" i="71"/>
  <c r="AB32" i="71" s="1"/>
  <c r="P32" i="71"/>
  <c r="O32" i="71"/>
  <c r="N32" i="71"/>
  <c r="Q31" i="71"/>
  <c r="P31" i="71"/>
  <c r="AA31" i="71" s="1"/>
  <c r="O31" i="71"/>
  <c r="N31" i="71"/>
  <c r="Q30" i="71"/>
  <c r="P30" i="71"/>
  <c r="AA30" i="71" s="1"/>
  <c r="O30" i="71"/>
  <c r="N30" i="71"/>
  <c r="F30" i="71"/>
  <c r="F31" i="71" s="1"/>
  <c r="F32" i="71" s="1"/>
  <c r="V32" i="71" s="1"/>
  <c r="Q29" i="71"/>
  <c r="P29" i="71"/>
  <c r="AA29" i="71" s="1"/>
  <c r="O29" i="71"/>
  <c r="C30" i="71" s="1"/>
  <c r="N29" i="71"/>
  <c r="D29" i="71"/>
  <c r="O28" i="71"/>
  <c r="C28" i="71" s="1"/>
  <c r="N28" i="71"/>
  <c r="B30" i="71"/>
  <c r="B31" i="71"/>
  <c r="B32" i="71"/>
  <c r="S32" i="71" s="1"/>
  <c r="AA37" i="71"/>
  <c r="N68" i="71"/>
  <c r="E34" i="71"/>
  <c r="C34" i="71"/>
  <c r="D34" i="71" s="1"/>
  <c r="AA35" i="71"/>
  <c r="C38" i="71"/>
  <c r="Y37" i="71"/>
  <c r="Z37" i="71" s="1"/>
  <c r="AA38" i="71"/>
  <c r="F51" i="71"/>
  <c r="F52" i="71" s="1"/>
  <c r="V52" i="71" s="1"/>
  <c r="B28" i="71"/>
  <c r="B27" i="71" s="1"/>
  <c r="B26" i="71"/>
  <c r="C31" i="71"/>
  <c r="D30" i="71"/>
  <c r="D38" i="71"/>
  <c r="D47" i="71"/>
  <c r="D50" i="71"/>
  <c r="P28" i="71"/>
  <c r="E28" i="71" s="1"/>
  <c r="E55" i="71"/>
  <c r="E56" i="71" s="1"/>
  <c r="U56" i="71" s="1"/>
  <c r="E63" i="71"/>
  <c r="E64" i="71"/>
  <c r="U64" i="71" s="1"/>
  <c r="Q28" i="71"/>
  <c r="D54" i="71"/>
  <c r="D58" i="71"/>
  <c r="N67" i="71"/>
  <c r="B66" i="71"/>
  <c r="N66" i="71" s="1"/>
  <c r="T68" i="71"/>
  <c r="O68" i="71"/>
  <c r="D68" i="71"/>
  <c r="C67" i="71"/>
  <c r="C66" i="71" s="1"/>
  <c r="Q68" i="71"/>
  <c r="C71" i="71"/>
  <c r="C70" i="71" s="1"/>
  <c r="D70" i="71" s="1"/>
  <c r="E71" i="71"/>
  <c r="E70" i="71" s="1"/>
  <c r="D72" i="71"/>
  <c r="C75" i="71"/>
  <c r="D75" i="71" s="1"/>
  <c r="E75" i="71"/>
  <c r="E74" i="71" s="1"/>
  <c r="C79" i="71"/>
  <c r="D79" i="71" s="1"/>
  <c r="E79" i="71"/>
  <c r="E78" i="71" s="1"/>
  <c r="D80" i="71"/>
  <c r="C83" i="71"/>
  <c r="D83" i="71" s="1"/>
  <c r="C87" i="71"/>
  <c r="D87" i="71" s="1"/>
  <c r="S28" i="71"/>
  <c r="AB26" i="71"/>
  <c r="O67" i="71"/>
  <c r="D67" i="71"/>
  <c r="C82" i="71"/>
  <c r="D82" i="71"/>
  <c r="C74" i="71"/>
  <c r="D74" i="71" s="1"/>
  <c r="C86" i="71"/>
  <c r="D86" i="71" s="1"/>
  <c r="C78" i="71"/>
  <c r="D78" i="71"/>
  <c r="D71" i="71"/>
  <c r="D55" i="71"/>
  <c r="T56" i="71"/>
  <c r="D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S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c r="C18" i="35"/>
  <c r="Q21" i="37"/>
  <c r="Z21" i="37" s="1"/>
  <c r="D77" i="37"/>
  <c r="E77" i="37" s="1"/>
  <c r="F77" i="37" s="1"/>
  <c r="G77" i="37" s="1"/>
  <c r="C21" i="37"/>
  <c r="Q21" i="34"/>
  <c r="Z21" i="34" s="1"/>
  <c r="D84" i="34"/>
  <c r="E84" i="34" s="1"/>
  <c r="F21" i="34"/>
  <c r="S21" i="34" s="1"/>
  <c r="C21" i="34"/>
  <c r="Q21" i="33"/>
  <c r="Z21" i="33" s="1"/>
  <c r="D83" i="33"/>
  <c r="E83" i="33"/>
  <c r="F83" i="33" s="1"/>
  <c r="G83" i="33" s="1"/>
  <c r="C21" i="33"/>
  <c r="C21" i="21"/>
  <c r="Q21" i="21"/>
  <c r="Z21" i="21" s="1"/>
  <c r="H19" i="21"/>
  <c r="D83" i="21"/>
  <c r="F21" i="21"/>
  <c r="S21" i="21" s="1"/>
  <c r="D81" i="21"/>
  <c r="G20" i="20"/>
  <c r="C22" i="20"/>
  <c r="B77" i="43" s="1"/>
  <c r="S18" i="36"/>
  <c r="H25" i="40"/>
  <c r="AB25" i="40" s="1"/>
  <c r="J25" i="40"/>
  <c r="H29" i="39"/>
  <c r="AB29" i="39" s="1"/>
  <c r="J29" i="39"/>
  <c r="AC29" i="39" s="1"/>
  <c r="J18" i="36"/>
  <c r="AC18" i="36" s="1"/>
  <c r="H18" i="35"/>
  <c r="AB18" i="35" s="1"/>
  <c r="S18" i="35"/>
  <c r="J18" i="35"/>
  <c r="AC18" i="35" s="1"/>
  <c r="H21" i="37"/>
  <c r="F21" i="37"/>
  <c r="AA21" i="37" s="1"/>
  <c r="F84" i="34"/>
  <c r="H21" i="34"/>
  <c r="U21" i="34" s="1"/>
  <c r="H21" i="33"/>
  <c r="U21" i="33" s="1"/>
  <c r="F21" i="33"/>
  <c r="E83" i="21"/>
  <c r="F83" i="21" s="1"/>
  <c r="G83" i="21" s="1"/>
  <c r="H1" i="69"/>
  <c r="AC25" i="40"/>
  <c r="W25" i="40"/>
  <c r="W29" i="39"/>
  <c r="W18" i="36"/>
  <c r="AB21" i="37"/>
  <c r="U21" i="37"/>
  <c r="S21" i="37"/>
  <c r="AB21" i="33"/>
  <c r="AA21" i="33"/>
  <c r="S21" i="33"/>
  <c r="U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A112" i="3" s="1"/>
  <c r="BE112" i="3"/>
  <c r="BD112" i="3"/>
  <c r="BC112" i="3"/>
  <c r="BB112" i="3"/>
  <c r="AX112" i="3"/>
  <c r="AW112" i="3"/>
  <c r="AV112" i="3"/>
  <c r="AC112" i="3"/>
  <c r="H112" i="3"/>
  <c r="G112" i="3" s="1"/>
  <c r="BT111" i="3"/>
  <c r="BS111" i="3"/>
  <c r="BR111" i="3"/>
  <c r="BQ111" i="3"/>
  <c r="BL111" i="3" s="1"/>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A104" i="3" s="1"/>
  <c r="BE104" i="3"/>
  <c r="BD104" i="3"/>
  <c r="BC104" i="3"/>
  <c r="BB104" i="3"/>
  <c r="AX104" i="3"/>
  <c r="AW104" i="3"/>
  <c r="AV104" i="3"/>
  <c r="AC104" i="3"/>
  <c r="H104" i="3"/>
  <c r="G104" i="3" s="1"/>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A94" i="3" s="1"/>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s="1"/>
  <c r="BK84" i="3"/>
  <c r="BJ84" i="3"/>
  <c r="BI84" i="3"/>
  <c r="BH84" i="3"/>
  <c r="BG84" i="3"/>
  <c r="BF84" i="3"/>
  <c r="BA84" i="3" s="1"/>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A77" i="3" s="1"/>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L70" i="3" s="1"/>
  <c r="BK70" i="3"/>
  <c r="BJ70" i="3"/>
  <c r="BI70" i="3"/>
  <c r="BH70" i="3"/>
  <c r="BG70" i="3"/>
  <c r="BF70" i="3"/>
  <c r="BA70" i="3" s="1"/>
  <c r="BE70" i="3"/>
  <c r="BD70" i="3"/>
  <c r="BC70" i="3"/>
  <c r="BB70" i="3"/>
  <c r="AX70" i="3"/>
  <c r="AW70" i="3"/>
  <c r="AV70" i="3"/>
  <c r="AC70" i="3"/>
  <c r="H70" i="3"/>
  <c r="G70" i="3" s="1"/>
  <c r="BT69" i="3"/>
  <c r="BS69" i="3"/>
  <c r="BR69" i="3"/>
  <c r="BQ69" i="3"/>
  <c r="BL69" i="3" s="1"/>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A67" i="3" s="1"/>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L57" i="3" s="1"/>
  <c r="BM57" i="3"/>
  <c r="BK57" i="3"/>
  <c r="BJ57" i="3"/>
  <c r="BI57" i="3"/>
  <c r="BH57" i="3"/>
  <c r="BG57" i="3"/>
  <c r="BF57" i="3"/>
  <c r="BA57" i="3" s="1"/>
  <c r="BE57" i="3"/>
  <c r="BD57" i="3"/>
  <c r="BC57" i="3"/>
  <c r="BB57" i="3"/>
  <c r="AX57" i="3"/>
  <c r="AW57" i="3"/>
  <c r="AV57" i="3"/>
  <c r="AC57" i="3"/>
  <c r="H57" i="3"/>
  <c r="G57" i="3" s="1"/>
  <c r="BT56" i="3"/>
  <c r="BS56" i="3"/>
  <c r="BR56" i="3"/>
  <c r="BQ56" i="3"/>
  <c r="BL56" i="3" s="1"/>
  <c r="BP56" i="3"/>
  <c r="BO56" i="3"/>
  <c r="BN56" i="3"/>
  <c r="BM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A54" i="3" s="1"/>
  <c r="AZ54" i="3" s="1"/>
  <c r="BE54" i="3"/>
  <c r="BD54" i="3"/>
  <c r="BC54" i="3"/>
  <c r="BB54" i="3"/>
  <c r="AX54" i="3"/>
  <c r="AW54" i="3"/>
  <c r="AV54" i="3"/>
  <c r="AC54" i="3"/>
  <c r="H54" i="3"/>
  <c r="G54" i="3" s="1"/>
  <c r="BT53" i="3"/>
  <c r="BS53" i="3"/>
  <c r="BR53" i="3"/>
  <c r="BQ53" i="3"/>
  <c r="BL53" i="3" s="1"/>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A51" i="3" s="1"/>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A41" i="3" s="1"/>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L20" i="3" s="1"/>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L195" i="3" s="1"/>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A176" i="3" s="1"/>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A174" i="3" s="1"/>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L149" i="3" s="1"/>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L142" i="3" s="1"/>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A134" i="3" s="1"/>
  <c r="AZ134" i="3" s="1"/>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L113" i="3" s="1"/>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A301" i="3" s="1"/>
  <c r="AZ301" i="3" s="1"/>
  <c r="BE301" i="3"/>
  <c r="BD301" i="3"/>
  <c r="BC301" i="3"/>
  <c r="BB301" i="3"/>
  <c r="AX301" i="3"/>
  <c r="AW301" i="3"/>
  <c r="AV301" i="3"/>
  <c r="AC301" i="3"/>
  <c r="H301" i="3"/>
  <c r="G301" i="3" s="1"/>
  <c r="BT300" i="3"/>
  <c r="BS300" i="3"/>
  <c r="BR300" i="3"/>
  <c r="BQ300" i="3"/>
  <c r="BL300" i="3" s="1"/>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A298" i="3" s="1"/>
  <c r="AZ298" i="3" s="1"/>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A285" i="3" s="1"/>
  <c r="AZ285" i="3" s="1"/>
  <c r="BE285" i="3"/>
  <c r="BD285" i="3"/>
  <c r="BC285" i="3"/>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A282" i="3" s="1"/>
  <c r="AZ282" i="3" s="1"/>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A266" i="3" s="1"/>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L258" i="3" s="1"/>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A256" i="3" s="1"/>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A249" i="3" s="1"/>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L240" i="3" s="1"/>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L233" i="3" s="1"/>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L214" i="3" s="1"/>
  <c r="BN214" i="3"/>
  <c r="BM214" i="3"/>
  <c r="BK214" i="3"/>
  <c r="BJ214" i="3"/>
  <c r="BI214" i="3"/>
  <c r="BH214" i="3"/>
  <c r="BG214" i="3"/>
  <c r="BA214" i="3" s="1"/>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A213" i="3" s="1"/>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s="1"/>
  <c r="AX333" i="3"/>
  <c r="AW333" i="3"/>
  <c r="AV333" i="3"/>
  <c r="AC333" i="3"/>
  <c r="H333" i="3"/>
  <c r="BT332" i="3"/>
  <c r="BS332" i="3"/>
  <c r="BL332" i="3" s="1"/>
  <c r="BR332" i="3"/>
  <c r="BQ332" i="3"/>
  <c r="BP332" i="3"/>
  <c r="BO332" i="3"/>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L317" i="3" s="1"/>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s="1"/>
  <c r="BT489" i="3"/>
  <c r="BS489" i="3"/>
  <c r="BR489" i="3"/>
  <c r="BQ489" i="3"/>
  <c r="BP489" i="3"/>
  <c r="BL489" i="3" s="1"/>
  <c r="BO489" i="3"/>
  <c r="BN489" i="3"/>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s="1"/>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AZ474" i="3" s="1"/>
  <c r="BD474" i="3"/>
  <c r="BC474" i="3"/>
  <c r="BB474" i="3"/>
  <c r="AX474" i="3"/>
  <c r="AW474" i="3"/>
  <c r="AV474" i="3"/>
  <c r="AC474" i="3"/>
  <c r="H474" i="3"/>
  <c r="G474" i="3" s="1"/>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L464" i="3" s="1"/>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G460" i="3" s="1"/>
  <c r="BT459" i="3"/>
  <c r="BS459" i="3"/>
  <c r="BR459" i="3"/>
  <c r="BQ459" i="3"/>
  <c r="BP459" i="3"/>
  <c r="BL459" i="3" s="1"/>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H457" i="3"/>
  <c r="G457" i="3" s="1"/>
  <c r="BT456" i="3"/>
  <c r="BS456" i="3"/>
  <c r="BR456" i="3"/>
  <c r="BQ456" i="3"/>
  <c r="BP456" i="3"/>
  <c r="BL456" i="3" s="1"/>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A454" i="3" s="1"/>
  <c r="BG454" i="3"/>
  <c r="BF454" i="3"/>
  <c r="BE454" i="3"/>
  <c r="BD454" i="3"/>
  <c r="BC454" i="3"/>
  <c r="BB454" i="3"/>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L450" i="3" s="1"/>
  <c r="BR450" i="3"/>
  <c r="BQ450" i="3"/>
  <c r="BP450" i="3"/>
  <c r="BO450" i="3"/>
  <c r="BN450" i="3"/>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A449" i="3" s="1"/>
  <c r="BD449" i="3"/>
  <c r="BC449" i="3"/>
  <c r="BB449" i="3"/>
  <c r="AX449" i="3"/>
  <c r="AW449" i="3"/>
  <c r="AV449" i="3"/>
  <c r="AC449" i="3"/>
  <c r="H449" i="3"/>
  <c r="G449" i="3" s="1"/>
  <c r="BT448" i="3"/>
  <c r="BS448" i="3"/>
  <c r="BR448" i="3"/>
  <c r="BQ448" i="3"/>
  <c r="BP448" i="3"/>
  <c r="BL448" i="3" s="1"/>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A446" i="3" s="1"/>
  <c r="BG446" i="3"/>
  <c r="BF446" i="3"/>
  <c r="BE446" i="3"/>
  <c r="BD446" i="3"/>
  <c r="BC446" i="3"/>
  <c r="BB446" i="3"/>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L442" i="3" s="1"/>
  <c r="BR442" i="3"/>
  <c r="BQ442" i="3"/>
  <c r="BP442" i="3"/>
  <c r="BO442" i="3"/>
  <c r="BN442" i="3"/>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L440" i="3" s="1"/>
  <c r="BK440" i="3"/>
  <c r="BJ440" i="3"/>
  <c r="BI440" i="3"/>
  <c r="BH440" i="3"/>
  <c r="BA440" i="3" s="1"/>
  <c r="AZ440" i="3" s="1"/>
  <c r="BG440" i="3"/>
  <c r="BF440" i="3"/>
  <c r="BE440" i="3"/>
  <c r="BD440" i="3"/>
  <c r="BC440" i="3"/>
  <c r="BB440" i="3"/>
  <c r="AX440" i="3"/>
  <c r="AW440" i="3"/>
  <c r="AV440" i="3"/>
  <c r="AC440" i="3"/>
  <c r="H440" i="3"/>
  <c r="G440" i="3"/>
  <c r="BT439" i="3"/>
  <c r="BS439" i="3"/>
  <c r="BL439" i="3" s="1"/>
  <c r="BR439" i="3"/>
  <c r="BQ439" i="3"/>
  <c r="BP439" i="3"/>
  <c r="BO439" i="3"/>
  <c r="BN439" i="3"/>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A438" i="3" s="1"/>
  <c r="AZ438" i="3" s="1"/>
  <c r="BF438" i="3"/>
  <c r="BE438" i="3"/>
  <c r="BD438" i="3"/>
  <c r="BC438" i="3"/>
  <c r="BB438" i="3"/>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BA437" i="3"/>
  <c r="AX437" i="3"/>
  <c r="AW437" i="3"/>
  <c r="AV437" i="3"/>
  <c r="AC437" i="3"/>
  <c r="H437" i="3"/>
  <c r="G437" i="3"/>
  <c r="BT436" i="3"/>
  <c r="BS436" i="3"/>
  <c r="BL436" i="3" s="1"/>
  <c r="BR436" i="3"/>
  <c r="BQ436" i="3"/>
  <c r="BP436" i="3"/>
  <c r="BO436" i="3"/>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A435" i="3" s="1"/>
  <c r="BF435" i="3"/>
  <c r="BE435" i="3"/>
  <c r="BD435" i="3"/>
  <c r="BC435" i="3"/>
  <c r="BB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A432" i="3" s="1"/>
  <c r="AZ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A423" i="3" s="1"/>
  <c r="AZ423" i="3" s="1"/>
  <c r="BG423" i="3"/>
  <c r="BF423" i="3"/>
  <c r="BE423" i="3"/>
  <c r="BD423" i="3"/>
  <c r="BC423" i="3"/>
  <c r="BB423" i="3"/>
  <c r="AX423" i="3"/>
  <c r="AW423" i="3"/>
  <c r="AV423" i="3"/>
  <c r="AC423" i="3"/>
  <c r="H423" i="3"/>
  <c r="G423" i="3"/>
  <c r="BT422" i="3"/>
  <c r="BS422" i="3"/>
  <c r="BL422" i="3" s="1"/>
  <c r="BR422" i="3"/>
  <c r="BQ422" i="3"/>
  <c r="BP422" i="3"/>
  <c r="BO422" i="3"/>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A418" i="3" s="1"/>
  <c r="BG418" i="3"/>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A412" i="3" s="1"/>
  <c r="BG412" i="3"/>
  <c r="BF412" i="3"/>
  <c r="BE412" i="3"/>
  <c r="BD412" i="3"/>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A409" i="3" s="1"/>
  <c r="AZ409" i="3" s="1"/>
  <c r="BG409" i="3"/>
  <c r="BF409" i="3"/>
  <c r="BE409" i="3"/>
  <c r="BD409" i="3"/>
  <c r="BC409" i="3"/>
  <c r="BB409" i="3"/>
  <c r="AX409" i="3"/>
  <c r="AW409" i="3"/>
  <c r="AV409" i="3"/>
  <c r="AC409" i="3"/>
  <c r="H409" i="3"/>
  <c r="G409" i="3"/>
  <c r="BT408" i="3"/>
  <c r="BS408" i="3"/>
  <c r="BL408" i="3" s="1"/>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c r="AZ406" i="3" s="1"/>
  <c r="AX406" i="3"/>
  <c r="AW406" i="3"/>
  <c r="AV406" i="3"/>
  <c r="AC406" i="3"/>
  <c r="H406" i="3"/>
  <c r="G406" i="3"/>
  <c r="BT405" i="3"/>
  <c r="BS405" i="3"/>
  <c r="BL405" i="3" s="1"/>
  <c r="BR405" i="3"/>
  <c r="BQ405" i="3"/>
  <c r="BP405" i="3"/>
  <c r="BO405" i="3"/>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A404" i="3" s="1"/>
  <c r="BD404" i="3"/>
  <c r="BC404" i="3"/>
  <c r="BB404" i="3"/>
  <c r="AX404" i="3"/>
  <c r="AW404" i="3"/>
  <c r="AV404" i="3"/>
  <c r="AC404" i="3"/>
  <c r="G404" i="3" s="1"/>
  <c r="H404" i="3"/>
  <c r="BT403" i="3"/>
  <c r="BS403" i="3"/>
  <c r="BR403" i="3"/>
  <c r="BQ403" i="3"/>
  <c r="BP403" i="3"/>
  <c r="BL403" i="3" s="1"/>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M401" i="3"/>
  <c r="BL401" i="3" s="1"/>
  <c r="BK401" i="3"/>
  <c r="BJ401" i="3"/>
  <c r="BI401" i="3"/>
  <c r="BH401" i="3"/>
  <c r="BG401" i="3"/>
  <c r="BA401" i="3" s="1"/>
  <c r="BF401" i="3"/>
  <c r="BE401" i="3"/>
  <c r="BD401" i="3"/>
  <c r="BC401" i="3"/>
  <c r="BB401" i="3"/>
  <c r="AX401" i="3"/>
  <c r="AW401" i="3"/>
  <c r="AV401" i="3"/>
  <c r="AC401" i="3"/>
  <c r="G401" i="3" s="1"/>
  <c r="H401" i="3"/>
  <c r="BT400" i="3"/>
  <c r="BS400" i="3"/>
  <c r="BR400" i="3"/>
  <c r="BQ400" i="3"/>
  <c r="BP400" i="3"/>
  <c r="BL400" i="3" s="1"/>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A398" i="3" s="1"/>
  <c r="AZ398" i="3" s="1"/>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c r="K87" i="35" s="1"/>
  <c r="L87" i="35" s="1"/>
  <c r="M87" i="35"/>
  <c r="H34" i="37"/>
  <c r="D101" i="37"/>
  <c r="F34" i="37"/>
  <c r="D99" i="37"/>
  <c r="E99" i="37"/>
  <c r="F99" i="37"/>
  <c r="G99" i="37" s="1"/>
  <c r="H99" i="37" s="1"/>
  <c r="I99" i="37"/>
  <c r="J99" i="37"/>
  <c r="K99" i="37" s="1"/>
  <c r="L99" i="37" s="1"/>
  <c r="M99" i="37" s="1"/>
  <c r="H42" i="34"/>
  <c r="J42" i="34"/>
  <c r="W42" i="34"/>
  <c r="F42" i="34"/>
  <c r="J38" i="34"/>
  <c r="W38" i="34" s="1"/>
  <c r="D114" i="34"/>
  <c r="F38" i="34"/>
  <c r="S38" i="34"/>
  <c r="D112" i="34"/>
  <c r="E112" i="34"/>
  <c r="F112" i="34"/>
  <c r="G112" i="34"/>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F40" i="40" s="1"/>
  <c r="AA40" i="40" s="1"/>
  <c r="B118" i="40"/>
  <c r="J39" i="40"/>
  <c r="B116" i="40"/>
  <c r="D115" i="40"/>
  <c r="E115" i="40"/>
  <c r="F115" i="40"/>
  <c r="G115" i="40" s="1"/>
  <c r="H115" i="40" s="1"/>
  <c r="I115" i="40" s="1"/>
  <c r="J115" i="40" s="1"/>
  <c r="K115" i="40" s="1"/>
  <c r="L115" i="40" s="1"/>
  <c r="M115" i="40" s="1"/>
  <c r="D113" i="40"/>
  <c r="E113" i="40" s="1"/>
  <c r="F113" i="40"/>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c r="I96" i="40" s="1"/>
  <c r="J96" i="40"/>
  <c r="K96" i="40" s="1"/>
  <c r="L96" i="40" s="1"/>
  <c r="M96" i="40" s="1"/>
  <c r="B95" i="40"/>
  <c r="D92" i="40"/>
  <c r="E92" i="40"/>
  <c r="F92" i="40" s="1"/>
  <c r="G92" i="40" s="1"/>
  <c r="D90" i="40"/>
  <c r="E90" i="40" s="1"/>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s="1"/>
  <c r="Q39" i="40"/>
  <c r="Z39" i="40"/>
  <c r="H39" i="40"/>
  <c r="U39" i="40" s="1"/>
  <c r="Q38" i="40"/>
  <c r="Z38" i="40" s="1"/>
  <c r="Q37" i="40"/>
  <c r="Z37" i="40" s="1"/>
  <c r="Q36" i="40"/>
  <c r="Z36" i="40" s="1"/>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s="1"/>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s="1"/>
  <c r="D73" i="37"/>
  <c r="E73" i="37"/>
  <c r="F73" i="37" s="1"/>
  <c r="D71" i="37"/>
  <c r="H15" i="37"/>
  <c r="AB15" i="37"/>
  <c r="B68" i="37"/>
  <c r="H14" i="37" s="1"/>
  <c r="AB14" i="37"/>
  <c r="B66" i="37"/>
  <c r="B64" i="37"/>
  <c r="D63" i="37"/>
  <c r="E63" i="37" s="1"/>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c r="Q36" i="37"/>
  <c r="Z36" i="37"/>
  <c r="Q35" i="37"/>
  <c r="Z35" i="37"/>
  <c r="Q34" i="37"/>
  <c r="Z34" i="37" s="1"/>
  <c r="Q33" i="37"/>
  <c r="Z33" i="37"/>
  <c r="Q32" i="37"/>
  <c r="Z32" i="37"/>
  <c r="Q31" i="37"/>
  <c r="Z31" i="37" s="1"/>
  <c r="J31" i="37"/>
  <c r="AC31" i="37" s="1"/>
  <c r="Q30" i="37"/>
  <c r="Z30" i="37"/>
  <c r="J30" i="37"/>
  <c r="AC30" i="37" s="1"/>
  <c r="H30" i="37"/>
  <c r="AB30" i="37" s="1"/>
  <c r="F30" i="37"/>
  <c r="AA30" i="37" s="1"/>
  <c r="Q29" i="37"/>
  <c r="Z29" i="37" s="1"/>
  <c r="H29" i="37"/>
  <c r="AB29" i="37" s="1"/>
  <c r="Q28" i="37"/>
  <c r="Z28" i="37" s="1"/>
  <c r="Q27" i="37"/>
  <c r="Z27" i="37"/>
  <c r="Q26" i="37"/>
  <c r="Z26" i="37" s="1"/>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s="1"/>
  <c r="D68" i="36"/>
  <c r="E68" i="36"/>
  <c r="F68" i="36" s="1"/>
  <c r="G68" i="36" s="1"/>
  <c r="D64" i="36"/>
  <c r="E64" i="36"/>
  <c r="F64" i="36"/>
  <c r="G64" i="36" s="1"/>
  <c r="J16" i="36"/>
  <c r="W16" i="36" s="1"/>
  <c r="D62" i="36"/>
  <c r="E62" i="36" s="1"/>
  <c r="F62" i="36" s="1"/>
  <c r="G62" i="36" s="1"/>
  <c r="B59" i="36"/>
  <c r="B57" i="36"/>
  <c r="J12" i="36"/>
  <c r="B55" i="36"/>
  <c r="C51" i="36"/>
  <c r="P37" i="36"/>
  <c r="P36" i="36"/>
  <c r="V35" i="36"/>
  <c r="T35" i="36"/>
  <c r="R35" i="36"/>
  <c r="P35" i="36"/>
  <c r="Q34" i="36"/>
  <c r="Z34" i="36" s="1"/>
  <c r="Q33" i="36"/>
  <c r="Z33" i="36" s="1"/>
  <c r="Q32" i="36"/>
  <c r="Z32" i="36"/>
  <c r="Q31" i="36"/>
  <c r="Z31" i="36"/>
  <c r="Q30" i="36"/>
  <c r="Z30" i="36" s="1"/>
  <c r="Q29" i="36"/>
  <c r="Z29" i="36"/>
  <c r="Q28" i="36"/>
  <c r="Z28" i="36" s="1"/>
  <c r="J28" i="36"/>
  <c r="AC28" i="36" s="1"/>
  <c r="Q27" i="36"/>
  <c r="Z27" i="36" s="1"/>
  <c r="Q26" i="36"/>
  <c r="Z26" i="36" s="1"/>
  <c r="H26" i="36"/>
  <c r="AB26" i="36"/>
  <c r="Q25" i="36"/>
  <c r="Z25" i="36"/>
  <c r="Q24" i="36"/>
  <c r="Z24" i="36"/>
  <c r="Q23" i="36"/>
  <c r="Z23" i="36"/>
  <c r="AC23" i="36"/>
  <c r="H23" i="36"/>
  <c r="AB23" i="36"/>
  <c r="F23" i="36"/>
  <c r="AA23" i="36" s="1"/>
  <c r="Q22" i="36"/>
  <c r="Z22" i="36"/>
  <c r="J22" i="36"/>
  <c r="AC22" i="36"/>
  <c r="Q20" i="36"/>
  <c r="Z20" i="36" s="1"/>
  <c r="Q16" i="36"/>
  <c r="Z16" i="36" s="1"/>
  <c r="Q14" i="36"/>
  <c r="Z14" i="36"/>
  <c r="Q13" i="36"/>
  <c r="Z13" i="36"/>
  <c r="Q12" i="36"/>
  <c r="Z12" i="36" s="1"/>
  <c r="H12" i="36"/>
  <c r="U12" i="36" s="1"/>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B77" i="35"/>
  <c r="B75" i="35"/>
  <c r="J24" i="35"/>
  <c r="AC24" i="35"/>
  <c r="B73" i="35"/>
  <c r="H23" i="35" s="1"/>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c r="J14" i="35"/>
  <c r="W14" i="35"/>
  <c r="C53" i="35"/>
  <c r="J9" i="35" s="1"/>
  <c r="P39" i="35"/>
  <c r="P38" i="35"/>
  <c r="V37" i="35"/>
  <c r="T37" i="35"/>
  <c r="R37" i="35"/>
  <c r="P37" i="35"/>
  <c r="Q36" i="35"/>
  <c r="Z36" i="35" s="1"/>
  <c r="Q35" i="35"/>
  <c r="Z35" i="35"/>
  <c r="Q34" i="35"/>
  <c r="Z34" i="35"/>
  <c r="J34" i="35"/>
  <c r="AC34" i="35" s="1"/>
  <c r="Q33" i="35"/>
  <c r="Z33" i="35" s="1"/>
  <c r="Q32" i="35"/>
  <c r="Z32" i="35" s="1"/>
  <c r="H32" i="35"/>
  <c r="AB32" i="35" s="1"/>
  <c r="F32" i="35"/>
  <c r="AA32" i="35" s="1"/>
  <c r="Q31" i="35"/>
  <c r="Z31" i="35"/>
  <c r="AC31" i="35"/>
  <c r="AB31" i="35"/>
  <c r="AA31" i="35"/>
  <c r="Q30" i="35"/>
  <c r="Z30" i="35" s="1"/>
  <c r="Q29" i="35"/>
  <c r="Z29" i="35"/>
  <c r="Q28" i="35"/>
  <c r="Z28" i="35"/>
  <c r="J28" i="35"/>
  <c r="AC28" i="35" s="1"/>
  <c r="H28" i="35"/>
  <c r="AB28" i="35" s="1"/>
  <c r="F28" i="35"/>
  <c r="AA28" i="35" s="1"/>
  <c r="Q27" i="35"/>
  <c r="Z27" i="35"/>
  <c r="Q26" i="35"/>
  <c r="Z26" i="35"/>
  <c r="Q25" i="35"/>
  <c r="Z25" i="35" s="1"/>
  <c r="Q24" i="35"/>
  <c r="Z24" i="35" s="1"/>
  <c r="Q23" i="35"/>
  <c r="Z23" i="35" s="1"/>
  <c r="J23" i="35"/>
  <c r="AC23" i="35"/>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c r="F118" i="34" s="1"/>
  <c r="G118" i="34" s="1"/>
  <c r="D116" i="34"/>
  <c r="E116" i="34"/>
  <c r="F116" i="34"/>
  <c r="G116" i="34"/>
  <c r="H116" i="34"/>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c r="H107" i="34"/>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c r="G86" i="34"/>
  <c r="D82" i="34"/>
  <c r="E82" i="34"/>
  <c r="F82" i="34" s="1"/>
  <c r="G82" i="34" s="1"/>
  <c r="D80" i="34"/>
  <c r="E80" i="34"/>
  <c r="F80" i="34"/>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s="1"/>
  <c r="H34" i="34"/>
  <c r="AB34" i="34" s="1"/>
  <c r="F34" i="34"/>
  <c r="AA34" i="34" s="1"/>
  <c r="Q33" i="34"/>
  <c r="Z33" i="34"/>
  <c r="Q32" i="34"/>
  <c r="Z32" i="34" s="1"/>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s="1"/>
  <c r="Q12" i="34"/>
  <c r="Z12" i="34"/>
  <c r="J12" i="34"/>
  <c r="W12" i="34" s="1"/>
  <c r="H12" i="34"/>
  <c r="Q11" i="34"/>
  <c r="Z11" i="34"/>
  <c r="Q10" i="34"/>
  <c r="Z10" i="34" s="1"/>
  <c r="F10" i="34"/>
  <c r="AA10" i="34" s="1"/>
  <c r="Q9" i="34"/>
  <c r="Z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c r="Q29" i="33"/>
  <c r="Z29" i="33" s="1"/>
  <c r="Q28" i="33"/>
  <c r="Z28" i="33" s="1"/>
  <c r="Q27" i="33"/>
  <c r="Z27" i="33" s="1"/>
  <c r="Q26" i="33"/>
  <c r="Z26" i="33" s="1"/>
  <c r="Q25" i="33"/>
  <c r="Z25" i="33"/>
  <c r="Q23" i="33"/>
  <c r="Z23" i="33"/>
  <c r="Q19" i="33"/>
  <c r="Z19" i="33" s="1"/>
  <c r="Q17" i="33"/>
  <c r="Z17" i="33" s="1"/>
  <c r="Q15" i="33"/>
  <c r="Z15" i="33"/>
  <c r="F15" i="33"/>
  <c r="AA15" i="33" s="1"/>
  <c r="Q14" i="33"/>
  <c r="Z14" i="33" s="1"/>
  <c r="Q13" i="33"/>
  <c r="Z13" i="33" s="1"/>
  <c r="Q12" i="33"/>
  <c r="Z12" i="33"/>
  <c r="H12" i="33"/>
  <c r="U12" i="33" s="1"/>
  <c r="Q11" i="33"/>
  <c r="Z11" i="33"/>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c r="S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c r="AC27" i="35"/>
  <c r="W28" i="35"/>
  <c r="U31" i="35"/>
  <c r="W34" i="35"/>
  <c r="W22" i="35"/>
  <c r="S31" i="35"/>
  <c r="F36" i="34"/>
  <c r="J35" i="34"/>
  <c r="U34" i="34"/>
  <c r="H39" i="33"/>
  <c r="AB39" i="33"/>
  <c r="F26" i="33"/>
  <c r="AA26" i="33"/>
  <c r="U33" i="33"/>
  <c r="U35" i="33"/>
  <c r="S40" i="33"/>
  <c r="W33" i="33"/>
  <c r="W39" i="33"/>
  <c r="H39" i="37"/>
  <c r="AB39" i="37"/>
  <c r="S27" i="35"/>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c r="H23" i="40"/>
  <c r="AB23" i="40" s="1"/>
  <c r="H17" i="40"/>
  <c r="U17" i="40" s="1"/>
  <c r="J15" i="40"/>
  <c r="W15" i="40" s="1"/>
  <c r="J11" i="40"/>
  <c r="W11" i="40"/>
  <c r="AB8" i="39"/>
  <c r="AB12" i="33"/>
  <c r="AC12" i="34"/>
  <c r="AA12" i="34"/>
  <c r="AB12" i="35"/>
  <c r="AB12" i="36"/>
  <c r="W32" i="40"/>
  <c r="F37" i="39"/>
  <c r="AA37" i="39" s="1"/>
  <c r="J34" i="36"/>
  <c r="W34" i="36" s="1"/>
  <c r="U30" i="36"/>
  <c r="J30" i="35"/>
  <c r="W30" i="35" s="1"/>
  <c r="H30" i="35"/>
  <c r="AB30" i="35" s="1"/>
  <c r="F22" i="35"/>
  <c r="AA22" i="35"/>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c r="H114" i="34" s="1"/>
  <c r="I114" i="34" s="1"/>
  <c r="J114" i="34"/>
  <c r="K114" i="34" s="1"/>
  <c r="L114" i="34" s="1"/>
  <c r="M114" i="34" s="1"/>
  <c r="H38" i="34"/>
  <c r="AB38" i="34"/>
  <c r="J36" i="34"/>
  <c r="W36" i="34" s="1"/>
  <c r="H37" i="34"/>
  <c r="U37" i="34" s="1"/>
  <c r="H25" i="34"/>
  <c r="AB25" i="34"/>
  <c r="J25" i="34"/>
  <c r="AC25" i="34"/>
  <c r="AB23" i="34"/>
  <c r="F23" i="34"/>
  <c r="AA23" i="34" s="1"/>
  <c r="J19" i="34"/>
  <c r="AC19" i="34" s="1"/>
  <c r="F17" i="34"/>
  <c r="AA17" i="34" s="1"/>
  <c r="J17" i="34"/>
  <c r="W17" i="34"/>
  <c r="AB17" i="34"/>
  <c r="S15" i="34"/>
  <c r="S41" i="33"/>
  <c r="F113" i="33"/>
  <c r="G113" i="33" s="1"/>
  <c r="H113" i="33" s="1"/>
  <c r="I113" i="33" s="1"/>
  <c r="J113" i="33" s="1"/>
  <c r="K113" i="33" s="1"/>
  <c r="L113" i="33"/>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c r="J42" i="21"/>
  <c r="AC42" i="21"/>
  <c r="H42" i="21"/>
  <c r="U42" i="21"/>
  <c r="J44" i="34"/>
  <c r="F44" i="34"/>
  <c r="AA44" i="34" s="1"/>
  <c r="J10" i="35"/>
  <c r="AC10" i="35" s="1"/>
  <c r="BL587" i="3"/>
  <c r="J14" i="21"/>
  <c r="W14" i="21" s="1"/>
  <c r="F14" i="21"/>
  <c r="S14" i="21"/>
  <c r="H14" i="21"/>
  <c r="U14" i="21" s="1"/>
  <c r="H28" i="21"/>
  <c r="AB28" i="21" s="1"/>
  <c r="F28" i="21"/>
  <c r="AA28" i="21" s="1"/>
  <c r="J28" i="21"/>
  <c r="W28" i="21"/>
  <c r="H30" i="21"/>
  <c r="U30" i="21" s="1"/>
  <c r="F30" i="21"/>
  <c r="S30" i="21" s="1"/>
  <c r="J30" i="21"/>
  <c r="AC30" i="21" s="1"/>
  <c r="J44" i="21"/>
  <c r="AC44" i="21"/>
  <c r="H44" i="21"/>
  <c r="U44" i="21" s="1"/>
  <c r="F44" i="21"/>
  <c r="AA44" i="21" s="1"/>
  <c r="H46" i="21"/>
  <c r="U46" i="21" s="1"/>
  <c r="J46" i="21"/>
  <c r="W46" i="21"/>
  <c r="F46" i="21"/>
  <c r="AA46" i="21" s="1"/>
  <c r="E119" i="21"/>
  <c r="F119" i="21" s="1"/>
  <c r="G119" i="21"/>
  <c r="H119" i="21" s="1"/>
  <c r="I119" i="21" s="1"/>
  <c r="J119" i="21"/>
  <c r="K119" i="21"/>
  <c r="L119" i="21" s="1"/>
  <c r="M119" i="21" s="1"/>
  <c r="H26" i="33"/>
  <c r="U26" i="33"/>
  <c r="H28" i="33"/>
  <c r="U28" i="33"/>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c r="F31" i="21"/>
  <c r="S31" i="21" s="1"/>
  <c r="F45" i="21"/>
  <c r="AA45" i="21" s="1"/>
  <c r="F27" i="33"/>
  <c r="AA27" i="33" s="1"/>
  <c r="J13" i="33"/>
  <c r="H13" i="33"/>
  <c r="U13" i="33" s="1"/>
  <c r="F13" i="33"/>
  <c r="S13" i="33" s="1"/>
  <c r="J29" i="33"/>
  <c r="AC29" i="33" s="1"/>
  <c r="H29" i="33"/>
  <c r="U29" i="33" s="1"/>
  <c r="F29" i="33"/>
  <c r="S29" i="33"/>
  <c r="J31" i="33"/>
  <c r="W31" i="33" s="1"/>
  <c r="H31" i="33"/>
  <c r="F31" i="33"/>
  <c r="H45" i="33"/>
  <c r="U45" i="33" s="1"/>
  <c r="J45" i="33"/>
  <c r="W45" i="33"/>
  <c r="F45" i="33"/>
  <c r="AA45" i="33" s="1"/>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c r="J46" i="33"/>
  <c r="AC46" i="33"/>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c r="H30" i="40"/>
  <c r="AB30" i="40"/>
  <c r="F33" i="40"/>
  <c r="AA33" i="40" s="1"/>
  <c r="H33" i="40"/>
  <c r="U33" i="40" s="1"/>
  <c r="J35" i="40"/>
  <c r="AC35" i="40"/>
  <c r="J37" i="40"/>
  <c r="AC37" i="40"/>
  <c r="H13" i="40"/>
  <c r="U13" i="40" s="1"/>
  <c r="J13" i="40"/>
  <c r="W13" i="40" s="1"/>
  <c r="F13" i="40"/>
  <c r="AA13" i="40"/>
  <c r="F14" i="37"/>
  <c r="S14" i="37" s="1"/>
  <c r="F27" i="37"/>
  <c r="AA27" i="37" s="1"/>
  <c r="F13" i="39"/>
  <c r="J13" i="39"/>
  <c r="W13" i="39" s="1"/>
  <c r="H13" i="39"/>
  <c r="H14" i="40"/>
  <c r="AB14" i="40"/>
  <c r="J14" i="40"/>
  <c r="W14" i="40"/>
  <c r="F14" i="40"/>
  <c r="AA14" i="40"/>
  <c r="J14" i="37"/>
  <c r="AC14" i="37" s="1"/>
  <c r="J27" i="37"/>
  <c r="AC27" i="37" s="1"/>
  <c r="AA44" i="33"/>
  <c r="U31" i="34"/>
  <c r="AA14" i="33"/>
  <c r="J36" i="37"/>
  <c r="AC36" i="37"/>
  <c r="J10" i="36"/>
  <c r="AC10" i="36" s="1"/>
  <c r="AB26" i="33"/>
  <c r="AC13" i="36"/>
  <c r="W13" i="36"/>
  <c r="S11" i="36"/>
  <c r="AB46" i="34"/>
  <c r="AA14" i="34"/>
  <c r="AB45" i="33"/>
  <c r="AB31"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BA554" i="3"/>
  <c r="AZ554" i="3"/>
  <c r="BA552" i="3"/>
  <c r="AZ552" i="3"/>
  <c r="BA548" i="3"/>
  <c r="BA546" i="3"/>
  <c r="BA544" i="3"/>
  <c r="AZ544" i="3"/>
  <c r="BA542" i="3"/>
  <c r="AZ542" i="3"/>
  <c r="BA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AZ533" i="3" s="1"/>
  <c r="BA531" i="3"/>
  <c r="BA529" i="3"/>
  <c r="BA527" i="3"/>
  <c r="BA525" i="3"/>
  <c r="AZ525" i="3" s="1"/>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BQ541" i="3"/>
  <c r="BL541" i="3"/>
  <c r="AZ541" i="3" s="1"/>
  <c r="BQ539" i="3"/>
  <c r="BL539" i="3" s="1"/>
  <c r="AZ539" i="3" s="1"/>
  <c r="BQ537" i="3"/>
  <c r="BL537" i="3"/>
  <c r="AZ537" i="3" s="1"/>
  <c r="BQ535" i="3"/>
  <c r="BL535" i="3" s="1"/>
  <c r="AZ535" i="3" s="1"/>
  <c r="BQ533" i="3"/>
  <c r="BL533" i="3"/>
  <c r="BQ531" i="3"/>
  <c r="BL531" i="3" s="1"/>
  <c r="AZ531" i="3" s="1"/>
  <c r="BQ529" i="3"/>
  <c r="BL529" i="3"/>
  <c r="AZ529" i="3" s="1"/>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8" i="3"/>
  <c r="AZ32" i="3"/>
  <c r="AZ497" i="3"/>
  <c r="BL549" i="3"/>
  <c r="AZ549" i="3" s="1"/>
  <c r="AZ494" i="3"/>
  <c r="AZ502" i="3"/>
  <c r="AZ514"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AZ343" i="3" s="1"/>
  <c r="BA345" i="3"/>
  <c r="AZ345" i="3" s="1"/>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AZ380" i="3" s="1"/>
  <c r="G388" i="3"/>
  <c r="BL389" i="3"/>
  <c r="G390" i="3"/>
  <c r="BL391" i="3"/>
  <c r="BA393" i="3"/>
  <c r="AZ393" i="3" s="1"/>
  <c r="BA394" i="3"/>
  <c r="AZ394" i="3" s="1"/>
  <c r="BL394" i="3"/>
  <c r="G113" i="3"/>
  <c r="BA115" i="3"/>
  <c r="AZ115" i="3" s="1"/>
  <c r="BL116" i="3"/>
  <c r="AZ116" i="3"/>
  <c r="G117" i="3"/>
  <c r="BA119" i="3"/>
  <c r="AZ119" i="3" s="1"/>
  <c r="BL120" i="3"/>
  <c r="G121" i="3"/>
  <c r="BA123" i="3"/>
  <c r="AZ123" i="3"/>
  <c r="BL124" i="3"/>
  <c r="AZ124" i="3" s="1"/>
  <c r="G125" i="3"/>
  <c r="BA127" i="3"/>
  <c r="AZ127" i="3"/>
  <c r="BL128" i="3"/>
  <c r="AZ128" i="3" s="1"/>
  <c r="G129" i="3"/>
  <c r="BA131" i="3"/>
  <c r="AZ131" i="3"/>
  <c r="BL132" i="3"/>
  <c r="AZ132" i="3"/>
  <c r="G133" i="3"/>
  <c r="BA135" i="3"/>
  <c r="AZ135" i="3" s="1"/>
  <c r="BL136" i="3"/>
  <c r="G137" i="3"/>
  <c r="BA139" i="3"/>
  <c r="AZ139" i="3" s="1"/>
  <c r="BL140" i="3"/>
  <c r="G141" i="3"/>
  <c r="BA143" i="3"/>
  <c r="AZ143" i="3" s="1"/>
  <c r="BL144" i="3"/>
  <c r="AZ144" i="3" s="1"/>
  <c r="G145" i="3"/>
  <c r="BA147" i="3"/>
  <c r="AZ147" i="3"/>
  <c r="BL148" i="3"/>
  <c r="AZ148" i="3"/>
  <c r="G149" i="3"/>
  <c r="BA151" i="3"/>
  <c r="AZ151" i="3"/>
  <c r="BL152" i="3"/>
  <c r="AZ152" i="3" s="1"/>
  <c r="G153" i="3"/>
  <c r="BA155" i="3"/>
  <c r="BL156" i="3"/>
  <c r="AZ156" i="3" s="1"/>
  <c r="G157" i="3"/>
  <c r="BA159" i="3"/>
  <c r="AZ159" i="3"/>
  <c r="BL160" i="3"/>
  <c r="G161" i="3"/>
  <c r="BA163" i="3"/>
  <c r="AZ163" i="3"/>
  <c r="BL164" i="3"/>
  <c r="AZ164" i="3" s="1"/>
  <c r="G165" i="3"/>
  <c r="BA167" i="3"/>
  <c r="BL168" i="3"/>
  <c r="G169" i="3"/>
  <c r="BA171" i="3"/>
  <c r="AZ171" i="3" s="1"/>
  <c r="BL172" i="3"/>
  <c r="AZ172" i="3"/>
  <c r="G173" i="3"/>
  <c r="BA175" i="3"/>
  <c r="BL176" i="3"/>
  <c r="G177" i="3"/>
  <c r="BA179" i="3"/>
  <c r="AZ179" i="3" s="1"/>
  <c r="BL180" i="3"/>
  <c r="G181" i="3"/>
  <c r="BA183" i="3"/>
  <c r="AZ183" i="3" s="1"/>
  <c r="BL184" i="3"/>
  <c r="AZ184" i="3" s="1"/>
  <c r="G185" i="3"/>
  <c r="BA187" i="3"/>
  <c r="AZ187" i="3"/>
  <c r="BL188" i="3"/>
  <c r="G189" i="3"/>
  <c r="BA191" i="3"/>
  <c r="AZ191" i="3"/>
  <c r="BL192" i="3"/>
  <c r="G193" i="3"/>
  <c r="BA195" i="3"/>
  <c r="AZ195" i="3"/>
  <c r="BL196" i="3"/>
  <c r="G197" i="3"/>
  <c r="BA199" i="3"/>
  <c r="AZ199" i="3" s="1"/>
  <c r="BL200" i="3"/>
  <c r="G201" i="3"/>
  <c r="BA203" i="3"/>
  <c r="AZ203" i="3" s="1"/>
  <c r="BL204" i="3"/>
  <c r="AZ204" i="3" s="1"/>
  <c r="AZ51" i="3"/>
  <c r="AZ59" i="3"/>
  <c r="AZ67" i="3"/>
  <c r="AZ71" i="3"/>
  <c r="AZ79" i="3"/>
  <c r="AZ136" i="3"/>
  <c r="AZ160" i="3"/>
  <c r="AZ168" i="3"/>
  <c r="AZ176" i="3"/>
  <c r="AZ85" i="3"/>
  <c r="AZ97" i="3"/>
  <c r="AZ101" i="3"/>
  <c r="AZ105" i="3"/>
  <c r="AZ109"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90" i="3"/>
  <c r="AZ194" i="3"/>
  <c r="AZ500" i="3"/>
  <c r="BA16" i="3"/>
  <c r="AZ16" i="3"/>
  <c r="BL303" i="3"/>
  <c r="G304" i="3"/>
  <c r="BA306" i="3"/>
  <c r="AZ306" i="3"/>
  <c r="BL307" i="3"/>
  <c r="AZ307" i="3"/>
  <c r="G308" i="3"/>
  <c r="BA310" i="3"/>
  <c r="AZ310" i="3" s="1"/>
  <c r="BL311" i="3"/>
  <c r="AZ311" i="3"/>
  <c r="G312" i="3"/>
  <c r="BA314" i="3"/>
  <c r="AZ314" i="3"/>
  <c r="BL315" i="3"/>
  <c r="AZ315" i="3"/>
  <c r="G316" i="3"/>
  <c r="BA318" i="3"/>
  <c r="BL319" i="3"/>
  <c r="AZ319" i="3" s="1"/>
  <c r="G320" i="3"/>
  <c r="BA322" i="3"/>
  <c r="AZ322" i="3" s="1"/>
  <c r="BL323" i="3"/>
  <c r="AZ323" i="3" s="1"/>
  <c r="G324" i="3"/>
  <c r="BA326" i="3"/>
  <c r="AZ326" i="3"/>
  <c r="BL327" i="3"/>
  <c r="AZ327" i="3"/>
  <c r="G328" i="3"/>
  <c r="BA330" i="3"/>
  <c r="AZ330" i="3" s="1"/>
  <c r="BL331" i="3"/>
  <c r="AZ331" i="3"/>
  <c r="G332" i="3"/>
  <c r="BA334" i="3"/>
  <c r="AZ334" i="3"/>
  <c r="BL335" i="3"/>
  <c r="G336" i="3"/>
  <c r="BA338" i="3"/>
  <c r="AZ338" i="3" s="1"/>
  <c r="BL339" i="3"/>
  <c r="AZ339" i="3"/>
  <c r="G340" i="3"/>
  <c r="BL343" i="3"/>
  <c r="G344" i="3"/>
  <c r="G348" i="3"/>
  <c r="G355" i="3"/>
  <c r="AZ209" i="3"/>
  <c r="AZ214" i="3"/>
  <c r="AZ222" i="3"/>
  <c r="AZ303" i="3"/>
  <c r="AZ335" i="3"/>
  <c r="G342" i="3"/>
  <c r="BL345" i="3"/>
  <c r="G346" i="3"/>
  <c r="AZ348" i="3"/>
  <c r="BL349" i="3"/>
  <c r="AZ349" i="3" s="1"/>
  <c r="BL352" i="3"/>
  <c r="AZ352" i="3" s="1"/>
  <c r="G353" i="3"/>
  <c r="BA357" i="3"/>
  <c r="AZ357" i="3"/>
  <c r="BL358" i="3"/>
  <c r="AZ358" i="3" s="1"/>
  <c r="G359" i="3"/>
  <c r="BA361" i="3"/>
  <c r="AZ361" i="3"/>
  <c r="BL362" i="3"/>
  <c r="G363" i="3"/>
  <c r="BA365" i="3"/>
  <c r="AZ365" i="3"/>
  <c r="BL366" i="3"/>
  <c r="G367" i="3"/>
  <c r="BA369" i="3"/>
  <c r="AZ369" i="3" s="1"/>
  <c r="BL370" i="3"/>
  <c r="G371" i="3"/>
  <c r="BA373" i="3"/>
  <c r="AZ373" i="3" s="1"/>
  <c r="BL374" i="3"/>
  <c r="G375" i="3"/>
  <c r="BA377" i="3"/>
  <c r="AZ377" i="3" s="1"/>
  <c r="AZ233" i="3"/>
  <c r="AZ237" i="3"/>
  <c r="AZ241" i="3"/>
  <c r="AZ245" i="3"/>
  <c r="AZ249" i="3"/>
  <c r="AZ253" i="3"/>
  <c r="AZ257" i="3"/>
  <c r="AZ261" i="3"/>
  <c r="AZ265" i="3"/>
  <c r="AZ269" i="3"/>
  <c r="AZ273" i="3"/>
  <c r="AZ370"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17" i="3"/>
  <c r="AZ325" i="3"/>
  <c r="AZ333" i="3"/>
  <c r="BQ5" i="3"/>
  <c r="AC5" i="3"/>
  <c r="AZ506" i="3"/>
  <c r="AZ496" i="3"/>
  <c r="G548" i="3"/>
  <c r="G538" i="3"/>
  <c r="G520" i="3"/>
  <c r="G502" i="3"/>
  <c r="BS5" i="3"/>
  <c r="F28" i="6" s="1"/>
  <c r="BP5" i="3"/>
  <c r="BN5" i="3"/>
  <c r="G29" i="6" s="1"/>
  <c r="BK5" i="3"/>
  <c r="BI5" i="3"/>
  <c r="BG5" i="3"/>
  <c r="BE5" i="3"/>
  <c r="BC5" i="3"/>
  <c r="G17" i="3"/>
  <c r="BA17" i="3"/>
  <c r="BT5" i="3"/>
  <c r="AZ364" i="3"/>
  <c r="AZ368" i="3"/>
  <c r="BA15" i="3"/>
  <c r="AZ15" i="3" s="1"/>
  <c r="BB5" i="3"/>
  <c r="BR5" i="3"/>
  <c r="AZ388" i="3"/>
  <c r="AZ396" i="3"/>
  <c r="AZ499" i="3"/>
  <c r="AZ509" i="3"/>
  <c r="G509" i="3"/>
  <c r="BL493" i="3"/>
  <c r="AZ491" i="3"/>
  <c r="AZ493" i="3"/>
  <c r="U36" i="40"/>
  <c r="F83" i="43"/>
  <c r="H85" i="43" s="1"/>
  <c r="G85" i="43" s="1"/>
  <c r="F50" i="43"/>
  <c r="H54" i="43" s="1"/>
  <c r="F72" i="43"/>
  <c r="H75" i="43" s="1"/>
  <c r="U17" i="39"/>
  <c r="S14" i="35"/>
  <c r="U43" i="21"/>
  <c r="U35" i="21"/>
  <c r="AC35" i="21"/>
  <c r="G8" i="1"/>
  <c r="G10" i="1"/>
  <c r="AC11" i="39"/>
  <c r="AZ501" i="3"/>
  <c r="W37" i="37"/>
  <c r="W44" i="34"/>
  <c r="AC44" i="34"/>
  <c r="U13" i="37"/>
  <c r="U12" i="40"/>
  <c r="AA12" i="40"/>
  <c r="J37" i="33"/>
  <c r="W37" i="33" s="1"/>
  <c r="AC17" i="34"/>
  <c r="F106" i="33"/>
  <c r="G106" i="33" s="1"/>
  <c r="H106" i="33" s="1"/>
  <c r="I106" i="33" s="1"/>
  <c r="J106" i="33" s="1"/>
  <c r="K106" i="33" s="1"/>
  <c r="L106" i="33" s="1"/>
  <c r="M106" i="33" s="1"/>
  <c r="J34" i="33"/>
  <c r="AC34" i="33" s="1"/>
  <c r="F33" i="34"/>
  <c r="S33" i="34"/>
  <c r="W12" i="36"/>
  <c r="AC12" i="36"/>
  <c r="H20" i="36"/>
  <c r="U20" i="36"/>
  <c r="J20" i="36"/>
  <c r="W20" i="36" s="1"/>
  <c r="J27" i="36"/>
  <c r="W27" i="36" s="1"/>
  <c r="AB25" i="37"/>
  <c r="AC33" i="40"/>
  <c r="F111" i="40"/>
  <c r="G111" i="40"/>
  <c r="H111" i="40" s="1"/>
  <c r="I111" i="40" s="1"/>
  <c r="J111" i="40" s="1"/>
  <c r="K111" i="40" s="1"/>
  <c r="L111" i="40" s="1"/>
  <c r="M111" i="40" s="1"/>
  <c r="H35" i="40"/>
  <c r="U35" i="40" s="1"/>
  <c r="AB35" i="40"/>
  <c r="AC29" i="35"/>
  <c r="W29" i="35"/>
  <c r="H35" i="37"/>
  <c r="U35" i="37"/>
  <c r="AC14" i="35"/>
  <c r="H20" i="35"/>
  <c r="U20" i="35" s="1"/>
  <c r="F20" i="35"/>
  <c r="AA20" i="35" s="1"/>
  <c r="AB23" i="35"/>
  <c r="AB29" i="36"/>
  <c r="U29" i="36"/>
  <c r="H32" i="37"/>
  <c r="AB32" i="37"/>
  <c r="F96" i="37"/>
  <c r="H27" i="40"/>
  <c r="U27" i="40" s="1"/>
  <c r="J27" i="40"/>
  <c r="AC27" i="40"/>
  <c r="F27" i="40"/>
  <c r="S27" i="40" s="1"/>
  <c r="J30" i="40"/>
  <c r="AC30" i="40" s="1"/>
  <c r="F30" i="40"/>
  <c r="AA30" i="40" s="1"/>
  <c r="AC21" i="40"/>
  <c r="S31" i="39"/>
  <c r="S11" i="40"/>
  <c r="E98" i="40"/>
  <c r="F98" i="40"/>
  <c r="G98" i="40" s="1"/>
  <c r="H98" i="40"/>
  <c r="I98" i="40" s="1"/>
  <c r="J98" i="40" s="1"/>
  <c r="K98" i="40" s="1"/>
  <c r="L98" i="40" s="1"/>
  <c r="M98" i="40" s="1"/>
  <c r="F10" i="33"/>
  <c r="S10" i="33" s="1"/>
  <c r="F34" i="33"/>
  <c r="S34" i="33"/>
  <c r="H34" i="33"/>
  <c r="U34" i="33" s="1"/>
  <c r="F35" i="33"/>
  <c r="S35" i="33"/>
  <c r="F39" i="34"/>
  <c r="S39" i="34"/>
  <c r="J39" i="34"/>
  <c r="W39" i="34"/>
  <c r="F40" i="34"/>
  <c r="S40" i="34" s="1"/>
  <c r="F43" i="34"/>
  <c r="AA43" i="34"/>
  <c r="H44" i="34"/>
  <c r="AB44" i="34"/>
  <c r="AC38" i="39"/>
  <c r="F39" i="39"/>
  <c r="S39" i="39" s="1"/>
  <c r="J39" i="39"/>
  <c r="AC39" i="39" s="1"/>
  <c r="E96" i="39"/>
  <c r="F96" i="39" s="1"/>
  <c r="G96" i="39" s="1"/>
  <c r="AZ353" i="3"/>
  <c r="AZ354" i="3"/>
  <c r="C40" i="11"/>
  <c r="AZ235" i="3"/>
  <c r="AZ240" i="3"/>
  <c r="AZ243" i="3"/>
  <c r="AZ248" i="3"/>
  <c r="AZ251" i="3"/>
  <c r="AZ256" i="3"/>
  <c r="AZ259" i="3"/>
  <c r="AZ268" i="3"/>
  <c r="AZ271" i="3"/>
  <c r="AZ280" i="3"/>
  <c r="AZ288" i="3"/>
  <c r="AZ296" i="3"/>
  <c r="AZ114" i="3"/>
  <c r="AZ117" i="3"/>
  <c r="AZ130" i="3"/>
  <c r="AZ133" i="3"/>
  <c r="AZ29" i="3"/>
  <c r="AZ31" i="3"/>
  <c r="AZ33" i="3"/>
  <c r="AZ42" i="3"/>
  <c r="AZ45" i="3"/>
  <c r="AZ53" i="3"/>
  <c r="AZ58" i="3"/>
  <c r="AZ69" i="3"/>
  <c r="AZ74" i="3"/>
  <c r="AZ82" i="3"/>
  <c r="AZ94" i="3"/>
  <c r="F23" i="39"/>
  <c r="H27" i="36"/>
  <c r="U27" i="36" s="1"/>
  <c r="F27" i="36"/>
  <c r="AA27" i="36" s="1"/>
  <c r="H33" i="34"/>
  <c r="U33" i="34" s="1"/>
  <c r="F32" i="37"/>
  <c r="AA32" i="37" s="1"/>
  <c r="G96" i="37"/>
  <c r="H96" i="37" s="1"/>
  <c r="I96" i="37" s="1"/>
  <c r="J96" i="37" s="1"/>
  <c r="K96" i="37"/>
  <c r="L96" i="37" s="1"/>
  <c r="M96" i="37" s="1"/>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H12" i="39"/>
  <c r="F39" i="40"/>
  <c r="BA14" i="3"/>
  <c r="AZ238" i="3"/>
  <c r="AZ250" i="3"/>
  <c r="AZ254" i="3"/>
  <c r="AZ281" i="3"/>
  <c r="AZ286" i="3"/>
  <c r="AZ297" i="3"/>
  <c r="AZ149" i="3"/>
  <c r="AZ157" i="3"/>
  <c r="AZ165" i="3"/>
  <c r="AZ197" i="3"/>
  <c r="AZ19" i="3"/>
  <c r="AZ41" i="3"/>
  <c r="B12" i="1"/>
  <c r="E12" i="1" s="1"/>
  <c r="B10" i="1"/>
  <c r="E10" i="1" s="1"/>
  <c r="AZ84" i="3"/>
  <c r="AZ88" i="3"/>
  <c r="AZ107" i="3"/>
  <c r="AZ111" i="3"/>
  <c r="K12" i="1"/>
  <c r="M12" i="1" s="1"/>
  <c r="S13" i="1"/>
  <c r="AR13" i="1" s="1"/>
  <c r="R13" i="1"/>
  <c r="J51" i="67"/>
  <c r="C42" i="1"/>
  <c r="C24" i="12" s="1"/>
  <c r="AA34" i="33"/>
  <c r="B41" i="1"/>
  <c r="F48" i="9" s="1"/>
  <c r="O52" i="9" s="1"/>
  <c r="AB37" i="40"/>
  <c r="S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F87" i="33"/>
  <c r="H25" i="33"/>
  <c r="F25" i="33"/>
  <c r="S25" i="33" s="1"/>
  <c r="J23" i="33"/>
  <c r="F85" i="33"/>
  <c r="H23" i="33"/>
  <c r="AB23" i="33" s="1"/>
  <c r="F81" i="33"/>
  <c r="F19" i="33"/>
  <c r="W19" i="33"/>
  <c r="J17" i="33"/>
  <c r="W17" i="33" s="1"/>
  <c r="F79" i="33"/>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S35" i="21"/>
  <c r="J37" i="21"/>
  <c r="W37" i="21" s="1"/>
  <c r="H15" i="21"/>
  <c r="AB15" i="21" s="1"/>
  <c r="J17" i="21"/>
  <c r="AC17" i="21" s="1"/>
  <c r="AC19" i="21"/>
  <c r="W39" i="21"/>
  <c r="AC14" i="21"/>
  <c r="W30" i="21"/>
  <c r="S46" i="21"/>
  <c r="H45" i="21"/>
  <c r="U45" i="21" s="1"/>
  <c r="F29" i="21"/>
  <c r="S29" i="21"/>
  <c r="F13" i="21"/>
  <c r="AA13" i="21" s="1"/>
  <c r="AC38" i="21"/>
  <c r="H32" i="21"/>
  <c r="H9" i="21"/>
  <c r="AB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W27" i="33" s="1"/>
  <c r="U25" i="33"/>
  <c r="AB25" i="33"/>
  <c r="G87" i="33"/>
  <c r="H87" i="33"/>
  <c r="I87" i="33" s="1"/>
  <c r="J87" i="33" s="1"/>
  <c r="K87" i="33" s="1"/>
  <c r="L87" i="33" s="1"/>
  <c r="M87" i="33" s="1"/>
  <c r="J25" i="33"/>
  <c r="W25" i="33" s="1"/>
  <c r="F23" i="33"/>
  <c r="S23" i="33" s="1"/>
  <c r="G85" i="33"/>
  <c r="AC23" i="33"/>
  <c r="W23" i="33"/>
  <c r="H19" i="33"/>
  <c r="U19" i="33" s="1"/>
  <c r="G81" i="33"/>
  <c r="G79" i="33"/>
  <c r="H17" i="33"/>
  <c r="U17" i="33" s="1"/>
  <c r="F17" i="33"/>
  <c r="AA17" i="33" s="1"/>
  <c r="S37" i="21"/>
  <c r="AA23" i="21"/>
  <c r="J23" i="21"/>
  <c r="W23" i="21" s="1"/>
  <c r="F85" i="21"/>
  <c r="G85" i="21"/>
  <c r="H23" i="21"/>
  <c r="S13" i="21"/>
  <c r="D6" i="52"/>
  <c r="AP7" i="1"/>
  <c r="AB45" i="21"/>
  <c r="U9" i="21"/>
  <c r="AB32" i="21"/>
  <c r="U32" i="21"/>
  <c r="U32" i="39"/>
  <c r="W32" i="39"/>
  <c r="W19" i="37"/>
  <c r="AC19" i="37"/>
  <c r="H63" i="37"/>
  <c r="I63" i="37"/>
  <c r="J63" i="37"/>
  <c r="K63" i="37" s="1"/>
  <c r="L63" i="37" s="1"/>
  <c r="M63" i="37" s="1"/>
  <c r="J11" i="37"/>
  <c r="AC11" i="37" s="1"/>
  <c r="H70" i="34"/>
  <c r="I70" i="34"/>
  <c r="J70" i="34"/>
  <c r="K70" i="34"/>
  <c r="L70" i="34" s="1"/>
  <c r="M70" i="34" s="1"/>
  <c r="J11" i="34"/>
  <c r="W11" i="34" s="1"/>
  <c r="AB36" i="33"/>
  <c r="AC27" i="33"/>
  <c r="AB19" i="33"/>
  <c r="U23" i="21"/>
  <c r="AB23" i="21"/>
  <c r="AC23" i="21"/>
  <c r="H109" i="9"/>
  <c r="D16" i="53" s="1"/>
  <c r="B34" i="72" s="1"/>
  <c r="H112" i="9"/>
  <c r="D21" i="53" s="1"/>
  <c r="B39" i="72" s="1"/>
  <c r="H111" i="9"/>
  <c r="D126" i="9" s="1"/>
  <c r="AD3" i="71"/>
  <c r="J1" i="73"/>
  <c r="H69" i="43"/>
  <c r="H50" i="43"/>
  <c r="C22" i="71"/>
  <c r="C21" i="71" s="1"/>
  <c r="D22" i="71"/>
  <c r="D23" i="71"/>
  <c r="D24" i="71"/>
  <c r="U24" i="71"/>
  <c r="S24" i="71"/>
  <c r="T24" i="71"/>
  <c r="AB22" i="71"/>
  <c r="X20" i="71"/>
  <c r="X19" i="71"/>
  <c r="AA20" i="71"/>
  <c r="AA19" i="71"/>
  <c r="X23" i="71"/>
  <c r="Y19" i="71"/>
  <c r="Z19" i="71" s="1"/>
  <c r="AB20" i="71"/>
  <c r="AB19" i="71"/>
  <c r="S20" i="71"/>
  <c r="Y20" i="71"/>
  <c r="Z20" i="71" s="1"/>
  <c r="X3" i="71"/>
  <c r="E21" i="71"/>
  <c r="E20" i="71"/>
  <c r="E19" i="71" s="1"/>
  <c r="E18" i="71" s="1"/>
  <c r="E17" i="71" s="1"/>
  <c r="E16" i="71" s="1"/>
  <c r="V20" i="71"/>
  <c r="F5" i="73"/>
  <c r="E12" i="76"/>
  <c r="E8" i="76"/>
  <c r="F20" i="31"/>
  <c r="B12" i="76"/>
  <c r="D35" i="9"/>
  <c r="B8" i="76"/>
  <c r="B13" i="76"/>
  <c r="E7" i="76"/>
  <c r="F7" i="73"/>
  <c r="E11" i="76"/>
  <c r="F13" i="67"/>
  <c r="F6" i="73"/>
  <c r="M28" i="67"/>
  <c r="M9" i="15"/>
  <c r="E2" i="69"/>
  <c r="F4" i="73"/>
  <c r="B7" i="76"/>
  <c r="F37" i="15"/>
  <c r="B10" i="76"/>
  <c r="M23" i="15"/>
  <c r="F3" i="73"/>
  <c r="E13" i="76"/>
  <c r="F26" i="15"/>
  <c r="D34" i="9"/>
  <c r="B11" i="76"/>
  <c r="F13" i="15"/>
  <c r="M6" i="15"/>
  <c r="D4" i="73"/>
  <c r="E2" i="68"/>
  <c r="F43" i="67"/>
  <c r="E10" i="76"/>
  <c r="F9" i="15"/>
  <c r="D3" i="73"/>
  <c r="F42" i="15"/>
  <c r="F43" i="15"/>
  <c r="M22" i="67"/>
  <c r="J15" i="67"/>
  <c r="F7" i="67"/>
  <c r="F38" i="15"/>
  <c r="F40" i="67"/>
  <c r="M26" i="15"/>
  <c r="M8" i="15"/>
  <c r="F16" i="67"/>
  <c r="L47" i="15"/>
  <c r="F36" i="15"/>
  <c r="M29" i="15"/>
  <c r="M24" i="15"/>
  <c r="L48" i="67"/>
  <c r="M8" i="67"/>
  <c r="F26" i="67"/>
  <c r="AO13" i="1"/>
  <c r="M24" i="67"/>
  <c r="E9" i="76"/>
  <c r="B9" i="76"/>
  <c r="D5" i="73"/>
  <c r="M6" i="67"/>
  <c r="F7" i="15"/>
  <c r="D6" i="73"/>
  <c r="C20" i="71" l="1"/>
  <c r="D21" i="71"/>
  <c r="S23" i="39"/>
  <c r="AA23" i="39"/>
  <c r="AZ569" i="3"/>
  <c r="U23" i="33"/>
  <c r="U12" i="39"/>
  <c r="AB12" i="39"/>
  <c r="AA23" i="33"/>
  <c r="AA25" i="33"/>
  <c r="U15" i="21"/>
  <c r="AA19" i="33"/>
  <c r="S19" i="33"/>
  <c r="AC25" i="33"/>
  <c r="AA32" i="21"/>
  <c r="W17" i="21"/>
  <c r="AZ507" i="3"/>
  <c r="AZ527" i="3"/>
  <c r="AZ543" i="3"/>
  <c r="AB17" i="33"/>
  <c r="S17" i="33"/>
  <c r="AC23" i="37"/>
  <c r="W9" i="21"/>
  <c r="AC17" i="33"/>
  <c r="W32" i="33"/>
  <c r="E15" i="71"/>
  <c r="E14" i="71" s="1"/>
  <c r="E13" i="71" s="1"/>
  <c r="E12" i="71" s="1"/>
  <c r="V16" i="71"/>
  <c r="AZ557" i="3"/>
  <c r="S32" i="37"/>
  <c r="S30" i="40"/>
  <c r="U43" i="33"/>
  <c r="AA41" i="34"/>
  <c r="S20" i="35"/>
  <c r="AB27" i="40"/>
  <c r="W34" i="33"/>
  <c r="S15" i="37"/>
  <c r="M85" i="43"/>
  <c r="N85" i="43" s="1"/>
  <c r="K85" i="43"/>
  <c r="W31" i="34"/>
  <c r="F29" i="6"/>
  <c r="S45" i="33"/>
  <c r="AA14" i="37"/>
  <c r="U46" i="33"/>
  <c r="AB30" i="21"/>
  <c r="W44" i="33"/>
  <c r="AC30" i="34"/>
  <c r="AA13" i="35"/>
  <c r="AA27" i="40"/>
  <c r="AC31" i="33"/>
  <c r="W29" i="33"/>
  <c r="B79" i="43"/>
  <c r="F34" i="35"/>
  <c r="H34" i="35"/>
  <c r="F25" i="37"/>
  <c r="H9" i="34"/>
  <c r="J9" i="34"/>
  <c r="H36" i="35"/>
  <c r="J36" i="35"/>
  <c r="H38" i="40"/>
  <c r="F38" i="40"/>
  <c r="J38" i="40"/>
  <c r="J9" i="36"/>
  <c r="H9" i="36"/>
  <c r="J24" i="36"/>
  <c r="G558" i="3"/>
  <c r="BL550" i="3"/>
  <c r="AZ550" i="3" s="1"/>
  <c r="BL548" i="3"/>
  <c r="AZ548" i="3" s="1"/>
  <c r="AA29" i="35"/>
  <c r="U33" i="35"/>
  <c r="AZ400" i="3"/>
  <c r="AZ403" i="3"/>
  <c r="AZ449" i="3"/>
  <c r="AZ462" i="3"/>
  <c r="AZ480" i="3"/>
  <c r="AZ415" i="3"/>
  <c r="AZ459" i="3"/>
  <c r="AZ478" i="3"/>
  <c r="AZ404" i="3"/>
  <c r="AZ418" i="3"/>
  <c r="AZ425" i="3"/>
  <c r="AZ454" i="3"/>
  <c r="AZ482" i="3"/>
  <c r="AZ446" i="3"/>
  <c r="AZ455" i="3"/>
  <c r="AZ460" i="3"/>
  <c r="AZ397" i="3"/>
  <c r="G582" i="3"/>
  <c r="AZ414" i="3"/>
  <c r="AZ420" i="3"/>
  <c r="AZ452" i="3"/>
  <c r="AZ453" i="3"/>
  <c r="AZ469" i="3"/>
  <c r="AZ470" i="3"/>
  <c r="AZ413" i="3"/>
  <c r="AZ444" i="3"/>
  <c r="AZ445" i="3"/>
  <c r="AZ448" i="3"/>
  <c r="AZ477" i="3"/>
  <c r="AZ435" i="3"/>
  <c r="AZ471" i="3"/>
  <c r="AZ210" i="3"/>
  <c r="F44" i="39"/>
  <c r="AZ421" i="3"/>
  <c r="AZ426" i="3"/>
  <c r="AZ429" i="3"/>
  <c r="AZ463" i="3"/>
  <c r="BA374" i="3"/>
  <c r="AZ374" i="3" s="1"/>
  <c r="BL210" i="3"/>
  <c r="BA367" i="3"/>
  <c r="AZ367" i="3" s="1"/>
  <c r="BL211" i="3"/>
  <c r="BL212" i="3"/>
  <c r="AZ228" i="3"/>
  <c r="BL234" i="3"/>
  <c r="AZ267" i="3"/>
  <c r="AZ300" i="3"/>
  <c r="BA366" i="3"/>
  <c r="AZ366" i="3" s="1"/>
  <c r="BL213" i="3"/>
  <c r="AZ213" i="3" s="1"/>
  <c r="BA216" i="3"/>
  <c r="AZ216" i="3" s="1"/>
  <c r="AZ226" i="3"/>
  <c r="BA227" i="3"/>
  <c r="AZ227" i="3" s="1"/>
  <c r="BA230" i="3"/>
  <c r="AZ230" i="3" s="1"/>
  <c r="AZ276" i="3"/>
  <c r="AZ277" i="3"/>
  <c r="AZ125" i="3"/>
  <c r="F6" i="1"/>
  <c r="G6" i="1" s="1"/>
  <c r="BA350" i="3"/>
  <c r="AZ350" i="3" s="1"/>
  <c r="BA395" i="3"/>
  <c r="BA218" i="3"/>
  <c r="BA219" i="3"/>
  <c r="AZ219" i="3" s="1"/>
  <c r="AZ220" i="3"/>
  <c r="BL232" i="3"/>
  <c r="AZ232" i="3" s="1"/>
  <c r="AZ258" i="3"/>
  <c r="AZ121" i="3"/>
  <c r="AZ122" i="3"/>
  <c r="AZ126" i="3"/>
  <c r="AZ145" i="3"/>
  <c r="BA386" i="3"/>
  <c r="AZ386" i="3" s="1"/>
  <c r="G215" i="3"/>
  <c r="BL215" i="3"/>
  <c r="AZ215" i="3" s="1"/>
  <c r="BL226" i="3"/>
  <c r="BL229" i="3"/>
  <c r="AZ229" i="3" s="1"/>
  <c r="AZ255" i="3"/>
  <c r="AZ272" i="3"/>
  <c r="AZ294" i="3"/>
  <c r="G384" i="3"/>
  <c r="BA208" i="3"/>
  <c r="AZ208" i="3" s="1"/>
  <c r="G217" i="3"/>
  <c r="BL218" i="3"/>
  <c r="BL223" i="3"/>
  <c r="AZ223" i="3" s="1"/>
  <c r="AZ161" i="3"/>
  <c r="BL395" i="3"/>
  <c r="BL397" i="3"/>
  <c r="BL224" i="3"/>
  <c r="AZ224" i="3" s="1"/>
  <c r="AZ236" i="3"/>
  <c r="AZ284" i="3"/>
  <c r="G380" i="3"/>
  <c r="BA211" i="3"/>
  <c r="AZ211" i="3" s="1"/>
  <c r="BA212" i="3"/>
  <c r="AZ212" i="3" s="1"/>
  <c r="BA234" i="3"/>
  <c r="AZ234" i="3" s="1"/>
  <c r="AZ113" i="3"/>
  <c r="BA140" i="3"/>
  <c r="AZ140" i="3" s="1"/>
  <c r="BL167" i="3"/>
  <c r="AZ167" i="3" s="1"/>
  <c r="BA180" i="3"/>
  <c r="AZ180" i="3" s="1"/>
  <c r="BA192" i="3"/>
  <c r="AZ192" i="3" s="1"/>
  <c r="BA26" i="3"/>
  <c r="AZ27" i="3"/>
  <c r="BL39" i="3"/>
  <c r="AZ39" i="3" s="1"/>
  <c r="BA75" i="3"/>
  <c r="G81" i="3"/>
  <c r="BL104" i="3"/>
  <c r="V28" i="71"/>
  <c r="E27" i="71"/>
  <c r="E26" i="71" s="1"/>
  <c r="AZ52" i="3"/>
  <c r="AZ98" i="3"/>
  <c r="C60" i="71"/>
  <c r="D59" i="71"/>
  <c r="G134" i="3"/>
  <c r="BL161" i="3"/>
  <c r="BA196" i="3"/>
  <c r="AZ196" i="3" s="1"/>
  <c r="BA198" i="3"/>
  <c r="AZ198" i="3" s="1"/>
  <c r="BA22" i="3"/>
  <c r="AZ22" i="3" s="1"/>
  <c r="BL26" i="3"/>
  <c r="G33" i="3"/>
  <c r="G5" i="3" s="1"/>
  <c r="B3" i="3" s="1"/>
  <c r="AZ48" i="3"/>
  <c r="BA50" i="3"/>
  <c r="BL52" i="3"/>
  <c r="AZ57" i="3"/>
  <c r="BL75" i="3"/>
  <c r="BL77" i="3"/>
  <c r="AZ77" i="3" s="1"/>
  <c r="BA95" i="3"/>
  <c r="AZ95" i="3" s="1"/>
  <c r="BA96" i="3"/>
  <c r="G101" i="3"/>
  <c r="BL102" i="3"/>
  <c r="AZ104" i="3"/>
  <c r="G128" i="3"/>
  <c r="BL155" i="3"/>
  <c r="AZ155" i="3" s="1"/>
  <c r="BA200" i="3"/>
  <c r="AZ200" i="3" s="1"/>
  <c r="BA202" i="3"/>
  <c r="AZ202" i="3" s="1"/>
  <c r="G23" i="3"/>
  <c r="BA47" i="3"/>
  <c r="BL72" i="3"/>
  <c r="AZ72" i="3" s="1"/>
  <c r="G74" i="3"/>
  <c r="BA90" i="3"/>
  <c r="BA93" i="3"/>
  <c r="BL98" i="3"/>
  <c r="D42" i="71"/>
  <c r="C43" i="71"/>
  <c r="BL198" i="3"/>
  <c r="BL27" i="3"/>
  <c r="BA44" i="3"/>
  <c r="BL49" i="3"/>
  <c r="AZ49" i="3" s="1"/>
  <c r="BL50" i="3"/>
  <c r="BA61" i="3"/>
  <c r="AZ61" i="3" s="1"/>
  <c r="BA64" i="3"/>
  <c r="AZ64" i="3" s="1"/>
  <c r="BA87" i="3"/>
  <c r="AZ87" i="3" s="1"/>
  <c r="BL96" i="3"/>
  <c r="G150" i="3"/>
  <c r="BL173" i="3"/>
  <c r="AZ173" i="3" s="1"/>
  <c r="BA177" i="3"/>
  <c r="AZ177" i="3" s="1"/>
  <c r="BA186" i="3"/>
  <c r="BA189" i="3"/>
  <c r="AZ189" i="3" s="1"/>
  <c r="G196" i="3"/>
  <c r="BA205" i="3"/>
  <c r="BL21" i="3"/>
  <c r="AZ21" i="3" s="1"/>
  <c r="BL24" i="3"/>
  <c r="AZ24" i="3" s="1"/>
  <c r="BL46" i="3"/>
  <c r="AZ46" i="3" s="1"/>
  <c r="BL47" i="3"/>
  <c r="BA60" i="3"/>
  <c r="AZ60" i="3" s="1"/>
  <c r="BL68" i="3"/>
  <c r="AZ68" i="3" s="1"/>
  <c r="BA83" i="3"/>
  <c r="AZ83" i="3" s="1"/>
  <c r="BL89" i="3"/>
  <c r="AZ89" i="3" s="1"/>
  <c r="BL90" i="3"/>
  <c r="BL93" i="3"/>
  <c r="AZ108" i="3"/>
  <c r="C27" i="71"/>
  <c r="T28" i="71"/>
  <c r="D28" i="71"/>
  <c r="U28" i="71" s="1"/>
  <c r="G144" i="3"/>
  <c r="BL175" i="3"/>
  <c r="AZ175" i="3" s="1"/>
  <c r="BA188" i="3"/>
  <c r="AZ188" i="3" s="1"/>
  <c r="G202" i="3"/>
  <c r="BA206" i="3"/>
  <c r="AZ206" i="3" s="1"/>
  <c r="BA207" i="3"/>
  <c r="AZ207" i="3" s="1"/>
  <c r="BA35" i="3"/>
  <c r="AZ35" i="3" s="1"/>
  <c r="BA36" i="3"/>
  <c r="AZ36" i="3" s="1"/>
  <c r="BA37" i="3"/>
  <c r="AZ37" i="3" s="1"/>
  <c r="BA38" i="3"/>
  <c r="AZ38" i="3" s="1"/>
  <c r="BA40" i="3"/>
  <c r="AZ40" i="3" s="1"/>
  <c r="BL43" i="3"/>
  <c r="AZ43" i="3" s="1"/>
  <c r="BL44" i="3"/>
  <c r="BA55" i="3"/>
  <c r="AZ55" i="3" s="1"/>
  <c r="BL62" i="3"/>
  <c r="AZ62" i="3" s="1"/>
  <c r="BL63" i="3"/>
  <c r="AZ63" i="3" s="1"/>
  <c r="BL65" i="3"/>
  <c r="AZ65" i="3" s="1"/>
  <c r="BL66" i="3"/>
  <c r="AZ66" i="3" s="1"/>
  <c r="AZ70" i="3"/>
  <c r="BA80" i="3"/>
  <c r="AZ80" i="3" s="1"/>
  <c r="BL86" i="3"/>
  <c r="AZ86" i="3" s="1"/>
  <c r="G88" i="3"/>
  <c r="BA169" i="3"/>
  <c r="AZ169" i="3" s="1"/>
  <c r="G175" i="3"/>
  <c r="BA181" i="3"/>
  <c r="AZ181" i="3" s="1"/>
  <c r="BL186" i="3"/>
  <c r="BL205" i="3"/>
  <c r="BA18" i="3"/>
  <c r="AZ18" i="3" s="1"/>
  <c r="AZ34" i="3"/>
  <c r="AZ78" i="3"/>
  <c r="BA102" i="3"/>
  <c r="AZ102" i="3" s="1"/>
  <c r="AB21" i="34"/>
  <c r="AA21" i="34"/>
  <c r="AA3" i="71"/>
  <c r="AB31" i="71"/>
  <c r="Y35" i="71"/>
  <c r="Z35" i="71" s="1"/>
  <c r="D62" i="71"/>
  <c r="C63" i="71"/>
  <c r="Y22" i="71"/>
  <c r="Z22" i="71" s="1"/>
  <c r="AA22" i="71"/>
  <c r="X22" i="71"/>
  <c r="BL112" i="3"/>
  <c r="AZ112" i="3" s="1"/>
  <c r="W21" i="21"/>
  <c r="W18" i="35"/>
  <c r="B100" i="43"/>
  <c r="B57" i="43"/>
  <c r="AA25" i="40"/>
  <c r="X38" i="71"/>
  <c r="AB33" i="71"/>
  <c r="Y29" i="71"/>
  <c r="Z29" i="71" s="1"/>
  <c r="Y30" i="71"/>
  <c r="Z30" i="71" s="1"/>
  <c r="AB36" i="71"/>
  <c r="Y9" i="71"/>
  <c r="Z9" i="71" s="1"/>
  <c r="Y10" i="71"/>
  <c r="Z10" i="71" s="1"/>
  <c r="F71" i="71"/>
  <c r="F70" i="71" s="1"/>
  <c r="AB23" i="71"/>
  <c r="Y12" i="71"/>
  <c r="Z12" i="71" s="1"/>
  <c r="BA110" i="3"/>
  <c r="AZ110" i="3" s="1"/>
  <c r="B88" i="43"/>
  <c r="C25" i="40"/>
  <c r="P27" i="6"/>
  <c r="C39" i="71"/>
  <c r="Y27" i="71"/>
  <c r="Z27" i="71" s="1"/>
  <c r="C35" i="71"/>
  <c r="AA33" i="71"/>
  <c r="E30" i="71"/>
  <c r="E31" i="71" s="1"/>
  <c r="E32" i="71" s="1"/>
  <c r="U32" i="71" s="1"/>
  <c r="X32" i="71"/>
  <c r="Y33" i="71"/>
  <c r="Z33" i="71" s="1"/>
  <c r="Y34" i="71"/>
  <c r="Z34" i="71" s="1"/>
  <c r="D51" i="71"/>
  <c r="C52" i="71"/>
  <c r="P68" i="71"/>
  <c r="Y18" i="71"/>
  <c r="Z18" i="71" s="1"/>
  <c r="D66" i="71"/>
  <c r="O66" i="71"/>
  <c r="B38" i="71"/>
  <c r="B39" i="71" s="1"/>
  <c r="B40" i="71" s="1"/>
  <c r="S40" i="71" s="1"/>
  <c r="X37" i="71"/>
  <c r="AB24" i="71"/>
  <c r="AA11" i="71"/>
  <c r="G106" i="3"/>
  <c r="AB21" i="21"/>
  <c r="AA21" i="21"/>
  <c r="N65" i="71"/>
  <c r="AB25" i="71"/>
  <c r="AB28" i="71"/>
  <c r="AB27" i="71"/>
  <c r="AA28" i="71"/>
  <c r="AA27" i="71"/>
  <c r="D31" i="71"/>
  <c r="C32" i="71"/>
  <c r="Y26" i="71"/>
  <c r="Z26" i="71" s="1"/>
  <c r="AA32" i="71"/>
  <c r="E35" i="71"/>
  <c r="E36" i="71" s="1"/>
  <c r="U36" i="71" s="1"/>
  <c r="X33" i="71"/>
  <c r="AB30" i="71"/>
  <c r="Y32" i="71"/>
  <c r="Z32" i="71" s="1"/>
  <c r="AB34" i="71"/>
  <c r="AB39" i="71"/>
  <c r="F75" i="71"/>
  <c r="F74" i="71" s="1"/>
  <c r="AA18" i="71"/>
  <c r="Y14" i="71"/>
  <c r="Z14" i="71" s="1"/>
  <c r="X17" i="71"/>
  <c r="G103" i="3"/>
  <c r="E67" i="71"/>
  <c r="X26" i="71"/>
  <c r="Y25" i="71"/>
  <c r="Z25" i="71" s="1"/>
  <c r="X36" i="71"/>
  <c r="X29" i="71"/>
  <c r="X28" i="71"/>
  <c r="X24" i="71"/>
  <c r="X30" i="71"/>
  <c r="X27" i="71"/>
  <c r="E38" i="71"/>
  <c r="E39" i="71" s="1"/>
  <c r="E40" i="71" s="1"/>
  <c r="U40" i="71" s="1"/>
  <c r="AA36" i="71"/>
  <c r="AB38" i="71"/>
  <c r="B48" i="71"/>
  <c r="S48" i="71" s="1"/>
  <c r="B79" i="71"/>
  <c r="B78" i="71" s="1"/>
  <c r="Y24" i="71"/>
  <c r="Z24" i="71" s="1"/>
  <c r="AA21" i="71"/>
  <c r="AB18" i="71"/>
  <c r="BA100" i="3"/>
  <c r="AZ100" i="3" s="1"/>
  <c r="U29" i="39"/>
  <c r="AA26" i="71"/>
  <c r="F28" i="71"/>
  <c r="F27" i="71" s="1"/>
  <c r="F26" i="71" s="1"/>
  <c r="D46" i="71"/>
  <c r="X25" i="71"/>
  <c r="X31" i="71"/>
  <c r="Y31" i="71"/>
  <c r="Z31" i="71" s="1"/>
  <c r="AB37" i="71"/>
  <c r="E51" i="71"/>
  <c r="E52" i="71" s="1"/>
  <c r="U52" i="71" s="1"/>
  <c r="F66" i="71"/>
  <c r="Q67" i="71"/>
  <c r="AA24" i="71"/>
  <c r="AB10" i="71"/>
  <c r="AB14" i="71"/>
  <c r="BL99" i="3"/>
  <c r="AZ99" i="3" s="1"/>
  <c r="AC21" i="34"/>
  <c r="U25" i="40"/>
  <c r="O65" i="71"/>
  <c r="AA25" i="71"/>
  <c r="X35" i="71"/>
  <c r="AB29" i="71"/>
  <c r="Y28" i="71"/>
  <c r="Z28" i="71" s="1"/>
  <c r="F40" i="71"/>
  <c r="V40" i="71" s="1"/>
  <c r="X9" i="71"/>
  <c r="X10" i="71"/>
  <c r="F59" i="71"/>
  <c r="F60" i="71" s="1"/>
  <c r="V60" i="71" s="1"/>
  <c r="AB21" i="71"/>
  <c r="Y23" i="71"/>
  <c r="Z23" i="71" s="1"/>
  <c r="X21" i="71"/>
  <c r="X18" i="71"/>
  <c r="AB13" i="71"/>
  <c r="AA10" i="71"/>
  <c r="AB17" i="71"/>
  <c r="X15" i="71"/>
  <c r="Y11" i="71"/>
  <c r="Z11" i="71" s="1"/>
  <c r="F24" i="71"/>
  <c r="F23" i="71" s="1"/>
  <c r="F22" i="71" s="1"/>
  <c r="F21" i="71" s="1"/>
  <c r="F20" i="71" s="1"/>
  <c r="F19" i="71" s="1"/>
  <c r="F18" i="71" s="1"/>
  <c r="F17" i="71" s="1"/>
  <c r="Y13" i="71"/>
  <c r="Z13" i="71" s="1"/>
  <c r="AA23" i="71"/>
  <c r="AA15" i="71"/>
  <c r="AA13" i="71"/>
  <c r="X12" i="71"/>
  <c r="J51" i="15"/>
  <c r="M59" i="15" s="1"/>
  <c r="U18" i="36"/>
  <c r="V24" i="71"/>
  <c r="AB15" i="71"/>
  <c r="Y17" i="71"/>
  <c r="Z17" i="71" s="1"/>
  <c r="AA9" i="71"/>
  <c r="X13" i="71"/>
  <c r="Y21" i="71"/>
  <c r="Z21" i="71" s="1"/>
  <c r="AA12" i="71"/>
  <c r="AB12" i="71"/>
  <c r="AA17" i="71"/>
  <c r="X11" i="71"/>
  <c r="AA39" i="71"/>
  <c r="K56" i="9"/>
  <c r="AA14" i="71"/>
  <c r="AB11" i="71"/>
  <c r="X14" i="71"/>
  <c r="C40" i="69"/>
  <c r="F9" i="1"/>
  <c r="G9" i="1" s="1"/>
  <c r="G44" i="43"/>
  <c r="H83" i="43"/>
  <c r="G83" i="43" s="1"/>
  <c r="B76" i="43"/>
  <c r="C29" i="39"/>
  <c r="B75" i="43"/>
  <c r="B68" i="43"/>
  <c r="B73" i="43"/>
  <c r="C21" i="68"/>
  <c r="C40" i="68"/>
  <c r="BL5" i="3"/>
  <c r="AZ14" i="3"/>
  <c r="G28" i="6"/>
  <c r="D19" i="53"/>
  <c r="B38" i="72"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N370" i="46"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85"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K1" i="73"/>
  <c r="B20" i="31"/>
  <c r="B21" i="31" s="1"/>
  <c r="I1" i="73"/>
  <c r="B39" i="1" s="1"/>
  <c r="J53" i="67"/>
  <c r="J57" i="67"/>
  <c r="J55" i="67" s="1"/>
  <c r="J58" i="67" s="1"/>
  <c r="Q50" i="67" s="1"/>
  <c r="L56" i="67"/>
  <c r="I54" i="67"/>
  <c r="M7" i="15"/>
  <c r="J6" i="15" s="1"/>
  <c r="F50" i="15"/>
  <c r="F71" i="15"/>
  <c r="L59" i="15"/>
  <c r="N59" i="15"/>
  <c r="F66" i="15"/>
  <c r="F64" i="15"/>
  <c r="C27" i="67"/>
  <c r="F71" i="67"/>
  <c r="C27" i="15"/>
  <c r="F65" i="15"/>
  <c r="B13" i="70"/>
  <c r="M7" i="67"/>
  <c r="F50" i="67"/>
  <c r="F68" i="67"/>
  <c r="D9" i="69"/>
  <c r="C36" i="69"/>
  <c r="D9" i="68"/>
  <c r="C36" i="68"/>
  <c r="M26" i="67"/>
  <c r="L47" i="67"/>
  <c r="C76" i="67"/>
  <c r="M9" i="67"/>
  <c r="F8" i="67"/>
  <c r="F16" i="15"/>
  <c r="F40" i="15"/>
  <c r="M29" i="67"/>
  <c r="F42" i="67"/>
  <c r="C76" i="15"/>
  <c r="C16" i="67"/>
  <c r="L48" i="15"/>
  <c r="F8" i="15"/>
  <c r="J15" i="15"/>
  <c r="F6" i="67"/>
  <c r="M22" i="15"/>
  <c r="D7" i="73"/>
  <c r="F38" i="67"/>
  <c r="F36" i="67"/>
  <c r="M28" i="15"/>
  <c r="M23" i="67"/>
  <c r="F37" i="67"/>
  <c r="F6" i="15"/>
  <c r="F9" i="67"/>
  <c r="G1" i="73"/>
  <c r="C6" i="15" l="1"/>
  <c r="F65" i="67"/>
  <c r="F64" i="67"/>
  <c r="F66" i="67"/>
  <c r="C6" i="67"/>
  <c r="C32" i="67" s="1"/>
  <c r="F51" i="15"/>
  <c r="C49" i="15" s="1"/>
  <c r="L58" i="15"/>
  <c r="Q60" i="15" s="1"/>
  <c r="I54" i="15"/>
  <c r="J57" i="15"/>
  <c r="J55" i="15" s="1"/>
  <c r="J58" i="15" s="1"/>
  <c r="Q50" i="15" s="1"/>
  <c r="J53" i="15"/>
  <c r="L56" i="15" s="1"/>
  <c r="Q71" i="15"/>
  <c r="F68" i="15"/>
  <c r="F51" i="67"/>
  <c r="Q71" i="67"/>
  <c r="L58" i="67"/>
  <c r="Q60" i="67" s="1"/>
  <c r="N59" i="67"/>
  <c r="L59" i="67"/>
  <c r="M59" i="67"/>
  <c r="E13" i="3"/>
  <c r="E461" i="3"/>
  <c r="E99" i="3"/>
  <c r="K6" i="3"/>
  <c r="E406" i="3"/>
  <c r="W6" i="3"/>
  <c r="E471" i="3"/>
  <c r="E73" i="3"/>
  <c r="E256" i="3"/>
  <c r="E394" i="3"/>
  <c r="E32" i="3"/>
  <c r="E236" i="3"/>
  <c r="E164" i="3"/>
  <c r="AG6" i="3"/>
  <c r="P6" i="3"/>
  <c r="E558" i="3"/>
  <c r="E444" i="3"/>
  <c r="E88" i="3"/>
  <c r="E166" i="3"/>
  <c r="E316" i="3"/>
  <c r="E30" i="3"/>
  <c r="E238" i="3"/>
  <c r="E228" i="3"/>
  <c r="E532" i="3"/>
  <c r="E438" i="3"/>
  <c r="AE6"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85" i="3"/>
  <c r="E157" i="3"/>
  <c r="Q6" i="3"/>
  <c r="E424" i="3"/>
  <c r="E571"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221" i="3"/>
  <c r="E418" i="3"/>
  <c r="E213" i="3"/>
  <c r="E254" i="3"/>
  <c r="AN6" i="3"/>
  <c r="E136" i="3"/>
  <c r="E120" i="3"/>
  <c r="E560" i="3"/>
  <c r="E457" i="3"/>
  <c r="E577" i="3"/>
  <c r="E475" i="3"/>
  <c r="E168" i="3"/>
  <c r="E257" i="3"/>
  <c r="E14" i="3"/>
  <c r="E397" i="3"/>
  <c r="E207" i="3"/>
  <c r="E379" i="3"/>
  <c r="E411" i="3"/>
  <c r="E432" i="3"/>
  <c r="E547" i="3"/>
  <c r="E546" i="3"/>
  <c r="E92" i="3"/>
  <c r="E272" i="3"/>
  <c r="E317" i="3"/>
  <c r="E29" i="3"/>
  <c r="E53" i="3"/>
  <c r="E501" i="3"/>
  <c r="E426" i="3"/>
  <c r="O6" i="3"/>
  <c r="E359" i="3"/>
  <c r="E97" i="3"/>
  <c r="S6" i="3"/>
  <c r="E506" i="3"/>
  <c r="E338" i="3"/>
  <c r="E298" i="3"/>
  <c r="E237" i="3"/>
  <c r="E565" i="3"/>
  <c r="E17" i="3"/>
  <c r="E159" i="3"/>
  <c r="E402" i="3"/>
  <c r="E353" i="3"/>
  <c r="AA6" i="3"/>
  <c r="E434" i="3"/>
  <c r="E277" i="3"/>
  <c r="E529" i="3"/>
  <c r="E465" i="3"/>
  <c r="E537" i="3"/>
  <c r="E55" i="3"/>
  <c r="E203" i="3"/>
  <c r="E274" i="3"/>
  <c r="E580" i="3"/>
  <c r="I6" i="3"/>
  <c r="E252" i="3"/>
  <c r="E576" i="3"/>
  <c r="E448" i="3"/>
  <c r="E443" i="3"/>
  <c r="E581" i="3"/>
  <c r="E404" i="3"/>
  <c r="E121" i="3"/>
  <c r="E295" i="3"/>
  <c r="E334" i="3"/>
  <c r="E480" i="3"/>
  <c r="E125" i="3"/>
  <c r="E553" i="3"/>
  <c r="N6" i="3"/>
  <c r="E516" i="3"/>
  <c r="E396" i="3"/>
  <c r="E151" i="3"/>
  <c r="E559" i="3"/>
  <c r="V6" i="3"/>
  <c r="E320" i="3"/>
  <c r="E230" i="3"/>
  <c r="E114" i="3"/>
  <c r="E395" i="3"/>
  <c r="E550" i="3"/>
  <c r="E290" i="3"/>
  <c r="E245" i="3"/>
  <c r="E578" i="3"/>
  <c r="E293" i="3"/>
  <c r="E583" i="3"/>
  <c r="E545" i="3"/>
  <c r="E313" i="3"/>
  <c r="E474" i="3"/>
  <c r="E288" i="3"/>
  <c r="E429" i="3"/>
  <c r="E72"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319" i="3"/>
  <c r="E153" i="3"/>
  <c r="E328" i="3"/>
  <c r="E574" i="3"/>
  <c r="E285" i="3"/>
  <c r="E390" i="3"/>
  <c r="E523" i="3"/>
  <c r="E321" i="3"/>
  <c r="E169" i="3"/>
  <c r="E304" i="3"/>
  <c r="E302" i="3"/>
  <c r="E303" i="3"/>
  <c r="E280" i="3"/>
  <c r="E366" i="3"/>
  <c r="E282" i="3"/>
  <c r="E239" i="3"/>
  <c r="E569" i="3"/>
  <c r="E229" i="3"/>
  <c r="E358" i="3"/>
  <c r="E551" i="3"/>
  <c r="E294" i="3"/>
  <c r="E130" i="3"/>
  <c r="E415" i="3"/>
  <c r="E117" i="3"/>
  <c r="E382" i="3"/>
  <c r="E336" i="3"/>
  <c r="E306" i="3"/>
  <c r="E330" i="3"/>
  <c r="E481" i="3"/>
  <c r="E562" i="3"/>
  <c r="E450"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407" i="3"/>
  <c r="E260" i="3"/>
  <c r="E61" i="3"/>
  <c r="E518" i="3"/>
  <c r="E77" i="3"/>
  <c r="E262" i="3"/>
  <c r="E519" i="3"/>
  <c r="E527" i="3"/>
  <c r="E587" i="3"/>
  <c r="E468" i="3"/>
  <c r="E54" i="3"/>
  <c r="E208" i="3"/>
  <c r="E357" i="3"/>
  <c r="E93" i="3"/>
  <c r="E196" i="3"/>
  <c r="E145" i="3"/>
  <c r="U6" i="3"/>
  <c r="E548" i="3"/>
  <c r="E367" i="3"/>
  <c r="E403" i="3"/>
  <c r="E71" i="3"/>
  <c r="E126" i="3"/>
  <c r="E291" i="3"/>
  <c r="AM6" i="3"/>
  <c r="E150" i="3"/>
  <c r="J6" i="67"/>
  <c r="J18" i="67" s="1"/>
  <c r="D32" i="71"/>
  <c r="T32" i="71"/>
  <c r="AZ90" i="3"/>
  <c r="AZ26" i="3"/>
  <c r="AA44" i="39"/>
  <c r="S44" i="39"/>
  <c r="AC9" i="36"/>
  <c r="W9" i="36"/>
  <c r="AA25" i="37"/>
  <c r="S25" i="37"/>
  <c r="M84" i="43"/>
  <c r="N84" i="43" s="1"/>
  <c r="K84" i="43"/>
  <c r="AZ205" i="3"/>
  <c r="AZ44" i="3"/>
  <c r="AZ5" i="3" s="1"/>
  <c r="AC38" i="40"/>
  <c r="W38" i="40"/>
  <c r="AB34" i="35"/>
  <c r="U34" i="35"/>
  <c r="I24" i="43"/>
  <c r="C24" i="43" s="1"/>
  <c r="P67" i="71"/>
  <c r="E66" i="71"/>
  <c r="C36" i="71"/>
  <c r="D35" i="71"/>
  <c r="AA38" i="40"/>
  <c r="S38" i="40"/>
  <c r="AA34" i="35"/>
  <c r="S34" i="35"/>
  <c r="E11" i="71"/>
  <c r="E10" i="71" s="1"/>
  <c r="E9" i="71" s="1"/>
  <c r="E8" i="71" s="1"/>
  <c r="E7" i="71" s="1"/>
  <c r="E6" i="71" s="1"/>
  <c r="E5" i="71" s="1"/>
  <c r="V12" i="71"/>
  <c r="K16" i="1"/>
  <c r="BA5" i="3"/>
  <c r="D52" i="71"/>
  <c r="T52" i="71"/>
  <c r="AZ47" i="3"/>
  <c r="AZ50" i="3"/>
  <c r="AB38" i="40"/>
  <c r="U38" i="40"/>
  <c r="M89" i="43"/>
  <c r="N89" i="43" s="1"/>
  <c r="K89" i="43"/>
  <c r="J89" i="43" s="1"/>
  <c r="D89" i="43" s="1"/>
  <c r="M87" i="43"/>
  <c r="N87" i="43" s="1"/>
  <c r="K87" i="43"/>
  <c r="C40" i="71"/>
  <c r="D39" i="71"/>
  <c r="D63" i="71"/>
  <c r="C64" i="71"/>
  <c r="AZ186" i="3"/>
  <c r="C44" i="71"/>
  <c r="D43" i="71"/>
  <c r="AC36" i="35"/>
  <c r="W36" i="35"/>
  <c r="M90" i="43"/>
  <c r="N90" i="43" s="1"/>
  <c r="K90" i="43"/>
  <c r="H7" i="36"/>
  <c r="K86" i="43"/>
  <c r="M86" i="43"/>
  <c r="N86" i="43" s="1"/>
  <c r="D27" i="71"/>
  <c r="C26" i="71"/>
  <c r="D26" i="71" s="1"/>
  <c r="AZ96" i="3"/>
  <c r="AZ75" i="3"/>
  <c r="AZ218" i="3"/>
  <c r="AB36" i="35"/>
  <c r="U36" i="35"/>
  <c r="M88" i="43"/>
  <c r="N88" i="43" s="1"/>
  <c r="K88" i="43"/>
  <c r="B15" i="71"/>
  <c r="B14" i="71" s="1"/>
  <c r="B13" i="71" s="1"/>
  <c r="B12" i="71" s="1"/>
  <c r="S16" i="71"/>
  <c r="F15" i="71"/>
  <c r="F14" i="71" s="1"/>
  <c r="F13" i="71" s="1"/>
  <c r="F12" i="71" s="1"/>
  <c r="F11" i="71" s="1"/>
  <c r="F10" i="71" s="1"/>
  <c r="F9" i="71" s="1"/>
  <c r="F8" i="71" s="1"/>
  <c r="F7" i="71" s="1"/>
  <c r="F6" i="71" s="1"/>
  <c r="F5" i="71" s="1"/>
  <c r="M23" i="43"/>
  <c r="D60" i="71"/>
  <c r="T60" i="71"/>
  <c r="AZ395" i="3"/>
  <c r="AC24" i="36"/>
  <c r="W24" i="36"/>
  <c r="AC9" i="34"/>
  <c r="W9" i="34"/>
  <c r="M83" i="43"/>
  <c r="N83" i="43" s="1"/>
  <c r="K83" i="43"/>
  <c r="Q65" i="71"/>
  <c r="Q66" i="71"/>
  <c r="AZ93" i="3"/>
  <c r="AB9" i="36"/>
  <c r="U9" i="36"/>
  <c r="AB9" i="34"/>
  <c r="U9" i="34"/>
  <c r="C19" i="71"/>
  <c r="D20" i="71"/>
  <c r="U20" i="71" s="1"/>
  <c r="T20" i="71"/>
  <c r="G16" i="1"/>
  <c r="F10" i="39" s="1"/>
  <c r="S10" i="39" s="1"/>
  <c r="E26" i="43"/>
  <c r="F26" i="43"/>
  <c r="P6" i="1"/>
  <c r="C13" i="12" s="1"/>
  <c r="H26" i="43"/>
  <c r="E181" i="3"/>
  <c r="G26" i="43"/>
  <c r="E472" i="3"/>
  <c r="E133" i="3"/>
  <c r="AK6" i="3"/>
  <c r="E568" i="3"/>
  <c r="J26" i="43"/>
  <c r="E458" i="3"/>
  <c r="E193" i="3"/>
  <c r="E511" i="3"/>
  <c r="E453" i="3"/>
  <c r="E496" i="3"/>
  <c r="E344" i="3"/>
  <c r="E437" i="3"/>
  <c r="E177" i="3"/>
  <c r="E128" i="3"/>
  <c r="E156" i="3"/>
  <c r="E224" i="3"/>
  <c r="E352" i="3"/>
  <c r="E122" i="3"/>
  <c r="N94" i="46"/>
  <c r="E59" i="40"/>
  <c r="E573" i="3"/>
  <c r="E45" i="3"/>
  <c r="E314" i="3"/>
  <c r="E253" i="3"/>
  <c r="E510" i="3"/>
  <c r="E148" i="3"/>
  <c r="E286" i="3"/>
  <c r="R6" i="3"/>
  <c r="E466" i="3"/>
  <c r="E449" i="3"/>
  <c r="AP6" i="3"/>
  <c r="E435" i="3"/>
  <c r="E479" i="3"/>
  <c r="E95" i="3"/>
  <c r="E192" i="3"/>
  <c r="E292" i="3"/>
  <c r="E389" i="3"/>
  <c r="E59" i="3"/>
  <c r="E425" i="3"/>
  <c r="E46" i="3"/>
  <c r="E142" i="3"/>
  <c r="E249" i="3"/>
  <c r="E310" i="3"/>
  <c r="E84" i="3"/>
  <c r="E144" i="3"/>
  <c r="E355" i="3"/>
  <c r="E63" i="3"/>
  <c r="E264" i="3"/>
  <c r="E513" i="3"/>
  <c r="E140" i="3"/>
  <c r="E369" i="3"/>
  <c r="T6" i="3"/>
  <c r="E469" i="3"/>
  <c r="E451" i="3"/>
  <c r="E497" i="3"/>
  <c r="E452" i="3"/>
  <c r="E26" i="3"/>
  <c r="E115" i="3"/>
  <c r="E225" i="3"/>
  <c r="E332" i="3"/>
  <c r="AL6" i="3"/>
  <c r="E75" i="3"/>
  <c r="E412" i="3"/>
  <c r="E78" i="3"/>
  <c r="E174" i="3"/>
  <c r="E235" i="3"/>
  <c r="E342" i="3"/>
  <c r="E86" i="3"/>
  <c r="E206" i="3"/>
  <c r="E370" i="3"/>
  <c r="E80" i="3"/>
  <c r="E287" i="3"/>
  <c r="E22" i="3"/>
  <c r="E149" i="3"/>
  <c r="E312" i="3"/>
  <c r="E552" i="3"/>
  <c r="E487" i="3"/>
  <c r="E459" i="3"/>
  <c r="E500" i="3"/>
  <c r="E460" i="3"/>
  <c r="E39" i="3"/>
  <c r="E131" i="3"/>
  <c r="E240" i="3"/>
  <c r="E348" i="3"/>
  <c r="E504" i="3"/>
  <c r="E488" i="3"/>
  <c r="E446" i="3"/>
  <c r="E65" i="3"/>
  <c r="E163" i="3"/>
  <c r="E266" i="3"/>
  <c r="E354" i="3"/>
  <c r="E24" i="3"/>
  <c r="E127" i="3"/>
  <c r="E341" i="3"/>
  <c r="E19" i="3"/>
  <c r="E222" i="3"/>
  <c r="E82" i="3"/>
  <c r="E329" i="3"/>
  <c r="E223" i="3"/>
  <c r="E393" i="3"/>
  <c r="E543" i="3"/>
  <c r="E507" i="3"/>
  <c r="E490" i="3"/>
  <c r="J6" i="3"/>
  <c r="E483" i="3"/>
  <c r="E40" i="3"/>
  <c r="E178" i="3"/>
  <c r="E242" i="3"/>
  <c r="E346" i="3"/>
  <c r="L6" i="3"/>
  <c r="E540" i="3"/>
  <c r="E455" i="3"/>
  <c r="E100" i="3"/>
  <c r="E194" i="3"/>
  <c r="E299" i="3"/>
  <c r="E392" i="3"/>
  <c r="E36" i="3"/>
  <c r="E147" i="3"/>
  <c r="E364" i="3"/>
  <c r="E62" i="3"/>
  <c r="E265" i="3"/>
  <c r="E101" i="3"/>
  <c r="E539" i="3"/>
  <c r="E575" i="3"/>
  <c r="E502" i="3"/>
  <c r="E541" i="3"/>
  <c r="E255" i="3"/>
  <c r="E554" i="3"/>
  <c r="E491" i="3"/>
  <c r="E56" i="3"/>
  <c r="E152" i="3"/>
  <c r="E258" i="3"/>
  <c r="E363" i="3"/>
  <c r="E544" i="3"/>
  <c r="E467" i="3"/>
  <c r="E103" i="3"/>
  <c r="E200" i="3"/>
  <c r="E300" i="3"/>
  <c r="E492" i="3"/>
  <c r="E184" i="3"/>
  <c r="E381" i="3"/>
  <c r="E81" i="3"/>
  <c r="E21" i="3"/>
  <c r="E212" i="3"/>
  <c r="E409" i="3"/>
  <c r="E67" i="3"/>
  <c r="E283" i="3"/>
  <c r="E205" i="3"/>
  <c r="E197" i="3"/>
  <c r="E525" i="3"/>
  <c r="E405" i="3"/>
  <c r="E512" i="3"/>
  <c r="E360" i="3"/>
  <c r="E470" i="3"/>
  <c r="E104" i="3"/>
  <c r="E198" i="3"/>
  <c r="E281" i="3"/>
  <c r="E391" i="3"/>
  <c r="E42" i="3"/>
  <c r="E428" i="3"/>
  <c r="E18" i="3"/>
  <c r="E129" i="3"/>
  <c r="E220" i="3"/>
  <c r="E324" i="3"/>
  <c r="E522" i="3"/>
  <c r="E34" i="3"/>
  <c r="E232" i="3"/>
  <c r="AF6" i="3"/>
  <c r="E113" i="3"/>
  <c r="E308" i="3"/>
  <c r="E83" i="3"/>
  <c r="E323" i="3"/>
  <c r="E417" i="3"/>
  <c r="E76" i="3"/>
  <c r="E64" i="3"/>
  <c r="E371" i="3"/>
  <c r="E68" i="3"/>
  <c r="E94" i="3"/>
  <c r="E275" i="3"/>
  <c r="E49" i="3"/>
  <c r="E326" i="3"/>
  <c r="E413" i="3"/>
  <c r="E375" i="3"/>
  <c r="E386" i="3"/>
  <c r="E373" i="3"/>
  <c r="E165" i="3"/>
  <c r="E167" i="3"/>
  <c r="AD6" i="3"/>
  <c r="E421" i="3"/>
  <c r="E398" i="3"/>
  <c r="E374" i="3"/>
  <c r="E582" i="3"/>
  <c r="E520" i="3"/>
  <c r="E90" i="3"/>
  <c r="E187" i="3"/>
  <c r="E297" i="3"/>
  <c r="E378" i="3"/>
  <c r="E58" i="3"/>
  <c r="E462" i="3"/>
  <c r="E47" i="3"/>
  <c r="E138" i="3"/>
  <c r="E248" i="3"/>
  <c r="E307" i="3"/>
  <c r="E584" i="3"/>
  <c r="E48" i="3"/>
  <c r="E250" i="3"/>
  <c r="Y6" i="3"/>
  <c r="E154" i="3"/>
  <c r="E132" i="3"/>
  <c r="E160" i="3"/>
  <c r="E23" i="3"/>
  <c r="E118" i="3"/>
  <c r="E482" i="3"/>
  <c r="E35" i="3"/>
  <c r="E542" i="3"/>
  <c r="E155" i="3"/>
  <c r="E209" i="3"/>
  <c r="E51" i="3"/>
  <c r="E16" i="3"/>
  <c r="E116" i="3"/>
  <c r="E493" i="3"/>
  <c r="E427" i="3"/>
  <c r="E422" i="3"/>
  <c r="E376" i="3"/>
  <c r="E498" i="3"/>
  <c r="E401" i="3"/>
  <c r="E25" i="3"/>
  <c r="E119" i="3"/>
  <c r="E226" i="3"/>
  <c r="E333" i="3"/>
  <c r="E60" i="3"/>
  <c r="E473" i="3"/>
  <c r="E79" i="3"/>
  <c r="E170" i="3"/>
  <c r="E234" i="3"/>
  <c r="E339" i="3"/>
  <c r="AQ6" i="3"/>
  <c r="E112" i="3"/>
  <c r="E289" i="3"/>
  <c r="E50" i="3"/>
  <c r="E176" i="3"/>
  <c r="E365" i="3"/>
  <c r="E241" i="3"/>
  <c r="E267" i="3"/>
  <c r="E233" i="3"/>
  <c r="E309" i="3"/>
  <c r="E190" i="3"/>
  <c r="E251" i="3"/>
  <c r="E464" i="3"/>
  <c r="E98" i="3"/>
  <c r="E284" i="3"/>
  <c r="E105" i="3"/>
  <c r="E419" i="3"/>
  <c r="E276" i="3"/>
  <c r="E38" i="3"/>
  <c r="E325" i="3"/>
  <c r="E340" i="3"/>
  <c r="E524" i="3"/>
  <c r="E536" i="3"/>
  <c r="E199" i="3"/>
  <c r="E499" i="3"/>
  <c r="E442" i="3"/>
  <c r="E430" i="3"/>
  <c r="I3" i="6"/>
  <c r="E517" i="3"/>
  <c r="E37" i="3"/>
  <c r="E349" i="3"/>
  <c r="E484" i="3"/>
  <c r="E33" i="3"/>
  <c r="E102" i="3"/>
  <c r="E416" i="3"/>
  <c r="E110" i="3"/>
  <c r="E66" i="3"/>
  <c r="E564" i="3"/>
  <c r="E440" i="3"/>
  <c r="E108" i="3"/>
  <c r="E372" i="3"/>
  <c r="E15" i="3"/>
  <c r="E219" i="3"/>
  <c r="E123" i="3"/>
  <c r="E218" i="3"/>
  <c r="E296" i="3"/>
  <c r="E173" i="3"/>
  <c r="E534" i="3"/>
  <c r="E456" i="3"/>
  <c r="E408" i="3"/>
  <c r="E556" i="3"/>
  <c r="E494" i="3"/>
  <c r="E420" i="3"/>
  <c r="E41" i="3"/>
  <c r="E139" i="3"/>
  <c r="E243" i="3"/>
  <c r="E356" i="3"/>
  <c r="E96" i="3"/>
  <c r="E383" i="3"/>
  <c r="E158" i="3"/>
  <c r="E521" i="3"/>
  <c r="E179" i="3"/>
  <c r="E188" i="3"/>
  <c r="E486" i="3"/>
  <c r="AH6" i="3"/>
  <c r="E463" i="3"/>
  <c r="E202" i="3"/>
  <c r="E43" i="3"/>
  <c r="E137" i="3"/>
  <c r="E52" i="3"/>
  <c r="E20" i="3"/>
  <c r="E244" i="3"/>
  <c r="E141" i="3"/>
  <c r="E566" i="3"/>
  <c r="E436" i="3"/>
  <c r="E57" i="3"/>
  <c r="E259" i="3"/>
  <c r="E195" i="3"/>
  <c r="E87" i="3"/>
  <c r="F7" i="36"/>
  <c r="S7" i="36" s="1"/>
  <c r="J7" i="36"/>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C7" i="43"/>
  <c r="C5" i="43" s="1"/>
  <c r="D10" i="52"/>
  <c r="D125" i="9"/>
  <c r="D11" i="52" s="1"/>
  <c r="B7" i="74"/>
  <c r="F59" i="67"/>
  <c r="H7" i="37"/>
  <c r="AB7" i="37" s="1"/>
  <c r="T42" i="37" s="1"/>
  <c r="G42" i="37" s="1"/>
  <c r="B40" i="1"/>
  <c r="AA10" i="39"/>
  <c r="H7" i="33"/>
  <c r="J7" i="33"/>
  <c r="D65" i="40"/>
  <c r="E63" i="40"/>
  <c r="F48" i="35"/>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C32" i="15"/>
  <c r="F1" i="67"/>
  <c r="Q52" i="67"/>
  <c r="Q61" i="67"/>
  <c r="Q74" i="67"/>
  <c r="Q74" i="15"/>
  <c r="Q61" i="15"/>
  <c r="AE11" i="1"/>
  <c r="AE9" i="1"/>
  <c r="AE7" i="1"/>
  <c r="AE8" i="1"/>
  <c r="AE12" i="1"/>
  <c r="AE10" i="1"/>
  <c r="F27" i="68"/>
  <c r="C16" i="15"/>
  <c r="F41" i="67"/>
  <c r="F1" i="15" l="1"/>
  <c r="Q52" i="15"/>
  <c r="J5" i="67"/>
  <c r="J24" i="67" s="1"/>
  <c r="Q73" i="15"/>
  <c r="Q73" i="67"/>
  <c r="AY6" i="3"/>
  <c r="E3" i="6"/>
  <c r="D88" i="43"/>
  <c r="J88" i="43"/>
  <c r="T44" i="71"/>
  <c r="D44" i="71"/>
  <c r="H10" i="40"/>
  <c r="AB10" i="40" s="1"/>
  <c r="D86" i="43"/>
  <c r="J86" i="43"/>
  <c r="T36" i="71"/>
  <c r="D36" i="71"/>
  <c r="C18" i="71"/>
  <c r="D19" i="71"/>
  <c r="J83" i="43"/>
  <c r="D83" i="43"/>
  <c r="E83" i="43" s="1"/>
  <c r="B81" i="43" s="1"/>
  <c r="C28" i="43" s="1"/>
  <c r="T64" i="71"/>
  <c r="D64" i="71"/>
  <c r="P65" i="71"/>
  <c r="P66" i="71"/>
  <c r="D90" i="43"/>
  <c r="J90" i="43"/>
  <c r="D84" i="43"/>
  <c r="J84" i="43"/>
  <c r="D40" i="71"/>
  <c r="T40" i="71"/>
  <c r="B11" i="71"/>
  <c r="B10" i="71" s="1"/>
  <c r="B9" i="71" s="1"/>
  <c r="B8" i="71" s="1"/>
  <c r="B7" i="71" s="1"/>
  <c r="B6" i="71" s="1"/>
  <c r="B5" i="71" s="1"/>
  <c r="S12" i="71"/>
  <c r="D87" i="43"/>
  <c r="J87" i="43"/>
  <c r="D26" i="43"/>
  <c r="C25" i="43" s="1"/>
  <c r="E65" i="39"/>
  <c r="AA7" i="36"/>
  <c r="R36" i="36" s="1"/>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AE6" i="1"/>
  <c r="F41" i="15"/>
  <c r="M27" i="67"/>
  <c r="M27" i="15"/>
  <c r="T13" i="43" l="1"/>
  <c r="V13" i="43" s="1"/>
  <c r="T8" i="43"/>
  <c r="V8" i="43" s="1"/>
  <c r="C37" i="43"/>
  <c r="C38" i="43"/>
  <c r="T11" i="43"/>
  <c r="V11" i="43" s="1"/>
  <c r="T4" i="43"/>
  <c r="V4" i="43" s="1"/>
  <c r="C41" i="43"/>
  <c r="G41" i="43" s="1"/>
  <c r="I41" i="43" s="1"/>
  <c r="T9" i="43"/>
  <c r="V9" i="43" s="1"/>
  <c r="T3" i="43"/>
  <c r="V3" i="43" s="1"/>
  <c r="T7" i="43"/>
  <c r="V7" i="43" s="1"/>
  <c r="T2" i="43"/>
  <c r="V2" i="43" s="1"/>
  <c r="T16" i="43"/>
  <c r="V16" i="43" s="1"/>
  <c r="T6" i="43"/>
  <c r="V6" i="43" s="1"/>
  <c r="T14" i="43"/>
  <c r="V14" i="43" s="1"/>
  <c r="T5" i="43"/>
  <c r="V5" i="43" s="1"/>
  <c r="T15" i="43"/>
  <c r="V15" i="43" s="1"/>
  <c r="C40" i="43"/>
  <c r="T12" i="43"/>
  <c r="V12" i="43" s="1"/>
  <c r="C33" i="43"/>
  <c r="E33" i="43" s="1"/>
  <c r="C39" i="43"/>
  <c r="T10" i="43"/>
  <c r="V10" i="43" s="1"/>
  <c r="C42" i="43"/>
  <c r="E42" i="43" s="1"/>
  <c r="C17" i="71"/>
  <c r="D18" i="71"/>
  <c r="C8" i="74"/>
  <c r="B10" i="74"/>
  <c r="D116" i="43"/>
  <c r="C7" i="74"/>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E61" i="40"/>
  <c r="H26" i="6"/>
  <c r="P14" i="1"/>
  <c r="P16" i="1" s="1"/>
  <c r="C11" i="12" s="1"/>
  <c r="N16" i="1"/>
  <c r="L16" i="1"/>
  <c r="G42" i="43"/>
  <c r="I42" i="43" s="1"/>
  <c r="H67" i="39"/>
  <c r="G69" i="39"/>
  <c r="E41" i="43"/>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D30" i="6" l="1"/>
  <c r="D17" i="71"/>
  <c r="C16" i="71"/>
  <c r="C25" i="11"/>
  <c r="C22" i="11" s="1"/>
  <c r="C31" i="11" s="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5" i="71" l="1"/>
  <c r="T16" i="71"/>
  <c r="D16" i="71"/>
  <c r="U16" i="71" s="1"/>
  <c r="B3" i="43"/>
  <c r="C6" i="68"/>
  <c r="C7" i="68" s="1"/>
  <c r="C5" i="68" s="1"/>
  <c r="C23" i="68" s="1"/>
  <c r="C18" i="12"/>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4" i="71" l="1"/>
  <c r="D15" i="71"/>
  <c r="C21" i="12"/>
  <c r="C22" i="12" s="1"/>
  <c r="C27" i="12" s="1"/>
  <c r="C25" i="12"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0" i="12" l="1"/>
  <c r="C28" i="12" s="1"/>
  <c r="C32" i="12" s="1"/>
  <c r="B2" i="12" s="1"/>
  <c r="B3" i="12" s="1"/>
  <c r="D14" i="71"/>
  <c r="C13"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13" i="71" l="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1" i="71" l="1"/>
  <c r="T12" i="71"/>
  <c r="D12" i="71"/>
  <c r="U12" i="71"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c r="D2" i="21"/>
  <c r="C10" i="71" l="1"/>
  <c r="D11"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Q57" i="67" l="1"/>
  <c r="Q62" i="67" s="1"/>
  <c r="Q66" i="67"/>
  <c r="Q75" i="67" s="1"/>
  <c r="C8" i="71"/>
  <c r="D9" i="7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0" i="1"/>
  <c r="AO12" i="1"/>
  <c r="AO7" i="1"/>
  <c r="AO9" i="1"/>
  <c r="C7" i="71" l="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7" i="71" l="1"/>
  <c r="C6" i="71"/>
  <c r="D102" i="9"/>
  <c r="D21" i="9"/>
  <c r="G19" i="9"/>
  <c r="D22" i="9"/>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G21" i="9"/>
  <c r="L30"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C5" i="74" l="1"/>
  <c r="B6" i="74"/>
  <c r="D6" i="74" s="1"/>
  <c r="C6" i="74" l="1"/>
  <c r="M67" i="9" l="1"/>
  <c r="L67" i="9"/>
  <c r="F119" i="9"/>
  <c r="F5" i="52"/>
  <c r="B53" i="72"/>
  <c r="B22" i="72"/>
  <c r="D6" i="53"/>
  <c r="B30" i="72"/>
  <c r="B51" i="72"/>
  <c r="F4" i="52"/>
  <c r="F118" i="9"/>
  <c r="G118" i="9"/>
  <c r="G4" i="52"/>
  <c r="B52" i="72"/>
  <c r="C97" i="9"/>
  <c r="D58" i="9"/>
  <c r="D56" i="9"/>
  <c r="M54" i="9"/>
  <c r="D13" i="53"/>
  <c r="D14" i="53"/>
  <c r="B32" i="72"/>
  <c r="H102" i="9"/>
  <c r="D7" i="53"/>
  <c r="B21" i="72"/>
  <c r="H5" i="52"/>
  <c r="H119" i="9"/>
  <c r="B49" i="72"/>
  <c r="D5" i="52"/>
  <c r="D119" i="9"/>
  <c r="C68" i="9"/>
  <c r="D54" i="9"/>
  <c r="D9" i="52"/>
  <c r="D123" i="9"/>
  <c r="B31" i="72"/>
  <c r="D15" i="53"/>
  <c r="H108" i="9"/>
  <c r="C81" i="9"/>
  <c r="E4" i="52"/>
  <c r="B48" i="72"/>
  <c r="M66" i="9"/>
  <c r="L66" i="9"/>
  <c r="L63" i="9"/>
  <c r="M63" i="9"/>
  <c r="M69" i="9"/>
  <c r="N69" i="9"/>
  <c r="P57" i="9"/>
  <c r="D55" i="9"/>
  <c r="M53" i="9"/>
  <c r="N57" i="9"/>
  <c r="N58" i="9"/>
  <c r="D5" i="53"/>
  <c r="B20" i="72"/>
  <c r="H4" i="52"/>
  <c r="C104" i="9"/>
  <c r="M64" i="9"/>
  <c r="L64" i="9"/>
  <c r="C72" i="9"/>
  <c r="C79" i="9"/>
  <c r="C80" i="9"/>
  <c r="E80" i="9"/>
  <c r="E81" i="9"/>
  <c r="N61" i="9"/>
  <c r="N59" i="9"/>
  <c r="N60" i="9"/>
  <c r="C73" i="9"/>
  <c r="C78" i="9"/>
  <c r="M68" i="9"/>
  <c r="L68" i="9"/>
  <c r="M48" i="9"/>
  <c r="I4" i="52"/>
  <c r="C105" i="9"/>
  <c r="C85" i="9"/>
  <c r="C95" i="9"/>
  <c r="C96" i="9"/>
  <c r="E96" i="9"/>
  <c r="E97" i="9"/>
  <c r="D122" i="9"/>
  <c r="D8" i="52"/>
  <c r="C64" i="9"/>
  <c r="C63" i="9"/>
  <c r="C67" i="9"/>
  <c r="D59" i="9"/>
  <c r="M55" i="9"/>
  <c r="D53" i="9"/>
  <c r="D52" i="9"/>
  <c r="E118" i="9"/>
  <c r="D118" i="9"/>
  <c r="D4" i="52"/>
  <c r="B47" i="72"/>
  <c r="H107" i="9"/>
  <c r="M49" i="9"/>
  <c r="L65" i="9"/>
  <c r="M65"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4" authorId="4" shapeId="0" xr:uid="{00000000-0006-0000-1500-000009000000}">
      <text>
        <r>
          <rPr>
            <sz val="9"/>
            <color rgb="FF000000"/>
            <rFont val="宋体"/>
            <family val="3"/>
            <charset val="134"/>
          </rPr>
          <t>需在此处填写剩余土地年限</t>
        </r>
        <r>
          <rPr>
            <sz val="9"/>
            <color rgb="FF000000"/>
            <rFont val="宋体"/>
            <family val="3"/>
            <charset val="134"/>
          </rPr>
          <t xml:space="preserve">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<sst xmlns="http://schemas.openxmlformats.org/spreadsheetml/2006/main" count="7798" uniqueCount="3406">
  <si>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</si>
  <si>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</si>
  <si>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</si>
  <si>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</si>
  <si>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</si>
  <si>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</si>
  <si>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</si>
  <si>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</si>
  <si>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</si>
  <si>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</si>
  <si>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</si>
  <si>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</si>
  <si>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</si>
  <si>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</si>
  <si>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</si>
  <si>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</si>
  <si>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</si>
  <si>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</si>
  <si>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</si>
  <si>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</si>
  <si>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</si>
  <si>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</si>
  <si>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</si>
  <si>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</si>
  <si>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</si>
  <si>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</si>
  <si>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</si>
  <si>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</si>
  <si>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</si>
  <si>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</si>
  <si>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</si>
  <si>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</si>
  <si>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</si>
  <si>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</si>
  <si>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</si>
  <si>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</si>
  <si>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</si>
  <si>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</si>
  <si>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</si>
  <si>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</si>
  <si>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</si>
  <si>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</si>
  <si>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</si>
  <si>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</si>
  <si>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</si>
  <si>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</si>
  <si>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</si>
  <si>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</si>
  <si>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</si>
  <si>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</si>
  <si>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</si>
  <si>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</si>
  <si>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</si>
  <si>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</si>
  <si>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</si>
  <si>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</si>
  <si>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</si>
  <si>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</si>
  <si>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</si>
  <si>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</si>
  <si>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</si>
  <si>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</si>
  <si>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</si>
  <si>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</si>
  <si>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</si>
  <si>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</si>
  <si>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</si>
  <si>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</si>
  <si>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</si>
  <si>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</si>
  <si>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</si>
  <si>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</si>
  <si>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</si>
  <si>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</si>
  <si>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</si>
  <si>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</si>
  <si>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</si>
  <si>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</si>
  <si>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</si>
  <si>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</si>
  <si>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</si>
  <si>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</si>
  <si>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</si>
  <si>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</si>
  <si>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</si>
  <si>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</si>
  <si>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</si>
  <si>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</si>
  <si>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</si>
  <si>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</si>
  <si>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</si>
  <si>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</si>
  <si>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</si>
  <si>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</si>
  <si>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</si>
  <si>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</si>
  <si>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</si>
  <si>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</si>
  <si>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</si>
  <si>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</si>
  <si>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</si>
  <si>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</si>
  <si>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</si>
  <si>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</si>
  <si>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</si>
  <si>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</si>
  <si>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</si>
  <si>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</si>
  <si>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</si>
  <si>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</si>
  <si>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</si>
  <si>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</si>
  <si>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</si>
  <si>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</si>
  <si>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</si>
  <si>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</si>
  <si>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</si>
  <si>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</si>
  <si>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</si>
  <si>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</si>
  <si>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</si>
  <si>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</si>
  <si>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</si>
  <si>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</si>
  <si>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</si>
  <si>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</si>
  <si>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</si>
  <si>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</si>
  <si>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</si>
  <si>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</si>
  <si>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</si>
  <si>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</si>
  <si>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</si>
  <si>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</si>
  <si>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</si>
  <si>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</si>
  <si>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</si>
  <si>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</si>
  <si>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</si>
  <si>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</si>
  <si>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</si>
  <si>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</si>
  <si>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</si>
  <si>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</si>
  <si>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</si>
  <si>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</si>
  <si>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</si>
  <si>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</si>
  <si>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</si>
  <si>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</si>
  <si>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</si>
  <si>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</si>
  <si>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</si>
  <si>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</si>
  <si>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</si>
  <si>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</si>
  <si>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</si>
  <si>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</si>
  <si>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</si>
  <si>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</si>
  <si>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</si>
  <si>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</si>
  <si>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</si>
  <si>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</si>
  <si>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</si>
  <si>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</si>
  <si>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</si>
  <si>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</si>
  <si>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</si>
  <si>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</si>
  <si>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</si>
  <si>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</si>
  <si>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</si>
  <si>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</si>
  <si>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</si>
  <si>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</si>
  <si>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</si>
  <si>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</si>
  <si>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</si>
  <si>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</si>
  <si>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</si>
  <si>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</si>
  <si>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</si>
  <si>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</si>
  <si>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</si>
  <si>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</si>
  <si>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</si>
  <si>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</si>
  <si>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</si>
  <si>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</si>
  <si>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</si>
  <si>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</si>
  <si>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</si>
  <si>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</si>
  <si>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</si>
  <si>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</si>
  <si>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</si>
  <si>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</si>
  <si>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</si>
  <si>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</si>
  <si>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</si>
  <si>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</si>
  <si>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</si>
  <si>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</si>
  <si>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</si>
  <si>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</si>
  <si>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</si>
  <si>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</si>
  <si>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</si>
  <si>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</si>
  <si>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</si>
  <si>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</si>
  <si>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</si>
  <si>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</si>
  <si>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</si>
  <si>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</si>
  <si>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</si>
  <si>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</si>
  <si>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</si>
  <si>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</si>
  <si>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</si>
  <si>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</si>
  <si>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</si>
  <si>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</si>
  <si>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</si>
  <si>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</si>
  <si>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</si>
  <si>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</si>
  <si>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</si>
  <si>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</si>
  <si>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</si>
  <si>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</si>
  <si>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</si>
  <si>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</si>
  <si>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</si>
  <si>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</si>
  <si>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</si>
  <si>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</si>
  <si>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</si>
  <si>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</si>
  <si>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</si>
  <si>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</si>
  <si>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</si>
  <si>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</si>
  <si>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</si>
  <si>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</si>
  <si>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</si>
  <si>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</si>
  <si>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</si>
  <si>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</si>
  <si>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</si>
  <si>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</si>
  <si>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</si>
  <si>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</si>
  <si>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</si>
  <si>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</si>
  <si>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</si>
  <si>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</si>
  <si>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</si>
  <si>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</si>
  <si>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</si>
  <si>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</si>
  <si>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</si>
  <si>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</si>
  <si>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</si>
  <si>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</si>
  <si>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</si>
  <si>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</si>
  <si>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</si>
  <si>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</si>
  <si>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</si>
  <si>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</si>
  <si>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</si>
  <si>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</si>
  <si>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</si>
  <si>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</si>
  <si>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</si>
  <si>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</si>
  <si>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</si>
  <si>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</si>
  <si>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</si>
  <si>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</si>
  <si>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</si>
  <si>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</si>
  <si>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</si>
  <si>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</si>
  <si>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</si>
  <si>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</si>
  <si>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</si>
  <si>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</si>
  <si>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</si>
  <si>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</si>
  <si>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</si>
  <si>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</si>
  <si>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</si>
  <si>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</si>
  <si>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</si>
  <si>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</si>
  <si>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</si>
  <si>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</si>
  <si>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</si>
  <si>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</si>
  <si>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</si>
  <si>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</si>
  <si>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</si>
  <si>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</si>
  <si>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</si>
  <si>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</si>
  <si>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</si>
  <si>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</si>
  <si>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</si>
  <si>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</si>
  <si>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</si>
  <si>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</si>
  <si>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</si>
  <si>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</si>
  <si>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</si>
  <si>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</si>
  <si>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</si>
  <si>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</si>
  <si>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</si>
  <si>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</si>
  <si>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</si>
  <si>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</si>
  <si>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</si>
  <si>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</si>
  <si>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</si>
  <si>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</si>
  <si>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</si>
  <si>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</si>
  <si>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</si>
  <si>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</si>
  <si>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</si>
  <si>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</si>
  <si>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</si>
  <si>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</si>
  <si>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</si>
  <si>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</si>
  <si>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</si>
  <si>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</si>
  <si>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</si>
  <si>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</si>
  <si>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</si>
  <si>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</si>
  <si>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</si>
  <si>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</si>
  <si>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</si>
  <si>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</si>
  <si>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</si>
  <si>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</si>
  <si>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</si>
  <si>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</si>
  <si>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</si>
  <si>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</si>
  <si>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</si>
  <si>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</si>
  <si>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</si>
  <si>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</si>
  <si>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</si>
  <si>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</si>
  <si>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</si>
  <si>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</si>
  <si>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</si>
  <si>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</si>
  <si>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</si>
  <si>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</si>
  <si>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</si>
  <si>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</si>
  <si>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</si>
  <si>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</si>
  <si>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</si>
  <si>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</si>
  <si>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</si>
  <si>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</si>
  <si>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</si>
  <si>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</si>
  <si>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</si>
  <si>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</si>
  <si>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</si>
  <si>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</si>
  <si>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</si>
  <si>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</si>
  <si>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</si>
  <si>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</si>
  <si>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</si>
  <si>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</si>
  <si>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</si>
  <si>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</si>
  <si>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</si>
  <si>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</si>
  <si>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</si>
  <si>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</si>
  <si>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</si>
  <si>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</si>
  <si>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</si>
  <si>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</si>
  <si>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</si>
  <si>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</si>
  <si>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</si>
  <si>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</si>
  <si>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</si>
  <si>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</si>
  <si>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</si>
  <si>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</si>
  <si>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</si>
  <si>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</si>
  <si>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</si>
  <si>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</si>
  <si>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</si>
  <si>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</si>
  <si>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</si>
  <si>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</si>
  <si>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</si>
  <si>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</si>
  <si>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</si>
  <si>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</si>
  <si>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</si>
  <si>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</si>
  <si>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</si>
  <si>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</si>
  <si>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</si>
  <si>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</si>
  <si>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</si>
  <si>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</si>
  <si>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</si>
  <si>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</si>
  <si>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</si>
  <si>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</si>
  <si>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</si>
  <si>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</si>
  <si>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</si>
  <si>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</si>
  <si>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</si>
  <si>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</si>
  <si>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</si>
  <si>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</si>
  <si>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</si>
  <si>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</si>
  <si>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</si>
  <si>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</si>
  <si>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</si>
  <si>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</si>
  <si>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</si>
  <si>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</si>
  <si>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</si>
  <si>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</si>
  <si>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</si>
  <si>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</si>
  <si>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</si>
  <si>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</si>
  <si>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</si>
  <si>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</si>
  <si>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</si>
  <si>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</si>
  <si>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</si>
  <si>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</si>
  <si>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</si>
  <si>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</si>
  <si>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</si>
  <si>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</si>
  <si>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</si>
  <si>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</si>
  <si>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</si>
  <si>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</si>
  <si>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</si>
  <si>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</si>
  <si>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</si>
  <si>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</si>
  <si>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</si>
  <si>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</si>
  <si>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</si>
  <si>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</si>
  <si>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</si>
  <si>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</si>
  <si>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</si>
  <si>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</si>
  <si>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</si>
  <si>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</si>
  <si>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</si>
  <si>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</si>
  <si>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</si>
  <si>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</si>
  <si>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</si>
  <si>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</si>
  <si>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</si>
  <si>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</si>
  <si>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</si>
  <si>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</si>
  <si>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</si>
  <si>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</si>
  <si>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</si>
  <si>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</si>
  <si>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</si>
  <si>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</si>
  <si>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</si>
  <si>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</si>
  <si>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</si>
  <si>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</si>
  <si>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</si>
  <si>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</si>
  <si>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</si>
  <si>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</si>
  <si>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</si>
  <si>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</si>
  <si>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</si>
  <si>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</si>
  <si>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</si>
  <si>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</si>
  <si>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</si>
  <si>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</si>
  <si>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</si>
  <si>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</si>
  <si>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</si>
  <si>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</si>
  <si>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</si>
  <si>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</si>
  <si>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</si>
  <si>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</si>
  <si>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</si>
  <si>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</si>
  <si>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</si>
  <si>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</si>
  <si>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</si>
  <si>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</si>
  <si>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</si>
  <si>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</si>
  <si>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</si>
  <si>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</si>
  <si>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</si>
  <si>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</si>
  <si>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</si>
  <si>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</si>
  <si>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</si>
  <si>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</si>
  <si>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</si>
  <si>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</si>
  <si>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</si>
  <si>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</si>
  <si>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</si>
  <si>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</si>
  <si>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</si>
  <si>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</si>
  <si>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</si>
  <si>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</si>
  <si>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</si>
  <si>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</si>
  <si>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</si>
  <si>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</si>
  <si>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</si>
  <si>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</si>
  <si>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</si>
  <si>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</si>
  <si>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</si>
  <si>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</si>
  <si>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</si>
  <si>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</si>
  <si>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</si>
  <si>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</si>
  <si>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</si>
  <si>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</si>
  <si>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</si>
  <si>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</si>
  <si>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</si>
  <si>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</si>
  <si>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</si>
  <si>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</si>
  <si>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</si>
  <si>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</si>
  <si>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</si>
  <si>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</si>
  <si>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</si>
  <si>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</si>
  <si>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</si>
  <si>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</si>
  <si>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</si>
  <si>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</si>
  <si>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</si>
  <si>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</si>
  <si>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</si>
  <si>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</si>
  <si>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</si>
  <si>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</si>
  <si>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</si>
  <si>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</si>
  <si>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</si>
  <si>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</si>
  <si>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</si>
  <si>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</si>
  <si>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</si>
  <si>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</si>
  <si>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</si>
  <si>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</si>
  <si>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</si>
  <si>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</si>
  <si>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</si>
  <si>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</si>
  <si>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</si>
  <si>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</si>
  <si>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</si>
  <si>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</si>
  <si>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</si>
  <si>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</si>
  <si>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</si>
  <si>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</si>
  <si>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</si>
  <si>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</si>
  <si>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</si>
  <si>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</si>
  <si>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</si>
  <si>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</si>
  <si>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</si>
  <si>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</si>
  <si>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</si>
  <si>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</si>
  <si>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</si>
  <si>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</si>
  <si>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</si>
  <si>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</si>
  <si>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</si>
  <si>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</si>
  <si>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</si>
  <si>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</si>
  <si>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</si>
  <si>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</si>
  <si>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</si>
  <si>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</si>
  <si>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</si>
  <si>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</si>
  <si>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</si>
  <si>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</si>
  <si>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</si>
  <si>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</si>
  <si>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</si>
  <si>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</si>
  <si>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</si>
  <si>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</si>
  <si>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</si>
  <si>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</si>
  <si>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</si>
  <si>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</si>
  <si>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</si>
  <si>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</si>
  <si>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</si>
  <si>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</si>
  <si>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</si>
  <si>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</si>
  <si>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</si>
  <si>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</si>
  <si>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</si>
  <si>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</si>
  <si>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</si>
  <si>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</si>
  <si>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</si>
  <si>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</si>
  <si>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</si>
  <si>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</si>
  <si>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</si>
  <si>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</si>
  <si>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</si>
  <si>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</si>
  <si>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</si>
  <si>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</si>
  <si>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</si>
  <si>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</si>
  <si>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</si>
  <si>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</si>
  <si>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</si>
  <si>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</si>
  <si>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</si>
  <si>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</si>
  <si>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</si>
  <si>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</si>
  <si>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</si>
  <si>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</si>
  <si>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</si>
  <si>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</si>
  <si>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</si>
  <si>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</si>
  <si>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</si>
  <si>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</si>
  <si>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</si>
  <si>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</si>
  <si>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</si>
  <si>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</si>
  <si>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</si>
  <si>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</si>
  <si>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</si>
  <si>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</si>
  <si>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</si>
  <si>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</si>
  <si>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</si>
  <si>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</si>
  <si>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</si>
  <si>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</si>
  <si>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</si>
  <si>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</si>
  <si>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</si>
  <si>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</si>
  <si>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</si>
  <si>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</si>
  <si>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</si>
  <si>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</si>
  <si>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</si>
  <si>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</si>
  <si>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</si>
  <si>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</si>
  <si>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</si>
  <si>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</si>
  <si>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</si>
  <si>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</si>
  <si>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</si>
  <si>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</si>
  <si>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</si>
  <si>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</si>
  <si>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</si>
  <si>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</si>
  <si>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</si>
  <si>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</si>
  <si>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</si>
  <si>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</si>
  <si>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</si>
  <si>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</si>
  <si>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</si>
  <si>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</si>
  <si>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</si>
  <si>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</si>
  <si>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</si>
  <si>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</si>
  <si>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</si>
  <si>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</si>
  <si>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</si>
  <si>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</si>
  <si>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</si>
  <si>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</si>
  <si>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</si>
  <si>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</si>
  <si>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</si>
  <si>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</si>
  <si>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</si>
  <si>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</si>
  <si>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</si>
  <si>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</si>
  <si>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</si>
  <si>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</si>
  <si>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</si>
  <si>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</si>
  <si>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</si>
  <si>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</si>
  <si>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</si>
  <si>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</si>
  <si>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</si>
  <si>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</si>
  <si>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</si>
  <si>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</si>
  <si>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</si>
  <si>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</si>
  <si>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</si>
  <si>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</si>
  <si>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</si>
  <si>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</si>
  <si>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</si>
  <si>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</si>
  <si>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</si>
  <si>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</si>
  <si>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</si>
  <si>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</si>
  <si>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</si>
  <si>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</si>
  <si>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</si>
  <si>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</si>
  <si>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</si>
  <si>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</si>
  <si>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</si>
  <si>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</si>
  <si>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</si>
  <si>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</si>
  <si>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</si>
  <si>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</si>
  <si>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</si>
  <si>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</si>
  <si>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</si>
  <si>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</si>
  <si>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</si>
  <si>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</si>
  <si>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</si>
  <si>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</si>
  <si>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</si>
  <si>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</si>
  <si>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</si>
  <si>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</si>
  <si>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</si>
  <si>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</si>
  <si>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</si>
  <si>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</si>
  <si>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</si>
  <si>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</si>
  <si>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</si>
  <si>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</si>
  <si>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</si>
  <si>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</si>
  <si>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</si>
  <si>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</si>
  <si>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</si>
  <si>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</si>
  <si>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</si>
  <si>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</si>
  <si>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</si>
  <si>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</si>
  <si>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</si>
  <si>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</si>
  <si>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</si>
  <si>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</si>
  <si>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</si>
  <si>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</si>
  <si>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</si>
  <si>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</si>
  <si>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</si>
  <si>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</si>
  <si>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</si>
  <si>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</si>
  <si>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</si>
  <si>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</si>
  <si>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</si>
  <si>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</si>
  <si>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</si>
  <si>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</si>
  <si>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</si>
  <si>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</si>
  <si>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</si>
  <si>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</si>
  <si>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</si>
  <si>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</si>
  <si>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</si>
  <si>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</si>
  <si>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</si>
  <si>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</si>
  <si>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</si>
  <si>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</si>
  <si>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</si>
  <si>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</si>
  <si>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</si>
  <si>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</si>
  <si>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</si>
  <si>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</si>
  <si>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</si>
  <si>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</si>
  <si>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</si>
  <si>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</si>
  <si>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</si>
  <si>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</si>
  <si>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</si>
  <si>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</si>
  <si>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</si>
  <si>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</si>
  <si>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</si>
  <si>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</si>
  <si>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</si>
  <si>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</si>
  <si>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</si>
  <si>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</si>
  <si>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</si>
  <si>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</si>
  <si>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</si>
  <si>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</si>
  <si>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</si>
  <si>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</si>
  <si>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</si>
  <si>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</si>
  <si>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</si>
  <si>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</si>
  <si>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</si>
  <si>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</si>
  <si>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</si>
  <si>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</si>
  <si>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</si>
  <si>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</si>
  <si>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</si>
  <si>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</si>
  <si>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</si>
  <si>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</si>
  <si>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</si>
  <si>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</si>
  <si>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</si>
  <si>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</si>
  <si>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</si>
  <si>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</si>
  <si>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</si>
  <si>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</si>
  <si>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</si>
  <si>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</si>
  <si>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</si>
  <si>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</si>
  <si>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</si>
  <si>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</si>
  <si>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</si>
  <si>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</si>
  <si>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</si>
  <si>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</si>
  <si>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</si>
  <si>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</si>
  <si>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</si>
  <si>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</si>
  <si>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</si>
  <si>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</si>
  <si>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</si>
  <si>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</si>
  <si>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</si>
  <si>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</si>
  <si>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</si>
  <si>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</si>
  <si>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</si>
  <si>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</si>
  <si>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</si>
  <si>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</si>
  <si>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</si>
  <si>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</si>
  <si>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</si>
  <si>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</si>
  <si>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</si>
  <si>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</si>
  <si>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</si>
  <si>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</si>
  <si>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</si>
  <si>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</si>
  <si>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</si>
  <si>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</si>
  <si>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</si>
  <si>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</si>
  <si>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</si>
  <si>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</si>
  <si>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</si>
  <si>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</si>
  <si>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</si>
  <si>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</si>
  <si>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</si>
  <si>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</si>
  <si>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</si>
  <si>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</si>
  <si>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</si>
  <si>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</si>
  <si>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</si>
  <si>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</si>
  <si>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</si>
  <si>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</si>
  <si>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</si>
  <si>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</si>
  <si>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</si>
  <si>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</si>
  <si>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</si>
  <si>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</si>
  <si>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</si>
  <si>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</si>
  <si>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</si>
  <si>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</si>
  <si>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</si>
  <si>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</si>
  <si>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</si>
  <si>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</si>
  <si>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</si>
  <si>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</si>
  <si>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</si>
  <si>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</si>
  <si>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</si>
  <si>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</si>
  <si>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</si>
  <si>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</si>
  <si>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</si>
  <si>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</si>
  <si>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</si>
  <si>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</si>
  <si>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</si>
  <si>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</si>
  <si>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</si>
  <si>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</si>
  <si>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</si>
  <si>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</si>
  <si>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</si>
  <si>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</si>
  <si>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</si>
  <si>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</si>
  <si>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</si>
  <si>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</si>
  <si>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</si>
  <si>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</si>
  <si>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</si>
  <si>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</si>
  <si>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</si>
  <si>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</si>
  <si>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</si>
  <si>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</si>
  <si>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</si>
  <si>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</si>
  <si>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</si>
  <si>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</si>
  <si>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</si>
  <si>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</si>
  <si>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</si>
  <si>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</si>
  <si>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</si>
  <si>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</si>
  <si>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</si>
  <si>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</si>
  <si>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</si>
  <si>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</si>
  <si>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</si>
  <si>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</si>
  <si>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</si>
  <si>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</si>
  <si>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</si>
  <si>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</si>
  <si>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</si>
  <si>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</si>
  <si>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</si>
  <si>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</si>
  <si>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</si>
  <si>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</si>
  <si>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</si>
  <si>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</si>
  <si>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</si>
  <si>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</si>
  <si>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</si>
  <si>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</si>
  <si>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</si>
  <si>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</si>
  <si>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</si>
  <si>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</si>
  <si>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</si>
  <si>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</si>
  <si>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</si>
  <si>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</si>
  <si>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</si>
  <si>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</si>
  <si>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</si>
  <si>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</si>
  <si>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</si>
  <si>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</si>
  <si>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</si>
  <si>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</si>
  <si>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</si>
  <si>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</si>
  <si>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</si>
  <si>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</si>
  <si>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</si>
  <si>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</si>
  <si>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</si>
  <si>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</si>
  <si>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</si>
  <si>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</si>
  <si>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</si>
  <si>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</si>
  <si>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</si>
  <si>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</si>
  <si>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</si>
  <si>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</si>
  <si>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</si>
  <si>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</si>
  <si>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</si>
  <si>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</si>
  <si>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</si>
  <si>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</si>
  <si>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</si>
  <si>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</si>
  <si>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</si>
  <si>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</si>
  <si>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</si>
  <si>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</si>
  <si>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</si>
  <si>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</si>
  <si>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</si>
  <si>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</si>
  <si>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</si>
  <si>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</si>
  <si>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</si>
  <si>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</si>
  <si>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</si>
  <si>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</si>
  <si>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</si>
  <si>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</si>
  <si>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</si>
  <si>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</si>
  <si>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</si>
  <si>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</si>
  <si>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</si>
  <si>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</si>
  <si>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</si>
  <si>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</si>
  <si>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</si>
  <si>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</si>
  <si>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</si>
  <si>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</si>
  <si>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</si>
  <si>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</si>
  <si>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</si>
  <si>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</si>
  <si>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</si>
  <si>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</si>
  <si>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</si>
  <si>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</si>
  <si>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</si>
  <si>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</si>
  <si>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</si>
  <si>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</si>
  <si>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</si>
  <si>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</si>
  <si>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</si>
  <si>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</si>
  <si>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</si>
  <si>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</si>
  <si>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</si>
  <si>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</si>
  <si>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</si>
  <si>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</si>
  <si>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</si>
  <si>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</si>
  <si>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</si>
  <si>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</si>
  <si>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</si>
  <si>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</si>
  <si>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</si>
  <si>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</si>
  <si>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</si>
  <si>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</si>
  <si>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</si>
  <si>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</si>
  <si>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</si>
  <si>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</si>
  <si>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</si>
  <si>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</si>
  <si>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</si>
  <si>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</si>
  <si>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</si>
  <si>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</si>
  <si>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</si>
  <si>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</si>
  <si>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</si>
  <si>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</si>
  <si>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</si>
  <si>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</si>
  <si>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</si>
  <si>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</si>
  <si>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</si>
  <si>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</si>
  <si>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</si>
  <si>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</si>
  <si>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</si>
  <si>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</si>
  <si>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</si>
  <si>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</si>
  <si>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</si>
  <si>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</si>
  <si>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</si>
  <si>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</si>
  <si>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</si>
  <si>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</si>
  <si>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</si>
  <si>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</si>
  <si>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</si>
  <si>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</si>
  <si>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</si>
  <si>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</si>
  <si>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</si>
  <si>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</si>
  <si>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</si>
  <si>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</si>
  <si>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</si>
  <si>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</si>
  <si>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</si>
  <si>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</si>
  <si>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</si>
  <si>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</si>
  <si>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</si>
  <si>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</si>
  <si>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</si>
  <si>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</si>
  <si>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</si>
  <si>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</si>
  <si>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</si>
  <si>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</si>
  <si>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</si>
  <si>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</si>
  <si>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</si>
  <si>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</si>
  <si>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</si>
  <si>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</si>
  <si>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</si>
  <si>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</si>
  <si>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</si>
  <si>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</si>
  <si>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</si>
  <si>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</si>
  <si>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</si>
  <si>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</si>
  <si>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</si>
  <si>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</si>
  <si>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</si>
  <si>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</si>
  <si>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</si>
  <si>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</si>
  <si>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</si>
  <si>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</si>
  <si>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</si>
  <si>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</si>
  <si>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</si>
  <si>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</si>
  <si>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</si>
  <si>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</si>
  <si>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</si>
  <si>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</si>
  <si>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</si>
  <si>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</si>
  <si>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</si>
  <si>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</si>
  <si>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</si>
  <si>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</si>
  <si>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</si>
  <si>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</si>
  <si>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</si>
  <si>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</si>
  <si>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</si>
  <si>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</si>
  <si>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</si>
  <si>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</si>
  <si>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</si>
  <si>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</si>
  <si>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</si>
  <si>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</si>
  <si>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</si>
  <si>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</si>
  <si>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</si>
  <si>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</si>
  <si>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</si>
  <si>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</si>
  <si>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</si>
  <si>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</si>
  <si>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</si>
  <si>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</si>
  <si>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</si>
  <si>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</si>
  <si>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</si>
  <si>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</si>
  <si>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</si>
  <si>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</si>
  <si>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</si>
  <si>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</si>
  <si>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</si>
  <si>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</si>
  <si>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</si>
  <si>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</si>
  <si>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</si>
  <si>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</si>
  <si>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</si>
  <si>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</si>
  <si>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</si>
  <si>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</si>
  <si>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</si>
  <si>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</si>
  <si>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</si>
  <si>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</si>
  <si>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</si>
  <si>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</si>
  <si>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</si>
  <si>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</si>
  <si>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</si>
  <si>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</si>
  <si>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</si>
  <si>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</si>
  <si>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</si>
  <si>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</si>
  <si>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</si>
  <si>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</si>
  <si>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</si>
  <si>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</si>
  <si>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</si>
  <si>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</si>
  <si>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</si>
  <si>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</si>
  <si>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</si>
  <si>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</si>
  <si>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</si>
  <si>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</si>
  <si>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</si>
  <si>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</si>
  <si>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</si>
  <si>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</si>
  <si>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</si>
  <si>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</si>
  <si>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</si>
  <si>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</si>
  <si>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</si>
  <si>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</si>
  <si>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</si>
  <si>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</si>
  <si>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</si>
  <si>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</si>
  <si>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</si>
  <si>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</si>
  <si>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</si>
  <si>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</si>
  <si>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</si>
  <si>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</si>
  <si>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</si>
  <si>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</si>
  <si>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</si>
  <si>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</si>
  <si>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</si>
  <si>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</si>
  <si>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</si>
  <si>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</si>
  <si>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</si>
  <si>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</si>
  <si>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</si>
  <si>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</si>
  <si>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</si>
  <si>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</si>
  <si>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</si>
  <si>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</si>
  <si>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</si>
  <si>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</si>
  <si>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</si>
  <si>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</si>
  <si>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</si>
  <si>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</si>
  <si>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</si>
  <si>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</si>
  <si>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</si>
  <si>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</si>
  <si>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</si>
  <si>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</si>
  <si>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</si>
  <si>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</si>
  <si>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</si>
  <si>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</si>
  <si>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</si>
  <si>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</si>
  <si>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</si>
  <si>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</si>
  <si>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</si>
  <si>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</si>
  <si>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</si>
  <si>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</si>
  <si>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</si>
  <si>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</si>
  <si>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</si>
  <si>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</si>
  <si>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</si>
  <si>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</si>
  <si>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</si>
  <si>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</si>
  <si>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</si>
  <si>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</si>
  <si>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</si>
  <si>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</si>
  <si>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</si>
  <si>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</si>
  <si>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</si>
  <si>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</si>
  <si>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</si>
  <si>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</si>
  <si>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</si>
  <si>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</si>
  <si>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</si>
  <si>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</si>
  <si>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</si>
  <si>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</si>
  <si>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</si>
  <si>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</si>
  <si>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</si>
  <si>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</si>
  <si>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</si>
  <si>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</si>
  <si>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</si>
  <si>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</si>
  <si>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</si>
  <si>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</si>
  <si>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</si>
  <si>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</si>
  <si>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</si>
  <si>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</si>
  <si>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</si>
  <si>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</si>
  <si>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</si>
  <si>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</si>
  <si>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</si>
  <si>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</si>
  <si>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</si>
  <si>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</si>
  <si>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</si>
  <si>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</si>
  <si>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</si>
  <si>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</si>
  <si>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</si>
  <si>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</si>
  <si>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</si>
  <si>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</si>
  <si>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</si>
  <si>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</si>
  <si>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</si>
  <si>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</si>
  <si>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</si>
  <si>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</si>
  <si>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</si>
  <si>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</si>
  <si>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</si>
  <si>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</si>
  <si>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</si>
  <si>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</si>
  <si>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</si>
  <si>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</si>
  <si>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</si>
  <si>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</si>
  <si>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</si>
  <si>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</si>
  <si>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</si>
  <si>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</si>
  <si>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</si>
  <si>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</si>
  <si>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</si>
  <si>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</si>
  <si>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</si>
  <si>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</si>
  <si>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</si>
  <si>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</si>
  <si>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</si>
  <si>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</si>
  <si>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</si>
  <si>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</si>
  <si>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</si>
  <si>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</si>
  <si>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</si>
  <si>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</si>
  <si>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</si>
  <si>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</si>
  <si>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</si>
  <si>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</si>
  <si>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</si>
  <si>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</si>
  <si>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</si>
  <si>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</si>
  <si>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</si>
  <si>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</si>
  <si>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</si>
  <si>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</si>
  <si>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</si>
  <si>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</si>
  <si>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</si>
  <si>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</si>
  <si>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</si>
  <si>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</si>
  <si>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</si>
  <si>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</si>
  <si>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</si>
  <si>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</si>
  <si>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</si>
  <si>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</si>
  <si>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</si>
  <si>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</si>
  <si>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</si>
  <si>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</si>
  <si>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</si>
  <si>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</si>
  <si>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</si>
  <si>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</si>
  <si>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</si>
  <si>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</si>
  <si>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</si>
  <si>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</si>
  <si>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</si>
  <si>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</si>
  <si>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</si>
  <si>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</si>
  <si>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</si>
  <si>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</si>
  <si>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</si>
  <si>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</si>
  <si>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</si>
  <si>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</si>
  <si>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</si>
  <si>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</si>
  <si>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</si>
  <si>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</si>
  <si>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</si>
  <si>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</si>
  <si>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</si>
  <si>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</si>
  <si>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</si>
  <si>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</si>
  <si>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</si>
  <si>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</si>
  <si>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</si>
  <si>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</si>
  <si>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</si>
  <si>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</si>
  <si>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</si>
  <si>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</si>
  <si>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</si>
  <si>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</si>
  <si>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</si>
  <si>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</si>
  <si>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</si>
  <si>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</si>
  <si>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</si>
  <si>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</si>
  <si>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</si>
  <si>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</si>
  <si>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</si>
  <si>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</si>
  <si>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</si>
  <si>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</si>
  <si>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</si>
  <si>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</si>
  <si>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</si>
  <si>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</si>
  <si>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</si>
  <si>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</si>
  <si>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</si>
  <si>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</si>
  <si>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</si>
  <si>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</si>
  <si>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</si>
  <si>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</si>
  <si>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</si>
  <si>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</si>
  <si>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</si>
  <si>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</si>
  <si>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</si>
  <si>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</si>
  <si>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</si>
  <si>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</si>
  <si>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</si>
  <si>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</si>
  <si>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</si>
  <si>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</si>
  <si>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</si>
  <si>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</si>
  <si>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</si>
  <si>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</si>
  <si>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</si>
  <si>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</si>
  <si>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</si>
  <si>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</si>
  <si>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</si>
  <si>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</si>
  <si>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</si>
  <si>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</si>
  <si>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</si>
  <si>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</si>
  <si>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</si>
  <si>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</si>
  <si>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</si>
  <si>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</si>
  <si>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</si>
  <si>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</si>
  <si>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</si>
  <si>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</si>
  <si>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</si>
  <si>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</si>
  <si>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</si>
  <si>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</si>
  <si>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</si>
  <si>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</si>
  <si>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</si>
  <si>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</si>
  <si>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</si>
  <si>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</si>
  <si>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</si>
  <si>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</si>
  <si>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</si>
  <si>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</si>
  <si>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</si>
  <si>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</si>
  <si>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</si>
  <si>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</si>
  <si>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</si>
  <si>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</si>
  <si>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</si>
  <si>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</si>
  <si>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</si>
  <si>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</si>
  <si>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</si>
  <si>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</si>
  <si>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</si>
  <si>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</si>
  <si>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</si>
  <si>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</si>
  <si>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</si>
  <si>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</si>
  <si>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</si>
  <si>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</si>
  <si>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</si>
  <si>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</si>
  <si>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</si>
  <si>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</si>
  <si>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</si>
  <si>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</si>
  <si>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</si>
  <si>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</si>
  <si>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</si>
  <si>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</si>
  <si>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</si>
  <si>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</si>
  <si>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</si>
  <si>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</si>
  <si>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</si>
  <si>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</si>
  <si>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</si>
  <si>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</si>
  <si>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</si>
  <si>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</si>
  <si>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</si>
  <si>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</si>
  <si>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</si>
  <si>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</si>
  <si>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</si>
  <si>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</si>
  <si>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</si>
  <si>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</si>
  <si>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</si>
  <si>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</si>
  <si>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</si>
  <si>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</si>
  <si>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</si>
  <si>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</si>
  <si>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</si>
  <si>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</si>
  <si>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</si>
  <si>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</si>
  <si>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</si>
  <si>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</si>
  <si>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</si>
  <si>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</si>
  <si>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</si>
  <si>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</si>
  <si>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</si>
  <si>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</si>
  <si>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</si>
  <si>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</si>
  <si>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</si>
  <si>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</si>
  <si>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</si>
  <si>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</si>
  <si>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</si>
  <si>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</si>
  <si>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</si>
  <si>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</si>
  <si>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</si>
  <si>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</si>
  <si>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</si>
  <si>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</si>
  <si>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</si>
  <si>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</si>
  <si>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</si>
  <si>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</si>
  <si>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</si>
  <si>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</si>
  <si>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</si>
  <si>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</si>
  <si>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</si>
  <si>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</si>
  <si>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</si>
  <si>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</si>
  <si>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</si>
  <si>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</si>
  <si>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</si>
  <si>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</si>
  <si>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</si>
  <si>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</si>
  <si>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</si>
  <si>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</si>
  <si>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</si>
  <si>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</si>
  <si>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</si>
  <si>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</si>
  <si>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</si>
  <si>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</si>
  <si>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</si>
  <si>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</si>
  <si>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</si>
  <si>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</si>
  <si>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</si>
  <si>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</si>
  <si>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</si>
  <si>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</si>
  <si>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</si>
  <si>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</si>
  <si>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</si>
  <si>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</si>
  <si>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</si>
  <si>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</si>
  <si>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</si>
  <si>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</si>
  <si>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</si>
  <si>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</si>
  <si>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</si>
  <si>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</si>
  <si>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</si>
  <si>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</si>
  <si>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</si>
  <si>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</si>
  <si>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</si>
  <si>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</si>
  <si>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</si>
  <si>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</si>
  <si>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</si>
  <si>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</si>
  <si>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</si>
  <si>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</si>
  <si>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</si>
  <si>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</si>
  <si>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</si>
  <si>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</si>
  <si>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</si>
  <si>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</si>
  <si>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</si>
  <si>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</si>
  <si>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</si>
  <si>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</si>
  <si>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</si>
  <si>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</si>
  <si>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</si>
  <si>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</si>
  <si>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</si>
  <si>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</si>
  <si>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</si>
  <si>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</si>
  <si>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</si>
  <si>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</si>
  <si>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</si>
  <si>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</si>
  <si>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</si>
  <si>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</si>
  <si>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</si>
  <si>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</si>
  <si>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</si>
  <si>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</si>
  <si>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</si>
  <si>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</si>
  <si>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</si>
  <si>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</si>
  <si>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</si>
  <si>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</si>
  <si>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</si>
  <si>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</si>
  <si>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</si>
  <si>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</si>
  <si>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</si>
  <si>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</si>
  <si>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</si>
  <si>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</si>
  <si>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</si>
  <si>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</si>
  <si>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</si>
  <si>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</si>
  <si>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</si>
  <si>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</si>
  <si>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</si>
  <si>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</si>
  <si>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</si>
  <si>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</si>
  <si>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</si>
  <si>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</si>
  <si>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</si>
  <si>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</si>
  <si>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</si>
  <si>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</si>
  <si>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</si>
  <si>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</si>
  <si>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</si>
  <si>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</si>
  <si>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</si>
  <si>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</si>
  <si>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</si>
  <si>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</si>
  <si>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</si>
  <si>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</si>
  <si>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</si>
  <si>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</si>
  <si>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</si>
  <si>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</si>
  <si>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</si>
  <si>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</si>
  <si>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</si>
  <si>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</si>
  <si>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</si>
  <si>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</si>
  <si>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</si>
  <si>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</si>
  <si>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</si>
  <si>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</si>
  <si>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</si>
  <si>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</si>
  <si>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</si>
  <si>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</si>
  <si>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</si>
  <si>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</si>
  <si>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</si>
  <si>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</si>
  <si>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</si>
  <si>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</si>
  <si>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</si>
  <si>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</si>
  <si>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</si>
  <si>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</si>
  <si>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</si>
  <si>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</si>
  <si>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</si>
  <si>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</si>
  <si>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</si>
  <si>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</si>
  <si>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</si>
  <si>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</si>
  <si>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</si>
  <si>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</si>
  <si>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</si>
  <si>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</si>
  <si>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</si>
  <si>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</si>
  <si>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</si>
  <si>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</si>
  <si>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</si>
  <si>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</si>
  <si>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</si>
  <si>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</si>
  <si>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</si>
  <si>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</si>
  <si>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</si>
  <si>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</si>
  <si>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</si>
  <si>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</si>
  <si>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</si>
  <si>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</si>
  <si>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</si>
  <si>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</si>
  <si>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</si>
  <si>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</si>
  <si>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</si>
  <si>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</si>
  <si>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</si>
  <si>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</si>
  <si>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</si>
  <si>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</si>
  <si>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</si>
  <si>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</si>
  <si>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</si>
  <si>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</si>
  <si>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</si>
  <si>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</si>
  <si>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</si>
  <si>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</si>
  <si>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</si>
  <si>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</si>
  <si>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</si>
  <si>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</si>
  <si>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</si>
  <si>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</si>
  <si>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</si>
  <si>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</si>
  <si>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</si>
  <si>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</si>
  <si>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</si>
  <si>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</si>
  <si>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</si>
  <si>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</si>
  <si>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</si>
  <si>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</si>
  <si>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</si>
  <si>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</si>
  <si>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</si>
  <si>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</si>
  <si>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</si>
  <si>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</si>
  <si>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</si>
  <si>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</si>
  <si>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</si>
  <si>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</si>
  <si>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</si>
  <si>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</si>
  <si>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</si>
  <si>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</si>
  <si>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</si>
  <si>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</si>
  <si>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</si>
  <si>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</si>
  <si>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</si>
  <si>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</si>
  <si>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</si>
  <si>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</si>
  <si>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</si>
  <si>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</si>
  <si>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</si>
  <si>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</si>
  <si>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</si>
  <si>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</si>
  <si>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</si>
  <si>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</si>
  <si>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</si>
  <si>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</si>
  <si>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</si>
  <si>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</si>
  <si>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</si>
  <si>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</si>
  <si>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</si>
  <si>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</si>
  <si>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</si>
  <si>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</si>
  <si>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</si>
  <si>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</si>
  <si>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</si>
  <si>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</si>
  <si>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</si>
  <si>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</si>
  <si>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</si>
  <si>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</si>
  <si>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</si>
  <si>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</si>
  <si>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</si>
  <si>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</si>
  <si>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</si>
  <si>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</si>
  <si>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</si>
  <si>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</si>
  <si>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</si>
  <si>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</si>
  <si>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</si>
  <si>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</si>
  <si>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</si>
  <si>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</si>
  <si>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</si>
  <si>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</si>
  <si>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</si>
  <si>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</si>
  <si>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</si>
  <si>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</si>
  <si>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</si>
  <si>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</si>
  <si>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</si>
  <si>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</si>
  <si>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</si>
  <si>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</si>
  <si>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</si>
  <si>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</si>
  <si>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</si>
  <si>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</si>
  <si>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</si>
  <si>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</si>
  <si>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</si>
  <si>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</si>
  <si>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</si>
  <si>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</si>
  <si>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</si>
  <si>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</si>
  <si>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</si>
  <si>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</si>
  <si>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</si>
  <si>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</si>
  <si>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</si>
  <si>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</si>
  <si>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</si>
  <si>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</si>
  <si>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</si>
  <si>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</si>
  <si>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</si>
  <si>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</si>
  <si>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</si>
  <si>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</si>
  <si>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</si>
  <si>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</si>
  <si>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</si>
  <si>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</si>
  <si>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</si>
  <si>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</si>
  <si>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</si>
  <si>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</si>
  <si>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</si>
  <si>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</si>
  <si>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</si>
  <si>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</si>
  <si>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</si>
  <si>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</si>
  <si>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</si>
  <si>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</si>
  <si>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</si>
  <si>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</si>
  <si>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</si>
  <si>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</si>
  <si>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</si>
  <si>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</si>
  <si>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</si>
  <si>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</si>
  <si>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</si>
  <si>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</si>
  <si>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</si>
  <si>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</si>
  <si>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</si>
  <si>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</si>
  <si>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</si>
  <si>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</si>
  <si>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</si>
  <si>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</si>
  <si>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</si>
  <si>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</si>
  <si>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</si>
  <si>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</si>
  <si>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</si>
  <si>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</si>
  <si>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</si>
  <si>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</si>
  <si>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</si>
  <si>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</si>
  <si>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</si>
  <si>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</si>
  <si>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</si>
  <si>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</si>
  <si>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</si>
  <si>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</si>
  <si>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</si>
  <si>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</si>
  <si>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</si>
  <si>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</si>
  <si>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</si>
  <si>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</si>
  <si>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</si>
  <si>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</si>
  <si>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</si>
  <si>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</si>
  <si>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</si>
  <si>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</si>
  <si>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</si>
  <si>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</si>
  <si>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</si>
  <si>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</si>
  <si>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</si>
  <si>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</si>
  <si>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</si>
  <si>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</si>
  <si>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</si>
  <si>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</si>
  <si>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</si>
  <si>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</si>
  <si>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</si>
  <si>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</si>
  <si>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</si>
  <si>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</si>
  <si>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</si>
  <si>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</si>
  <si>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</si>
  <si>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</si>
  <si>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</si>
  <si>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</si>
  <si>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</si>
  <si>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</si>
  <si>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</si>
  <si>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</si>
  <si>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</si>
  <si>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</si>
  <si>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</si>
  <si>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</si>
  <si>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</si>
  <si>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</si>
  <si>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</si>
  <si>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</si>
  <si>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</si>
  <si>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</si>
  <si>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</si>
  <si>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</si>
  <si>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</si>
  <si>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</si>
  <si>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</si>
  <si>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</si>
  <si>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</si>
  <si>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</si>
  <si>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</si>
  <si>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</si>
  <si>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</si>
  <si>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</si>
  <si>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</si>
  <si>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</si>
  <si>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</si>
  <si>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</si>
  <si>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</si>
  <si>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</si>
  <si>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</si>
  <si>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</si>
  <si>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</si>
  <si>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</si>
  <si>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</si>
  <si>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</si>
  <si>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</si>
  <si>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</si>
  <si>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</si>
  <si>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</si>
  <si>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</si>
  <si>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</si>
  <si>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</si>
  <si>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</si>
  <si>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</si>
  <si>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</si>
  <si>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</si>
  <si>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</si>
  <si>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</si>
  <si>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</si>
  <si>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</si>
  <si>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</si>
  <si>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</si>
  <si>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</si>
  <si>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</si>
  <si>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</si>
  <si>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</si>
  <si>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</si>
  <si>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</si>
  <si>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</si>
  <si>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</si>
  <si>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</si>
  <si>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</si>
  <si>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</si>
  <si>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</si>
  <si>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</si>
  <si>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</si>
  <si>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</si>
  <si>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</si>
  <si>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</si>
  <si>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</si>
  <si>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</si>
  <si>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</si>
  <si>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</si>
  <si>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</si>
  <si>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</si>
  <si>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</si>
  <si>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</si>
  <si>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</si>
  <si>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</si>
  <si>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</si>
  <si>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</si>
  <si>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</si>
  <si>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</si>
  <si>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</si>
  <si>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</si>
  <si>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</si>
  <si>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</si>
  <si>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</si>
  <si>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</si>
  <si>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</si>
  <si>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</si>
  <si>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</si>
  <si>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</si>
  <si>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</si>
  <si>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</si>
  <si>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</si>
  <si>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</si>
  <si>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</si>
  <si>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</si>
  <si>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</si>
  <si>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</si>
  <si>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</si>
  <si>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</si>
  <si>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</si>
  <si>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</si>
  <si>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</si>
  <si>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</si>
  <si>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</si>
  <si>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</si>
  <si>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</si>
  <si>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</si>
  <si>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</si>
  <si>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</si>
  <si>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</si>
  <si>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</si>
  <si>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</si>
  <si>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</si>
  <si>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</si>
  <si>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</si>
  <si>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</si>
  <si>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</si>
  <si>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</si>
  <si>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</si>
  <si>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</si>
  <si>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</si>
  <si>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</si>
  <si>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</si>
  <si>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</si>
  <si>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</si>
  <si>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</si>
  <si>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</si>
  <si>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</si>
  <si>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</si>
  <si>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</si>
  <si>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</si>
  <si>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</si>
  <si>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</si>
  <si>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</si>
  <si>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</si>
  <si>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</si>
  <si>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</si>
  <si>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</si>
  <si>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</si>
  <si>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</si>
  <si>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</si>
  <si>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</si>
  <si>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</si>
  <si>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</si>
  <si>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</si>
  <si>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</si>
  <si>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</si>
  <si>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</si>
  <si>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</si>
  <si>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</si>
  <si>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</si>
  <si>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</si>
  <si>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</si>
  <si>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</si>
  <si>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</si>
  <si>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</si>
  <si>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</si>
  <si>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</si>
  <si>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</si>
  <si>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</si>
  <si>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</si>
  <si>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</si>
  <si>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</si>
  <si>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</si>
  <si>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</si>
  <si>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</si>
  <si>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</si>
  <si>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</si>
  <si>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</si>
  <si>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</si>
  <si>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</si>
  <si>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</si>
  <si>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</si>
  <si>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</si>
  <si>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</si>
  <si>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</si>
  <si>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</si>
  <si>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</si>
  <si>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</si>
  <si>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</si>
  <si>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</si>
  <si>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</si>
  <si>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</si>
  <si>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</si>
  <si>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</si>
  <si>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</si>
  <si>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</si>
  <si>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</si>
  <si>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</si>
  <si>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</si>
  <si>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</si>
  <si>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</si>
  <si>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</si>
  <si>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</si>
  <si>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</si>
  <si>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</si>
  <si>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</si>
  <si>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</si>
  <si>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</si>
  <si>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</si>
  <si>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</si>
  <si>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</si>
  <si>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</si>
  <si>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</si>
  <si>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</si>
  <si>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</si>
  <si>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</si>
  <si>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</si>
  <si>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</si>
  <si>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</si>
  <si>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</si>
  <si>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</si>
  <si>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</si>
  <si>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</si>
  <si>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</si>
  <si>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</si>
  <si>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</si>
  <si>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</si>
  <si>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</si>
  <si>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</si>
  <si>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</si>
  <si>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</si>
  <si>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</si>
  <si>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</si>
  <si>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</si>
  <si>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</si>
  <si>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</si>
  <si>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</si>
  <si>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</si>
  <si>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</si>
  <si>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</si>
  <si>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</si>
  <si>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</si>
  <si>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</si>
  <si>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</si>
  <si>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</si>
  <si>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</si>
  <si>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</si>
  <si>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</si>
  <si>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</si>
  <si>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</si>
  <si>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</si>
  <si>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</si>
  <si>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</si>
  <si>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</si>
  <si>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</si>
  <si>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</si>
  <si>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</si>
  <si>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</si>
  <si>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</si>
  <si>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</si>
  <si>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</si>
  <si>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</si>
  <si>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</si>
  <si>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</si>
  <si>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</si>
  <si>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</si>
  <si>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</si>
  <si>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</si>
  <si>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</si>
  <si>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</si>
  <si>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</si>
  <si>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</si>
  <si>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</si>
  <si>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</si>
  <si>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</si>
  <si>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</si>
  <si>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</si>
  <si>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</si>
  <si>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</si>
  <si>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</si>
  <si>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</si>
  <si>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</si>
  <si>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</si>
  <si>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</si>
  <si>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</si>
  <si>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</si>
  <si>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</si>
  <si>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</si>
  <si>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</si>
  <si>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</si>
  <si>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</si>
  <si>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</si>
  <si>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</si>
  <si>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</si>
  <si>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</si>
  <si>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</si>
  <si>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</si>
  <si>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</si>
  <si>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</si>
  <si>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</si>
  <si>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</si>
  <si>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</si>
  <si>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</si>
  <si>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</si>
  <si>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</si>
  <si>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</si>
  <si>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</si>
  <si>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</si>
  <si>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</si>
  <si>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</si>
  <si>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</si>
  <si>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</si>
  <si>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</si>
  <si>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</si>
  <si>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</si>
  <si>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</si>
  <si>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</si>
  <si>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</si>
  <si>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</si>
  <si>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</si>
  <si>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</si>
  <si>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</si>
  <si>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</si>
  <si>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</si>
  <si>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</si>
  <si>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</si>
  <si>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</si>
  <si>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</si>
  <si>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</si>
  <si>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</si>
  <si>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</si>
  <si>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</si>
  <si>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</si>
  <si>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</si>
  <si>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</si>
  <si>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</si>
  <si>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</si>
  <si>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</si>
  <si>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</si>
  <si>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</si>
  <si>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</si>
  <si>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</si>
  <si>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</si>
  <si>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</si>
  <si>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</si>
  <si>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</si>
  <si>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</si>
  <si>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</si>
  <si>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</si>
  <si>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</si>
  <si>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</si>
  <si>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</si>
  <si>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</si>
  <si>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</si>
  <si>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</si>
  <si>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</si>
  <si>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</si>
  <si>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</si>
  <si>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</si>
  <si>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</si>
  <si>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</si>
  <si>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</si>
  <si>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</si>
  <si>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</si>
  <si>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</si>
  <si>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</si>
  <si>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</si>
  <si>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</si>
  <si>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</si>
  <si>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</si>
  <si>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</si>
  <si>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</si>
  <si>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</si>
  <si>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</si>
  <si>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</si>
  <si>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</si>
  <si>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</si>
  <si>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</si>
  <si>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</si>
  <si>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</si>
  <si>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</si>
  <si>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</si>
  <si>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</si>
  <si>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</si>
  <si>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</si>
  <si>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</si>
  <si>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</si>
  <si>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</si>
  <si>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</si>
  <si>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</si>
  <si>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</si>
  <si>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</si>
  <si>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</si>
  <si>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</si>
  <si>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</si>
  <si>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</si>
  <si>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</si>
  <si>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</si>
  <si>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</si>
  <si>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</si>
  <si>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</si>
  <si>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</si>
  <si>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</si>
  <si>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</si>
  <si>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</si>
  <si>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</si>
  <si>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</si>
  <si>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</si>
  <si>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</si>
  <si>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</si>
  <si>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</si>
  <si>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</si>
  <si>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</si>
  <si>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</si>
  <si>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</si>
  <si>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</si>
  <si>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</si>
  <si>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</si>
  <si>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</si>
  <si>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</si>
  <si>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</si>
  <si>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</si>
  <si>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</si>
  <si>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</si>
  <si>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</si>
  <si>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</si>
  <si>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</si>
  <si>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</si>
  <si>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</si>
  <si>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</si>
  <si>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</si>
  <si>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</si>
  <si>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</si>
  <si>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</si>
  <si>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</si>
  <si>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</si>
  <si>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</si>
  <si>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</si>
  <si>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</si>
  <si>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</si>
  <si>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</si>
  <si>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</si>
  <si>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</si>
  <si>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</si>
  <si>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</si>
  <si>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</si>
  <si>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</si>
  <si>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</si>
  <si>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</si>
  <si>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</si>
  <si>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</si>
  <si>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</si>
  <si>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</si>
  <si>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</si>
  <si>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</si>
  <si>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</si>
  <si>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</si>
  <si>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</si>
  <si>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</si>
  <si>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</si>
  <si>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</si>
  <si>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</si>
  <si>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</si>
  <si>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</si>
  <si>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</si>
  <si>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</si>
  <si>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</si>
  <si>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</si>
  <si>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</si>
  <si>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</si>
  <si>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</si>
  <si>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</si>
  <si>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</si>
  <si>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</si>
  <si>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</si>
  <si>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</si>
  <si>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</si>
  <si>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</si>
  <si>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</si>
  <si>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</si>
  <si>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</si>
  <si>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</si>
  <si>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</si>
  <si>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</si>
  <si>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</si>
  <si>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</si>
  <si>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</si>
  <si>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</si>
  <si>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</si>
  <si>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</si>
  <si>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</si>
  <si>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</si>
  <si>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</si>
  <si>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</si>
  <si>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</si>
  <si>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</si>
  <si>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</si>
  <si>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</si>
  <si>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</si>
  <si>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</si>
  <si>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</si>
  <si>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</si>
  <si>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</si>
  <si>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</si>
  <si>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</si>
  <si>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</si>
  <si>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</si>
  <si>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</si>
  <si>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</si>
  <si>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</si>
  <si>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</si>
  <si>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</si>
  <si>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</si>
  <si>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</si>
  <si>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</si>
  <si>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</si>
  <si>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</si>
  <si>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</si>
  <si>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</si>
  <si>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</si>
  <si>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</si>
  <si>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</si>
  <si>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</si>
  <si>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</si>
  <si>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</si>
  <si>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</si>
  <si>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</si>
  <si>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</si>
  <si>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</si>
  <si>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</si>
  <si>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</si>
  <si>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</si>
  <si>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</si>
  <si>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</si>
  <si>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</si>
  <si>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</si>
  <si>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</si>
  <si>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</si>
  <si>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</si>
  <si>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</si>
  <si>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</si>
  <si>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</si>
  <si>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</si>
  <si>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</si>
  <si>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</si>
  <si>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</si>
  <si>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</si>
  <si>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</si>
  <si>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</si>
  <si>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</si>
  <si>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</si>
  <si>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</si>
  <si>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</si>
  <si>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</si>
  <si>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</si>
  <si>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</si>
  <si>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</si>
  <si>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</si>
  <si>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</si>
  <si>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</si>
  <si>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</si>
  <si>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</si>
  <si>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</si>
  <si>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</si>
  <si>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</si>
  <si>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</si>
  <si>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</si>
  <si>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</si>
  <si>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</si>
  <si>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</si>
  <si>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</si>
  <si>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</si>
  <si>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</si>
  <si>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</si>
  <si>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</si>
  <si>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</si>
  <si>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</si>
  <si>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</si>
  <si>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</si>
  <si>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</si>
  <si>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</si>
  <si>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</si>
  <si>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</si>
  <si>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</si>
  <si>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</si>
  <si>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</si>
  <si>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</si>
  <si>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</si>
  <si>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</si>
  <si>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</si>
  <si>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</si>
  <si>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</si>
  <si>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</si>
  <si>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</si>
  <si>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</si>
  <si>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</si>
  <si>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</si>
  <si>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</si>
  <si>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</si>
  <si>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</si>
  <si>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</si>
  <si>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</si>
  <si>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</si>
  <si>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</si>
  <si>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</si>
  <si>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</si>
  <si>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</si>
  <si>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</si>
  <si>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</si>
  <si>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</si>
  <si>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</si>
  <si>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</si>
  <si>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</si>
  <si>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</si>
  <si>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</si>
  <si>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</si>
  <si>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</si>
  <si>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</si>
  <si>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</si>
  <si>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</si>
  <si>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</si>
  <si>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</si>
  <si>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</si>
  <si>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</si>
  <si>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</si>
  <si>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</si>
  <si>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</si>
  <si>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</si>
  <si>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</si>
  <si>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</si>
  <si>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</si>
  <si>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</si>
  <si>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</si>
  <si>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</si>
  <si>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</si>
  <si>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</si>
  <si>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</si>
  <si>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</si>
  <si>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</si>
  <si>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</si>
  <si>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</si>
  <si>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</si>
  <si>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</si>
  <si>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</si>
  <si>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</si>
  <si>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</si>
  <si>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</si>
  <si>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</si>
  <si>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</si>
  <si>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</si>
  <si>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</si>
  <si>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</si>
  <si>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</si>
  <si>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</si>
  <si>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</si>
  <si>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</si>
  <si>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</si>
  <si>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</si>
  <si>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</si>
  <si>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</si>
  <si>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</si>
  <si>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</si>
  <si>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</si>
  <si>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</si>
  <si>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</si>
  <si>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</si>
  <si>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</si>
  <si>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</si>
  <si>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</si>
  <si>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</si>
  <si>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</si>
  <si>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</si>
  <si>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</si>
  <si>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</si>
  <si>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</si>
  <si>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</si>
  <si>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</si>
  <si>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</si>
  <si>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</si>
  <si>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</si>
  <si>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</si>
  <si>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</si>
  <si>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</si>
  <si>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</si>
  <si>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</si>
  <si>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</si>
  <si>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</si>
  <si>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</si>
  <si>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</si>
  <si>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</si>
  <si>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</si>
  <si>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</si>
  <si>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</si>
  <si>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</si>
  <si>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</si>
  <si>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</si>
  <si>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</si>
  <si>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</si>
  <si>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</si>
  <si>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</si>
  <si>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</si>
  <si>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</si>
  <si>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</si>
  <si>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</si>
  <si>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</si>
  <si>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</si>
  <si>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</si>
  <si>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</si>
  <si>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</si>
  <si>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</si>
  <si>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</si>
  <si>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</si>
  <si>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</si>
  <si>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</si>
  <si>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</si>
  <si>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</si>
  <si>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</si>
  <si>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</si>
  <si>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</si>
  <si>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</si>
  <si>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</si>
  <si>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</si>
  <si>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</si>
  <si>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</si>
  <si>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</si>
  <si>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</si>
  <si>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</si>
  <si>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</si>
  <si>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</si>
  <si>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</si>
  <si>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</si>
  <si>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</si>
  <si>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</si>
  <si>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</si>
  <si>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</si>
  <si>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</si>
  <si>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</si>
  <si>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</si>
  <si>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</si>
  <si>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</si>
  <si>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</si>
  <si>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</si>
  <si>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</si>
  <si>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</si>
  <si>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</si>
  <si>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</si>
  <si>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</si>
  <si>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</si>
  <si>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</si>
  <si>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</si>
  <si>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</si>
  <si>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</si>
  <si>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</si>
  <si>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</si>
  <si>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</si>
  <si>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</si>
  <si>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</si>
  <si>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</si>
  <si>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</si>
  <si>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</si>
  <si>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</si>
  <si>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</si>
  <si>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</si>
  <si>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</si>
  <si>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</si>
  <si>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</si>
  <si>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</si>
  <si>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</si>
  <si>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</si>
  <si>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</si>
  <si>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</si>
  <si>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</si>
  <si>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</si>
  <si>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</si>
  <si>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</si>
  <si>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</si>
  <si>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</si>
  <si>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</si>
  <si>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</si>
  <si>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</si>
  <si>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</si>
  <si>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</si>
  <si>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</si>
  <si>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</si>
  <si>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</si>
  <si>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</si>
  <si>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</si>
  <si>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</si>
  <si>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</si>
  <si>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</si>
  <si>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</si>
  <si>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</si>
  <si>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</si>
  <si>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</si>
  <si>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</si>
  <si>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</si>
  <si>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</si>
  <si>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</si>
  <si>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</si>
  <si>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</si>
  <si>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</si>
  <si>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</si>
  <si>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</si>
  <si>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</si>
  <si>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</si>
  <si>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</si>
  <si>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</si>
  <si>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</si>
  <si>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</si>
  <si>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</si>
  <si>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</si>
  <si>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</si>
  <si>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</si>
  <si>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</si>
  <si>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</si>
  <si>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</si>
  <si>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</si>
  <si>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</si>
  <si>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</si>
  <si>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</si>
  <si>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</si>
  <si>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</si>
  <si>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</si>
  <si>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</si>
  <si>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</si>
  <si>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</si>
  <si>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</si>
  <si>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</si>
  <si>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</si>
  <si>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</si>
  <si>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</si>
  <si>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</si>
  <si>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</si>
  <si>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</si>
  <si>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</si>
  <si>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</si>
  <si>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</si>
  <si>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</si>
  <si>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</si>
  <si>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</si>
  <si>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</si>
  <si>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</si>
  <si>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</si>
  <si>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</si>
  <si>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</si>
  <si>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</si>
  <si>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</si>
  <si>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</si>
  <si>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</si>
  <si>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</si>
  <si>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</si>
  <si>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</si>
  <si>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</si>
  <si>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</si>
  <si>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</si>
  <si>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</si>
  <si>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</si>
  <si>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</si>
  <si>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</si>
  <si>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</si>
  <si>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</si>
  <si>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</si>
  <si>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</si>
  <si>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</si>
  <si>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</si>
  <si>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</si>
  <si>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</si>
  <si>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</si>
  <si>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</si>
  <si>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</si>
  <si>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</si>
  <si>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</si>
  <si>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</si>
  <si>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</si>
  <si>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</si>
  <si>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</si>
  <si>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</si>
  <si>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</si>
  <si>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</si>
  <si>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</si>
  <si>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</si>
  <si>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</si>
  <si>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</si>
  <si>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</si>
  <si>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</si>
  <si>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</si>
  <si>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</si>
  <si>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</si>
  <si>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</si>
  <si>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</si>
  <si>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</si>
  <si>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</si>
  <si>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</si>
  <si>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</si>
  <si>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</si>
  <si>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</si>
  <si>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</si>
  <si>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</si>
  <si>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</si>
  <si>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</si>
  <si>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</si>
  <si>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</si>
  <si>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</si>
  <si>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</si>
  <si>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</si>
  <si>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</si>
  <si>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</si>
  <si>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</si>
  <si>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</si>
  <si>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</si>
  <si>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</si>
  <si>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</si>
  <si>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</si>
  <si>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</si>
  <si>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</si>
  <si>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</si>
  <si>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</si>
  <si>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</si>
  <si>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</si>
  <si>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</si>
  <si>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</si>
  <si>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</si>
  <si>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</si>
  <si>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</si>
  <si>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</si>
  <si>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</si>
  <si>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</si>
  <si>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</si>
  <si>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</si>
  <si>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</si>
  <si>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</si>
  <si>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</si>
  <si>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</si>
  <si>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</si>
  <si>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</si>
  <si>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</si>
  <si>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</si>
  <si>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</si>
  <si>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</si>
  <si>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</si>
  <si>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</si>
  <si>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</si>
  <si>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</si>
  <si>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</si>
  <si>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</si>
  <si>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</si>
  <si>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</si>
  <si>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</si>
  <si>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</si>
  <si>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</si>
  <si>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</si>
  <si>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</si>
  <si>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</si>
  <si>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</si>
  <si>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</si>
  <si>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</si>
  <si>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</si>
  <si>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</si>
  <si>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</si>
  <si>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</si>
  <si>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</si>
  <si>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</si>
  <si>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</si>
  <si>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</si>
  <si>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</si>
  <si>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</si>
  <si>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</si>
  <si>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</si>
  <si>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</si>
  <si>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</si>
  <si>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</si>
  <si>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</si>
  <si>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</si>
  <si>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</si>
  <si>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</si>
  <si>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</si>
  <si>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</si>
  <si>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</si>
  <si>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</si>
  <si>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</si>
  <si>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</si>
  <si>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</si>
  <si>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</si>
  <si>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</si>
  <si>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</si>
  <si>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</si>
  <si>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</si>
  <si>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</si>
  <si>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</si>
  <si>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</si>
  <si>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</si>
  <si>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</si>
  <si>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</si>
  <si>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</si>
  <si>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</si>
  <si>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</si>
  <si>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</si>
  <si>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</si>
  <si>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</si>
  <si>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</si>
  <si>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</si>
  <si>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</si>
  <si>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</si>
  <si>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</si>
  <si>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</si>
  <si>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</si>
  <si>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</si>
  <si>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</si>
  <si>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</si>
  <si>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</si>
  <si>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</si>
  <si>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</si>
  <si>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</si>
  <si>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</si>
  <si>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</si>
  <si>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</si>
  <si>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</si>
  <si>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</si>
  <si>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</si>
  <si>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</si>
  <si>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</si>
  <si>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</si>
  <si>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</si>
  <si>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</si>
  <si>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</si>
  <si>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</si>
  <si>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</si>
  <si>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</si>
  <si>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</si>
  <si>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</si>
  <si>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</si>
  <si>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</si>
  <si>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</si>
  <si>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</si>
  <si>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</si>
  <si>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</si>
  <si>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</si>
  <si>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</si>
  <si>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</si>
  <si>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</si>
  <si>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</si>
  <si>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</si>
  <si>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</si>
  <si>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</si>
  <si>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</si>
  <si>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</si>
  <si>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</si>
  <si>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</si>
  <si>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</si>
  <si>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</si>
  <si>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</si>
  <si>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</si>
  <si>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</si>
  <si>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</si>
  <si>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</si>
  <si>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</si>
  <si>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</si>
  <si>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</si>
  <si>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</si>
  <si>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</si>
  <si>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</si>
  <si>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</si>
  <si>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</si>
  <si>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</si>
  <si>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</si>
  <si>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</si>
  <si>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</si>
  <si>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</si>
  <si>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</si>
  <si>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</si>
  <si>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</si>
  <si>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</si>
  <si>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</si>
  <si>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</si>
  <si>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</si>
  <si>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</si>
  <si>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</si>
  <si>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</si>
  <si>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</si>
  <si>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</si>
  <si>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</si>
  <si>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</si>
  <si>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</si>
  <si>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</si>
  <si>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</si>
  <si>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</si>
  <si>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</si>
  <si>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</si>
  <si>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</si>
  <si>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</si>
  <si>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</si>
  <si>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</si>
  <si>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</si>
  <si>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</si>
  <si>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</si>
  <si>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</si>
  <si>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</si>
  <si>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</si>
  <si>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</si>
  <si>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</si>
  <si>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</si>
  <si>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</si>
  <si>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</si>
  <si>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</si>
  <si>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</si>
  <si>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</si>
  <si>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</si>
  <si>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</si>
  <si>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</si>
  <si>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</si>
  <si>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</si>
  <si>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</si>
  <si>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</si>
  <si>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</si>
  <si>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</si>
  <si>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</si>
  <si>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</si>
  <si>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</si>
  <si>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</si>
  <si>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</si>
  <si>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</si>
  <si>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</si>
  <si>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</si>
  <si>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</si>
  <si>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</si>
  <si>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</si>
  <si>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</si>
  <si>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</si>
  <si>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</si>
  <si>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</si>
  <si>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</si>
  <si>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</si>
  <si>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</si>
  <si>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</si>
  <si>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</si>
  <si>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</si>
  <si>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</si>
  <si>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</si>
  <si>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</si>
  <si>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</si>
  <si>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</si>
  <si>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</si>
  <si>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</si>
  <si>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</si>
  <si>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</si>
  <si>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</si>
  <si>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</si>
  <si>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</si>
  <si>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</si>
  <si>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</si>
  <si>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</si>
  <si>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</si>
  <si>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</si>
  <si>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</si>
  <si>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</si>
  <si>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</si>
  <si>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</si>
  <si>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</si>
  <si>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</si>
  <si>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</si>
  <si>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</si>
  <si>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</si>
  <si>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</si>
  <si>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</si>
  <si>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</si>
  <si>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</si>
  <si>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</si>
  <si>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</si>
  <si>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</si>
  <si>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</si>
  <si>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</si>
  <si>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</si>
  <si>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</si>
  <si>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</si>
  <si>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</si>
  <si>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</si>
  <si>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</si>
  <si>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</si>
  <si>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</si>
  <si>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</si>
  <si>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</si>
  <si>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</si>
  <si>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</si>
  <si>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</si>
  <si>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</si>
  <si>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</si>
  <si>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</si>
  <si>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</si>
  <si>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</si>
  <si>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</si>
  <si>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</si>
  <si>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</si>
  <si>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</si>
  <si>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</si>
  <si>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</si>
  <si>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</si>
  <si>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</si>
  <si>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</si>
  <si>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</si>
  <si>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</si>
  <si>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</si>
  <si>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</si>
  <si>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</si>
  <si>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</si>
  <si>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</si>
  <si>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</si>
  <si>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</si>
  <si>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</si>
  <si>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</si>
  <si>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</si>
  <si>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</si>
  <si>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</si>
  <si>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</si>
  <si>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</si>
  <si>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</si>
  <si>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</si>
  <si>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</si>
  <si>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</si>
  <si>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</si>
  <si>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</si>
  <si>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</si>
  <si>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</si>
  <si>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</si>
  <si>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</si>
  <si>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</si>
  <si>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</si>
  <si>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</si>
  <si>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</si>
  <si>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</si>
  <si>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</si>
  <si>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</si>
  <si>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</si>
  <si>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</si>
  <si>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</si>
  <si>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</si>
  <si>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</si>
  <si>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</si>
  <si>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</si>
  <si>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</si>
  <si>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</si>
  <si>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</si>
  <si>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</si>
  <si>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</si>
  <si>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</si>
  <si>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</si>
  <si>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</si>
  <si>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</si>
  <si>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</si>
  <si>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</si>
  <si>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</si>
  <si>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</si>
  <si>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</si>
  <si>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</si>
  <si>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</si>
  <si>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</si>
  <si>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</si>
  <si>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</si>
  <si>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</si>
  <si>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</si>
  <si>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</si>
  <si>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</si>
  <si>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</si>
  <si>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</si>
  <si>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</si>
  <si>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</si>
  <si>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</si>
  <si>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</si>
  <si>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</si>
  <si>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</si>
  <si>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</si>
  <si>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</si>
  <si>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</si>
  <si>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</si>
  <si>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</si>
  <si>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</si>
  <si>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</si>
  <si>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</si>
  <si>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</si>
  <si>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</si>
  <si>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</si>
  <si>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</si>
  <si>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</si>
  <si>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</si>
  <si>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</si>
  <si>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</si>
  <si>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</si>
  <si>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</si>
  <si>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</si>
  <si>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</si>
  <si>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</si>
  <si>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</si>
  <si>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</si>
  <si>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</si>
  <si>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</si>
  <si>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</si>
  <si>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</si>
  <si>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</si>
  <si>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</si>
  <si>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</si>
  <si>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</si>
  <si>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</si>
  <si>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</si>
  <si>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</si>
  <si>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</si>
  <si>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</si>
  <si>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</si>
  <si>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</si>
  <si>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</si>
  <si>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</si>
  <si>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</si>
  <si>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</si>
  <si>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</si>
  <si>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</si>
  <si>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</si>
  <si>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</si>
  <si>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</si>
  <si>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</si>
  <si>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</si>
  <si>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</si>
  <si>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</si>
  <si>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北京市</t>
  </si>
  <si>
    <t>抵押</t>
  </si>
  <si>
    <t>房地产抵押价值</t>
  </si>
  <si>
    <t>二期</t>
    <phoneticPr fontId="3" type="noConversion"/>
  </si>
  <si>
    <t>5#</t>
    <phoneticPr fontId="3" type="noConversion"/>
  </si>
  <si>
    <t>一期</t>
    <phoneticPr fontId="3" type="noConversion"/>
  </si>
  <si>
    <t>6#</t>
    <phoneticPr fontId="3" type="noConversion"/>
  </si>
  <si>
    <t>地上</t>
  </si>
  <si>
    <t>工业</t>
    <phoneticPr fontId="7" type="noConversion"/>
  </si>
  <si>
    <t>是</t>
  </si>
  <si>
    <t>成新度</t>
  </si>
  <si>
    <t>收益法</t>
  </si>
  <si>
    <t>不临65条商业街</t>
  </si>
  <si>
    <t>无</t>
  </si>
  <si>
    <t>1000米以外</t>
  </si>
  <si>
    <t>通路</t>
  </si>
  <si>
    <t>通电</t>
  </si>
  <si>
    <t>通讯</t>
  </si>
  <si>
    <t>通上水</t>
  </si>
  <si>
    <t>通下水</t>
  </si>
  <si>
    <t>燃气</t>
  </si>
  <si>
    <t>平整</t>
  </si>
  <si>
    <t>与级别开发程度不一致</t>
  </si>
  <si>
    <t>Ⅸ-平1</t>
  </si>
  <si>
    <t>较好</t>
  </si>
  <si>
    <t>一般</t>
  </si>
  <si>
    <t>好</t>
  </si>
  <si>
    <t>未包含在土地购买价格中</t>
  </si>
  <si>
    <t>全部缴纳</t>
  </si>
  <si>
    <t>已包含在土地取得成本中</t>
  </si>
  <si>
    <t>企业</t>
  </si>
  <si>
    <t>自定义容积率</t>
  </si>
  <si>
    <t>现房</t>
  </si>
  <si>
    <t>项目全部</t>
  </si>
  <si>
    <t>成本法</t>
  </si>
  <si>
    <t>钢</t>
  </si>
  <si>
    <t>生产用房</t>
  </si>
  <si>
    <t>否</t>
  </si>
  <si>
    <t>收益还原</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</si>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</sst>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9"/>
      <color rgb="FF000000"/>
      <name val="宋体"/>
      <family val="3"/>
      <charset val="134"/>
    </font>
    <font>
      <b/>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77" fillId="0" borderId="1" xfId="0" applyFont="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99" fillId="18"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1" xfId="0" applyFont="1" applyFill="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baseColWidth="10" defaultColWidth="9" defaultRowHeight="15"/>
  <cols>
    <col min="1" max="1" width="35.6640625" style="1194" customWidth="1"/>
    <col min="2" max="2" width="81" style="1211" customWidth="1"/>
    <col min="3" max="16384" width="9" style="1209"/>
  </cols>
  <sheetData>
    <row r="1" spans="1:2" s="1197" customFormat="1" ht="17" thickBot="1">
      <c r="A1" s="1196" t="s">
        <v>521</v>
      </c>
      <c r="B1" s="1195" t="s">
        <v>600</v>
      </c>
    </row>
    <row r="2" spans="1:2" s="1200" customFormat="1" ht="17" thickTop="1">
      <c r="A2" s="1198" t="s">
        <v>522</v>
      </c>
      <c r="B2" s="1199" t="str">
        <f>'预评函-封皮'!B37:I37</f>
        <v>北京市房地产抵押价值预评估</v>
      </c>
    </row>
    <row r="3" spans="1:2" s="1203" customFormat="1" ht="16">
      <c r="A3" s="1201" t="s">
        <v>523</v>
      </c>
      <c r="B3" s="1202">
        <f>'预评函-封皮'!B40</f>
        <v>0</v>
      </c>
    </row>
    <row r="4" spans="1:2" s="1203" customFormat="1" ht="16">
      <c r="A4" s="1201" t="s">
        <v>524</v>
      </c>
      <c r="B4" s="1202" t="str">
        <f>'预评函-封皮'!B46</f>
        <v>（注册号：0)、（注册号：0)</v>
      </c>
    </row>
    <row r="5" spans="1:2" s="1197" customFormat="1" ht="17" thickBot="1">
      <c r="A5" s="1204" t="s">
        <v>525</v>
      </c>
      <c r="B5" s="1205" t="str">
        <f>'预评函-封皮'!B49</f>
        <v>康正预评字号</v>
      </c>
    </row>
    <row r="6" spans="1:2" s="1200" customFormat="1" ht="17" thickTop="1">
      <c r="A6" s="1198" t="s">
        <v>526</v>
      </c>
      <c r="B6" s="1199" t="str">
        <f>'预评函-1'!A4</f>
        <v>受贵公司委托，我公司对北京市房地产抵押价值进行了预评估。</v>
      </c>
    </row>
    <row r="7" spans="1:2" s="1203" customFormat="1" ht="16">
      <c r="A7" s="1201" t="s">
        <v>566</v>
      </c>
      <c r="B7" s="1202" t="str">
        <f>'预评函-1'!A7</f>
        <v>估价对象为北京市房地产，为所有。根据《国有土地使用证》[]，估价对象（分摊）出让国有建设用地使用权面积为74231.63平方米，建筑面积为25739.82平方米。</v>
      </c>
    </row>
    <row r="8" spans="1:2" s="1203" customFormat="1" ht="16">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ht="16">
      <c r="A9" s="1201" t="s">
        <v>568</v>
      </c>
      <c r="B9" s="1202" t="str">
        <f>'预评函-1'!A10</f>
        <v>估价对象为北京市房地产,为开发建设的，该项目尚在开发建设中。根据《国有土地使用证》[]，估价对象（分摊）出让国有建设用地使用权面积为74231.63平方米，规划建筑面积为25739.82平方米。</v>
      </c>
    </row>
    <row r="10" spans="1:2" s="1203" customFormat="1" ht="16">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ht="16">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ht="16">
      <c r="A12" s="1201" t="s">
        <v>528</v>
      </c>
      <c r="B12" s="1202" t="str">
        <f>'预评函-1'!A15</f>
        <v>2022年12月21日（评估专业人员实地查勘之日）</v>
      </c>
    </row>
    <row r="13" spans="1:2" s="1203" customFormat="1" ht="16">
      <c r="A13" s="1201" t="s">
        <v>529</v>
      </c>
      <c r="B13" s="120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s="1203" customFormat="1" ht="16">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ht="16">
      <c r="A15" s="1201" t="s">
        <v>531</v>
      </c>
      <c r="B15" s="1202" t="str">
        <f>'预评函-1'!A20</f>
        <v>本次估价的“房地产抵押价值”是指估价对象在价值时点的“房地产价值”扣减估价师于价值时点所知悉的法定优先受偿款后的余额。</v>
      </c>
    </row>
    <row r="16" spans="1:2" s="1203" customFormat="1" ht="16">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ht="16">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7" thickBot="1">
      <c r="A18" s="1204" t="s">
        <v>534</v>
      </c>
      <c r="B18" s="1205" t="str">
        <f>'预评函-1'!A24</f>
        <v>本次评估采用的主估价方法为成本法和收益法。</v>
      </c>
    </row>
    <row r="19" spans="1:2" s="1200" customFormat="1" ht="17"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ht="16">
      <c r="A20" s="1201" t="s">
        <v>536</v>
      </c>
      <c r="B20" s="1202" t="e">
        <f ca="1">'预评函-2'!D5</f>
        <v>#REF!</v>
      </c>
    </row>
    <row r="21" spans="1:2" s="1203" customFormat="1" ht="16">
      <c r="A21" s="1201" t="s">
        <v>537</v>
      </c>
      <c r="B21" s="1202" t="e">
        <f ca="1">'预评函-2'!D7</f>
        <v>#REF!</v>
      </c>
    </row>
    <row r="22" spans="1:2" s="1203" customFormat="1" ht="16">
      <c r="A22" s="1201" t="s">
        <v>538</v>
      </c>
      <c r="B22" s="1202" t="e">
        <f ca="1">'预评函-2'!D6</f>
        <v>#REF!</v>
      </c>
    </row>
    <row r="23" spans="1:2" s="1203" customFormat="1" ht="16">
      <c r="A23" s="1201" t="s">
        <v>589</v>
      </c>
      <c r="B23" s="1202" t="str">
        <f>'预评函-2'!B8</f>
        <v>2.估价师知悉的法定优先受偿款</v>
      </c>
    </row>
    <row r="24" spans="1:2" s="1203" customFormat="1" ht="16">
      <c r="A24" s="1201" t="s">
        <v>595</v>
      </c>
      <c r="B24" s="1202">
        <f>'预评函-2'!D8</f>
        <v>0</v>
      </c>
    </row>
    <row r="25" spans="1:2" s="1203" customFormat="1" ht="16">
      <c r="A25" s="1201" t="s">
        <v>539</v>
      </c>
      <c r="B25" s="1202" t="str">
        <f>'预评函-2'!D9</f>
        <v>零元整</v>
      </c>
    </row>
    <row r="26" spans="1:2" s="1203" customFormat="1" ht="16">
      <c r="A26" s="1201" t="s">
        <v>540</v>
      </c>
      <c r="B26" s="1202">
        <f>'预评函-2'!D10</f>
        <v>0</v>
      </c>
    </row>
    <row r="27" spans="1:2" s="1203" customFormat="1" ht="16">
      <c r="A27" s="1201" t="s">
        <v>541</v>
      </c>
      <c r="B27" s="1202">
        <f>'预评函-2'!D11</f>
        <v>0</v>
      </c>
    </row>
    <row r="28" spans="1:2" s="1203" customFormat="1" ht="16">
      <c r="A28" s="1201" t="s">
        <v>542</v>
      </c>
      <c r="B28" s="1202">
        <f>'预评函-2'!D12</f>
        <v>0</v>
      </c>
    </row>
    <row r="29" spans="1:2" s="1203" customFormat="1" ht="16">
      <c r="A29" s="1201" t="s">
        <v>593</v>
      </c>
      <c r="B29" s="1202" t="str">
        <f>'预评函-2'!B13</f>
        <v>3.房地产抵押价值</v>
      </c>
    </row>
    <row r="30" spans="1:2" s="1203" customFormat="1" ht="16">
      <c r="A30" s="1201" t="s">
        <v>594</v>
      </c>
      <c r="B30" s="1202" t="e">
        <f ca="1">'预评函-2'!D13</f>
        <v>#REF!</v>
      </c>
    </row>
    <row r="31" spans="1:2" s="1203" customFormat="1" ht="16">
      <c r="A31" s="1201" t="s">
        <v>576</v>
      </c>
      <c r="B31" s="1202" t="e">
        <f ca="1">'预评函-2'!D15</f>
        <v>#REF!</v>
      </c>
    </row>
    <row r="32" spans="1:2" s="1203" customFormat="1" ht="16">
      <c r="A32" s="1201" t="s">
        <v>543</v>
      </c>
      <c r="B32" s="1202" t="e">
        <f ca="1">'预评函-2'!D14</f>
        <v>#REF!</v>
      </c>
    </row>
    <row r="33" spans="1:2" s="1203" customFormat="1" ht="16">
      <c r="A33" s="1201" t="s">
        <v>578</v>
      </c>
      <c r="B33" s="1202" t="str">
        <f>'预评函-2'!B16</f>
        <v>——</v>
      </c>
    </row>
    <row r="34" spans="1:2" s="1203" customFormat="1" ht="16">
      <c r="A34" s="1201" t="s">
        <v>596</v>
      </c>
      <c r="B34" s="1202" t="str">
        <f>'预评函-2'!D16</f>
        <v>——</v>
      </c>
    </row>
    <row r="35" spans="1:2" s="1203" customFormat="1" ht="16">
      <c r="A35" s="1201" t="s">
        <v>577</v>
      </c>
      <c r="B35" s="1202" t="str">
        <f>'预评函-2'!D18</f>
        <v>——</v>
      </c>
    </row>
    <row r="36" spans="1:2" s="1203" customFormat="1" ht="16">
      <c r="A36" s="1201" t="s">
        <v>544</v>
      </c>
      <c r="B36" s="1202" t="e">
        <f>'预评函-2'!D17</f>
        <v>#VALUE!</v>
      </c>
    </row>
    <row r="37" spans="1:2" s="1203" customFormat="1" ht="16">
      <c r="A37" s="1201" t="s">
        <v>579</v>
      </c>
      <c r="B37" s="1202" t="str">
        <f>'预评函-2'!B19</f>
        <v>——</v>
      </c>
    </row>
    <row r="38" spans="1:2" s="1203" customFormat="1" ht="16">
      <c r="A38" s="1201" t="s">
        <v>597</v>
      </c>
      <c r="B38" s="1202" t="str">
        <f>'预评函-2'!D19</f>
        <v>——</v>
      </c>
    </row>
    <row r="39" spans="1:2" s="1203" customFormat="1" ht="16">
      <c r="A39" s="1201" t="s">
        <v>545</v>
      </c>
      <c r="B39" s="1202" t="str">
        <f>'预评函-2'!D21</f>
        <v>——</v>
      </c>
    </row>
    <row r="40" spans="1:2" s="1203" customFormat="1" ht="16">
      <c r="A40" s="1201" t="s">
        <v>546</v>
      </c>
      <c r="B40" s="1202" t="e">
        <f>'预评函-2'!D20</f>
        <v>#VALUE!</v>
      </c>
    </row>
    <row r="41" spans="1:2" s="1203" customFormat="1" ht="16">
      <c r="A41" s="1201" t="s">
        <v>592</v>
      </c>
      <c r="B41" s="1202" t="str">
        <f>'预评函-3'!A4</f>
        <v>北京市房地产</v>
      </c>
    </row>
    <row r="42" spans="1:2" s="1203" customFormat="1" ht="16">
      <c r="A42" s="1201" t="s">
        <v>590</v>
      </c>
      <c r="B42" s="1202" t="str">
        <f>'预评函-3'!B2</f>
        <v>建筑面积</v>
      </c>
    </row>
    <row r="43" spans="1:2" s="1203" customFormat="1" ht="16">
      <c r="A43" s="1201" t="s">
        <v>591</v>
      </c>
      <c r="B43" s="1202">
        <f>'预评函-3'!B4</f>
        <v>25739.82</v>
      </c>
    </row>
    <row r="44" spans="1:2" s="1203" customFormat="1" ht="16">
      <c r="A44" s="1201" t="s">
        <v>575</v>
      </c>
      <c r="B44" s="1202" t="str">
        <f>'预评函-3'!C2</f>
        <v>(分摊)土地面积</v>
      </c>
    </row>
    <row r="45" spans="1:2" s="1203" customFormat="1" ht="16">
      <c r="A45" s="1201" t="s">
        <v>547</v>
      </c>
      <c r="B45" s="1202">
        <f>'预评函-3'!C4</f>
        <v>74231.63</v>
      </c>
    </row>
    <row r="46" spans="1:2" s="1203" customFormat="1" ht="16">
      <c r="A46" s="1201" t="s">
        <v>573</v>
      </c>
      <c r="B46" s="1202" t="str">
        <f>'预评函-3'!D2</f>
        <v>出让国有建设用地使用权价值</v>
      </c>
    </row>
    <row r="47" spans="1:2" s="1203" customFormat="1" ht="16">
      <c r="A47" s="1201" t="s">
        <v>548</v>
      </c>
      <c r="B47" s="1202" t="e">
        <f ca="1">'预评函-3'!D4</f>
        <v>#REF!</v>
      </c>
    </row>
    <row r="48" spans="1:2" s="1203" customFormat="1" ht="16">
      <c r="A48" s="1201" t="s">
        <v>549</v>
      </c>
      <c r="B48" s="1202" t="e">
        <f ca="1">'预评函-3'!E4</f>
        <v>#REF!</v>
      </c>
    </row>
    <row r="49" spans="1:2" s="1203" customFormat="1" ht="16">
      <c r="A49" s="1201" t="s">
        <v>550</v>
      </c>
      <c r="B49" s="1202" t="e">
        <f ca="1">'预评函-3'!D5</f>
        <v>#REF!</v>
      </c>
    </row>
    <row r="50" spans="1:2" s="1203" customFormat="1" ht="16">
      <c r="A50" s="1201" t="s">
        <v>574</v>
      </c>
      <c r="B50" s="1202" t="str">
        <f>'预评函-3'!F2</f>
        <v>在建建筑物价值</v>
      </c>
    </row>
    <row r="51" spans="1:2" s="1203" customFormat="1" ht="16">
      <c r="A51" s="1201" t="s">
        <v>551</v>
      </c>
      <c r="B51" s="1202" t="e">
        <f ca="1">'预评函-3'!F4</f>
        <v>#REF!</v>
      </c>
    </row>
    <row r="52" spans="1:2" s="1203" customFormat="1" ht="16">
      <c r="A52" s="1201" t="s">
        <v>552</v>
      </c>
      <c r="B52" s="1202" t="e">
        <f ca="1">'预评函-3'!G4</f>
        <v>#REF!</v>
      </c>
    </row>
    <row r="53" spans="1:2" s="1203" customFormat="1" ht="16">
      <c r="A53" s="1201" t="s">
        <v>580</v>
      </c>
      <c r="B53" s="1202" t="e">
        <f ca="1">'预评函-3'!F5</f>
        <v>#REF!</v>
      </c>
    </row>
    <row r="54" spans="1:2" s="1203" customFormat="1" ht="16">
      <c r="A54" s="1201" t="s">
        <v>598</v>
      </c>
      <c r="B54" s="1202" t="str">
        <f>'预评函-3'!A8</f>
        <v>房地产抵押价值</v>
      </c>
    </row>
    <row r="55" spans="1:2" s="1203" customFormat="1" ht="16">
      <c r="A55" s="1201" t="s">
        <v>581</v>
      </c>
      <c r="B55" s="1202" t="str">
        <f>'预评函-3'!A10</f>
        <v/>
      </c>
    </row>
    <row r="56" spans="1:2" s="1203" customFormat="1" ht="16">
      <c r="A56" s="1201" t="s">
        <v>582</v>
      </c>
      <c r="B56" s="1202" t="str">
        <f>'预评函-3'!A12</f>
        <v/>
      </c>
    </row>
    <row r="57" spans="1:2" s="1197" customFormat="1" ht="17" thickBot="1">
      <c r="A57" s="1204" t="s">
        <v>599</v>
      </c>
      <c r="B57" s="1205" t="str">
        <f>'预评函-3'!A6</f>
        <v>估价师知悉的法定优先受偿款</v>
      </c>
    </row>
    <row r="58" spans="1:2" s="1200" customFormat="1" ht="17" thickTop="1">
      <c r="A58" s="1198" t="s">
        <v>553</v>
      </c>
      <c r="B58" s="1199" t="str">
        <f>'预评函-4'!A12</f>
        <v>2.本《评估意见函》仅供金融机构进行内部审核使用，不做其他目的之用。</v>
      </c>
    </row>
    <row r="59" spans="1:2" s="1203" customFormat="1" ht="16">
      <c r="A59" s="1201" t="s">
        <v>554</v>
      </c>
      <c r="B59" s="1202" t="str">
        <f>'预评函-4'!A13</f>
        <v>3.抵押双方在办理抵押登记手续时，应使用本公司出具的正式《房地产评估报告》，特提醒报告使用者注意。</v>
      </c>
    </row>
    <row r="60" spans="1:2" s="1203" customFormat="1" ht="16">
      <c r="A60" s="1201" t="s">
        <v>555</v>
      </c>
      <c r="B60" s="1202" t="str">
        <f>'预评函-4'!A14</f>
        <v>4.本次评估估价师所知悉的法定优先受偿款情况说明如下：</v>
      </c>
    </row>
    <row r="61" spans="1:2" s="1203" customFormat="1" ht="16">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ht="16">
      <c r="A62" s="1201" t="s">
        <v>557</v>
      </c>
      <c r="B62" s="1202" t="str">
        <f>'预评函-4'!A16</f>
        <v>（2）根据《工程款支付情况说明》，截至价值时点，估价对象不存在应付未付工程款项。（只要没有施工方盖章的，均“设定”进行表述）</v>
      </c>
    </row>
    <row r="63" spans="1:2" s="1203" customFormat="1" ht="16">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ht="16">
      <c r="A64" s="1201" t="s">
        <v>570</v>
      </c>
      <c r="B64" s="1202" t="str">
        <f>'预评函-4'!A18</f>
        <v>故，本次评估不存在估价师知悉的法定优先受偿款</v>
      </c>
    </row>
    <row r="65" spans="1:2" s="1203" customFormat="1" ht="16">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ht="16">
      <c r="A66" s="1201" t="s">
        <v>560</v>
      </c>
      <c r="B66" s="1202" t="str">
        <f>'预评函-4'!A20</f>
        <v>——</v>
      </c>
    </row>
    <row r="67" spans="1:2" s="1203" customFormat="1" ht="16">
      <c r="A67" s="1201" t="s">
        <v>571</v>
      </c>
      <c r="B67" s="1202" t="str">
        <f>'预评函-4'!A21</f>
        <v>——</v>
      </c>
    </row>
    <row r="68" spans="1:2" s="1203" customFormat="1" ht="16">
      <c r="A68" s="1201" t="s">
        <v>572</v>
      </c>
      <c r="B68" s="1202" t="str">
        <f>'预评函-4'!A22</f>
        <v>8.其他需特殊说明事项：无（注意调整序号）</v>
      </c>
    </row>
    <row r="69" spans="1:2" s="1197" customFormat="1" ht="17" thickBot="1">
      <c r="A69" s="1204" t="s">
        <v>561</v>
      </c>
      <c r="B69" s="1206">
        <f>'预评函-4'!C31</f>
        <v>42551</v>
      </c>
    </row>
    <row r="70" spans="1:2" ht="17" thickTop="1">
      <c r="A70" s="1207" t="s">
        <v>562</v>
      </c>
      <c r="B70" s="1208">
        <f>'预评函-4'!A4</f>
        <v>0</v>
      </c>
    </row>
    <row r="71" spans="1:2" ht="16">
      <c r="A71" s="1201" t="s">
        <v>563</v>
      </c>
      <c r="B71" s="1202">
        <f>'预评函-4'!B4</f>
        <v>0</v>
      </c>
    </row>
    <row r="72" spans="1:2" ht="16">
      <c r="A72" s="1201" t="s">
        <v>564</v>
      </c>
      <c r="B72" s="1210">
        <f>'预评函-4'!A5</f>
        <v>0</v>
      </c>
    </row>
    <row r="73" spans="1:2" s="1197" customFormat="1" ht="17" thickBot="1">
      <c r="A73" s="1204" t="s">
        <v>565</v>
      </c>
      <c r="B73" s="1205">
        <f>'预评函-4'!B5</f>
        <v>0</v>
      </c>
    </row>
    <row r="74" spans="1:2" ht="17"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baseColWidth="10" defaultColWidth="9" defaultRowHeight="14"/>
  <cols>
    <col min="1" max="1" width="13.5" style="1556" customWidth="1"/>
    <col min="2" max="2" width="23.1640625" style="1507" customWidth="1"/>
    <col min="3" max="3" width="13" style="1551" customWidth="1"/>
    <col min="4" max="4" width="5.6640625" style="1548" customWidth="1"/>
    <col min="5" max="5" width="7.1640625" style="1548" customWidth="1"/>
    <col min="6" max="6" width="10.6640625" style="1548" customWidth="1"/>
    <col min="7" max="7" width="7.5" style="1548" customWidth="1"/>
    <col min="8" max="8" width="11.83203125" style="1551" customWidth="1"/>
    <col min="9" max="9" width="11.6640625" style="1551" customWidth="1"/>
    <col min="10" max="10" width="9" style="1551" customWidth="1"/>
    <col min="11" max="19" width="9" style="1548" customWidth="1"/>
    <col min="20" max="23" width="9" style="1551" customWidth="1"/>
    <col min="24" max="24" width="21.1640625" style="1507" customWidth="1"/>
    <col min="25" max="16384" width="9" style="1507"/>
  </cols>
  <sheetData>
    <row r="1" spans="1:23" s="1545" customFormat="1" ht="4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2571</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2572</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baseColWidth="10" defaultColWidth="15.1640625" defaultRowHeight="14"/>
  <cols>
    <col min="1" max="7" width="15.1640625" style="3016"/>
    <col min="8" max="8" width="5.5" style="3016" customWidth="1"/>
    <col min="9" max="13" width="9.5" style="3058" customWidth="1"/>
    <col min="14" max="18" width="9.5" style="3016" customWidth="1"/>
    <col min="19" max="16384" width="15.1640625" style="3016"/>
  </cols>
  <sheetData>
    <row r="1" spans="1:18">
      <c r="A1" s="3013" t="s">
        <v>2494</v>
      </c>
      <c r="B1" s="3014"/>
      <c r="C1" s="3014"/>
      <c r="D1" s="3014"/>
      <c r="E1" s="3014"/>
      <c r="F1" s="3015"/>
      <c r="I1" s="3440" t="s">
        <v>2587</v>
      </c>
      <c r="J1" s="3227"/>
      <c r="K1" s="3227"/>
      <c r="L1" s="3227"/>
      <c r="M1" s="3227"/>
      <c r="N1" s="3441"/>
      <c r="O1" s="3441"/>
      <c r="P1" s="3441"/>
      <c r="Q1" s="3441"/>
      <c r="R1" s="3441"/>
    </row>
    <row r="2" spans="1:18">
      <c r="A2" s="3017"/>
      <c r="B2" s="3018"/>
      <c r="C2" s="3018"/>
      <c r="D2" s="3018"/>
      <c r="E2" s="3018"/>
      <c r="F2" s="3019"/>
      <c r="I2" s="3497" t="s">
        <v>2574</v>
      </c>
      <c r="J2" s="3497"/>
      <c r="K2" s="3497"/>
      <c r="L2" s="3497"/>
      <c r="M2" s="3497"/>
      <c r="N2" s="3497"/>
      <c r="O2" s="3497"/>
      <c r="P2" s="3497"/>
      <c r="Q2" s="3497"/>
      <c r="R2" s="3497"/>
    </row>
    <row r="3" spans="1:18">
      <c r="A3" s="3020" t="s">
        <v>2495</v>
      </c>
      <c r="B3" s="3021">
        <f>项目基本情况!D3</f>
        <v>44916</v>
      </c>
      <c r="C3" s="3023"/>
      <c r="D3" s="3023"/>
      <c r="E3" s="3023"/>
      <c r="F3" s="3019"/>
      <c r="I3" s="3442"/>
      <c r="J3" s="3442" t="s">
        <v>2578</v>
      </c>
      <c r="K3" s="3442" t="s">
        <v>2579</v>
      </c>
      <c r="L3" s="3442" t="s">
        <v>2580</v>
      </c>
      <c r="M3" s="3442" t="s">
        <v>2581</v>
      </c>
      <c r="N3" s="3443" t="s">
        <v>2582</v>
      </c>
      <c r="O3" s="3443" t="s">
        <v>2583</v>
      </c>
      <c r="P3" s="3443" t="s">
        <v>2584</v>
      </c>
      <c r="Q3" s="3443" t="s">
        <v>2585</v>
      </c>
      <c r="R3" s="3443" t="s">
        <v>2586</v>
      </c>
    </row>
    <row r="4" spans="1:18">
      <c r="A4" s="3020" t="s">
        <v>2496</v>
      </c>
      <c r="B4" s="3023" t="s">
        <v>2497</v>
      </c>
      <c r="C4" s="3023" t="s">
        <v>2498</v>
      </c>
      <c r="D4" s="3023" t="s">
        <v>2499</v>
      </c>
      <c r="E4" s="3023" t="s">
        <v>2500</v>
      </c>
      <c r="F4" s="3019"/>
      <c r="I4" s="3442" t="s">
        <v>2575</v>
      </c>
      <c r="J4" s="3442">
        <v>80</v>
      </c>
      <c r="K4" s="3442">
        <v>70</v>
      </c>
      <c r="L4" s="3442">
        <v>20</v>
      </c>
      <c r="M4" s="3442">
        <v>30</v>
      </c>
      <c r="N4" s="3023">
        <v>45</v>
      </c>
      <c r="O4" s="3023">
        <v>60</v>
      </c>
      <c r="P4" s="3023">
        <v>50</v>
      </c>
      <c r="Q4" s="3023">
        <v>20</v>
      </c>
      <c r="R4" s="3023">
        <v>375</v>
      </c>
    </row>
    <row r="5" spans="1:18">
      <c r="A5" s="3024">
        <v>40</v>
      </c>
      <c r="B5" s="3021">
        <v>46375</v>
      </c>
      <c r="C5" s="3023">
        <f>ROUNDDOWN(MIN((B5-B3)/365,A5),2)</f>
        <v>3.99</v>
      </c>
      <c r="D5" s="3025">
        <f>IF(ISERROR(ROUND(POWER(1+E5,A5-C5)*(POWER(1+E5,C5)-1)/(POWER(1+E5,A5)-1),3)),0,ROUND(POWER(1+E5,A5-C5)*(POWER(1+E5,C5)-1)/(POWER(1+E5,A5)-1),4))</f>
        <v>0.183</v>
      </c>
      <c r="E5" s="3026">
        <v>0.04</v>
      </c>
      <c r="F5" s="3019"/>
      <c r="I5" s="3442" t="s">
        <v>2576</v>
      </c>
      <c r="J5" s="3442">
        <v>70</v>
      </c>
      <c r="K5" s="3442">
        <v>60</v>
      </c>
      <c r="L5" s="3442">
        <v>15</v>
      </c>
      <c r="M5" s="3442">
        <v>25</v>
      </c>
      <c r="N5" s="3023">
        <v>40</v>
      </c>
      <c r="O5" s="3023">
        <v>50</v>
      </c>
      <c r="P5" s="3023">
        <v>40</v>
      </c>
      <c r="Q5" s="3023">
        <v>15</v>
      </c>
      <c r="R5" s="3023">
        <v>315</v>
      </c>
    </row>
    <row r="6" spans="1:18">
      <c r="A6" s="3024">
        <v>50</v>
      </c>
      <c r="B6" s="3021">
        <v>50028</v>
      </c>
      <c r="C6" s="3023">
        <f>ROUNDDOWN(MIN((B6-B3)/365,A6),2)</f>
        <v>14</v>
      </c>
      <c r="D6" s="3025">
        <f>IF(ISERROR(ROUND(POWER(1+E6,A6-C6)*(POWER(1+E6,C6)-1)/(POWER(1+E6,A6)-1),3)),0,ROUND(POWER(1+E6,A6-C6)*(POWER(1+E6,C6)-1)/(POWER(1+E6,A6)-1),4))</f>
        <v>0.49170000000000003</v>
      </c>
      <c r="E6" s="3026">
        <v>0.04</v>
      </c>
      <c r="F6" s="3019"/>
      <c r="I6" s="3442" t="s">
        <v>2577</v>
      </c>
      <c r="J6" s="3442">
        <v>60</v>
      </c>
      <c r="K6" s="3442">
        <v>50</v>
      </c>
      <c r="L6" s="3442">
        <v>10</v>
      </c>
      <c r="M6" s="3442">
        <v>20</v>
      </c>
      <c r="N6" s="3023">
        <v>35</v>
      </c>
      <c r="O6" s="3023">
        <v>40</v>
      </c>
      <c r="P6" s="3023">
        <v>30</v>
      </c>
      <c r="Q6" s="3023">
        <v>10</v>
      </c>
      <c r="R6" s="3023">
        <v>255</v>
      </c>
    </row>
    <row r="7" spans="1:18">
      <c r="A7" s="3024">
        <v>70</v>
      </c>
      <c r="B7" s="3021">
        <v>57333</v>
      </c>
      <c r="C7" s="3023">
        <f>ROUNDDOWN(MIN((B7-B3)/365,A7),2)</f>
        <v>34.01</v>
      </c>
      <c r="D7" s="3025">
        <f>IF(ISERROR(ROUND(POWER(1+E7,A7-C7)*(POWER(1+E7,C7)-1)/(POWER(1+E7,A7)-1),3)),0,ROUND(POWER(1+E7,A7-C7)*(POWER(1+E7,C7)-1)/(POWER(1+E7,A7)-1),4))</f>
        <v>0.78710000000000002</v>
      </c>
      <c r="E7" s="3026">
        <v>0.04</v>
      </c>
      <c r="F7" s="3019"/>
    </row>
    <row r="8" spans="1:18">
      <c r="A8" s="3017"/>
      <c r="B8" s="3018"/>
      <c r="C8" s="3018"/>
      <c r="D8" s="3018"/>
      <c r="E8" s="3018"/>
      <c r="F8" s="3019"/>
    </row>
    <row r="9" spans="1:18">
      <c r="A9" s="3020" t="s">
        <v>2501</v>
      </c>
      <c r="B9" s="3023"/>
      <c r="C9" s="3023"/>
      <c r="D9" s="3023"/>
      <c r="E9" s="3023"/>
      <c r="F9" s="3027"/>
    </row>
    <row r="10" spans="1:18">
      <c r="A10" s="3020" t="s">
        <v>2502</v>
      </c>
      <c r="B10" s="3023"/>
      <c r="C10" s="3023"/>
      <c r="D10" s="3023" t="s">
        <v>2500</v>
      </c>
      <c r="E10" s="3023"/>
      <c r="F10" s="3027" t="s">
        <v>2499</v>
      </c>
    </row>
    <row r="11" spans="1:18">
      <c r="A11" s="3020" t="s">
        <v>2503</v>
      </c>
      <c r="B11" s="3028">
        <v>70</v>
      </c>
      <c r="C11" s="3023" t="s">
        <v>2504</v>
      </c>
      <c r="D11" s="3029">
        <v>4.4999999999999998E-2</v>
      </c>
      <c r="E11" s="3023" t="s">
        <v>2505</v>
      </c>
      <c r="F11" s="3030">
        <f>ROUND(1-(1/(POWER(1+D11,B11))),4)</f>
        <v>0.95409999999999995</v>
      </c>
    </row>
    <row r="12" spans="1:18">
      <c r="A12" s="3020" t="s">
        <v>2506</v>
      </c>
      <c r="B12" s="3028">
        <v>40</v>
      </c>
      <c r="C12" s="3023" t="s">
        <v>2507</v>
      </c>
      <c r="D12" s="3029">
        <v>4.4999999999999998E-2</v>
      </c>
      <c r="E12" s="3023" t="s">
        <v>2508</v>
      </c>
      <c r="F12" s="3030">
        <f>ROUND(1-(1/(POWER(1+D12,B12))),4)</f>
        <v>0.82809999999999995</v>
      </c>
    </row>
    <row r="13" spans="1:18">
      <c r="A13" s="3020" t="s">
        <v>2509</v>
      </c>
      <c r="B13" s="3023"/>
      <c r="C13" s="3023"/>
      <c r="D13" s="3018"/>
      <c r="E13" s="3018"/>
      <c r="F13" s="3019"/>
    </row>
    <row r="14" spans="1:18">
      <c r="A14" s="3020" t="s">
        <v>2510</v>
      </c>
      <c r="B14" s="3028">
        <v>5000</v>
      </c>
      <c r="C14" s="3022"/>
      <c r="D14" s="3018"/>
      <c r="E14" s="3018"/>
      <c r="F14" s="3019"/>
    </row>
    <row r="15" spans="1:18">
      <c r="A15" s="3020" t="s">
        <v>2511</v>
      </c>
      <c r="B15" s="3023">
        <f>ROUND(B14*F12/F11,2)</f>
        <v>4339.6899999999996</v>
      </c>
      <c r="C15" s="3023">
        <f>ROUND(F12/F11,4)</f>
        <v>0.8679</v>
      </c>
      <c r="D15" s="3018"/>
      <c r="E15" s="3018"/>
      <c r="F15" s="3019"/>
    </row>
    <row r="16" spans="1:18">
      <c r="A16" s="3020" t="s">
        <v>2512</v>
      </c>
      <c r="B16" s="3023"/>
      <c r="C16" s="3023"/>
      <c r="D16" s="3018"/>
      <c r="E16" s="3018"/>
      <c r="F16" s="3019"/>
    </row>
    <row r="17" spans="1:13">
      <c r="A17" s="3020" t="s">
        <v>2511</v>
      </c>
      <c r="B17" s="3029">
        <v>4810</v>
      </c>
      <c r="C17" s="3022"/>
      <c r="D17" s="3018"/>
      <c r="E17" s="3018"/>
      <c r="F17" s="3019"/>
    </row>
    <row r="18" spans="1:13" ht="15" thickBot="1">
      <c r="A18" s="3031" t="s">
        <v>2510</v>
      </c>
      <c r="B18" s="3032">
        <f>ROUND(B17*F11/F12,2)</f>
        <v>5541.87</v>
      </c>
      <c r="C18" s="3032">
        <f>ROUND(F11/F12,4)</f>
        <v>1.1521999999999999</v>
      </c>
      <c r="D18" s="3033"/>
      <c r="E18" s="3033"/>
      <c r="F18" s="3034"/>
    </row>
    <row r="19" spans="1:13" ht="15" thickBot="1"/>
    <row r="20" spans="1:13" s="3069" customFormat="1" ht="15" thickTop="1">
      <c r="A20" s="3066" t="s">
        <v>2513</v>
      </c>
      <c r="B20" s="3067"/>
      <c r="C20" s="3067"/>
      <c r="D20" s="3067"/>
      <c r="E20" s="3067"/>
      <c r="F20" s="3067"/>
      <c r="G20" s="3068"/>
      <c r="I20" s="3070" t="s">
        <v>2558</v>
      </c>
      <c r="J20" s="3070" t="s">
        <v>2563</v>
      </c>
      <c r="K20" s="3070"/>
      <c r="L20" s="3070"/>
      <c r="M20" s="3070"/>
    </row>
    <row r="21" spans="1:13">
      <c r="A21" s="3035"/>
      <c r="B21" s="3036" t="s">
        <v>2514</v>
      </c>
      <c r="C21" s="3036" t="s">
        <v>2515</v>
      </c>
      <c r="D21" s="3036" t="s">
        <v>2516</v>
      </c>
      <c r="E21" s="3036" t="s">
        <v>2517</v>
      </c>
      <c r="F21" s="3036" t="s">
        <v>2518</v>
      </c>
      <c r="G21" s="3037" t="s">
        <v>2519</v>
      </c>
      <c r="I21" s="3058">
        <v>5</v>
      </c>
      <c r="J21" s="3058">
        <v>54.2</v>
      </c>
    </row>
    <row r="22" spans="1:13">
      <c r="A22" s="3035" t="s">
        <v>2520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2561</v>
      </c>
      <c r="M23" s="3058" t="s">
        <v>2562</v>
      </c>
    </row>
    <row r="24" spans="1:13">
      <c r="A24" s="3035" t="s">
        <v>2522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2560</v>
      </c>
      <c r="M24" s="3058">
        <v>10</v>
      </c>
    </row>
    <row r="25" spans="1:13">
      <c r="A25" s="3035" t="s">
        <v>2523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2564</v>
      </c>
      <c r="M25" s="3058">
        <v>8</v>
      </c>
    </row>
    <row r="26" spans="1:13">
      <c r="A26" s="3040"/>
      <c r="B26" s="3041"/>
      <c r="C26" s="3041"/>
      <c r="D26" s="3041"/>
      <c r="E26" s="3041"/>
      <c r="F26" s="3041"/>
      <c r="G26" s="3042"/>
      <c r="I26" s="3058">
        <v>30</v>
      </c>
      <c r="J26" s="3058">
        <v>90.5</v>
      </c>
      <c r="K26" s="3058">
        <f t="shared" si="2"/>
        <v>4.2000000000000028</v>
      </c>
      <c r="L26" s="3058" t="s">
        <v>2565</v>
      </c>
      <c r="M26" s="3058">
        <v>5</v>
      </c>
    </row>
    <row r="27" spans="1:13">
      <c r="A27" s="3040" t="s">
        <v>2524</v>
      </c>
      <c r="B27" s="3041"/>
      <c r="C27" s="3041"/>
      <c r="D27" s="3041"/>
      <c r="E27" s="3041"/>
      <c r="F27" s="3041"/>
      <c r="G27" s="3042"/>
      <c r="I27" s="3058">
        <v>35</v>
      </c>
      <c r="J27" s="3058">
        <v>93.8</v>
      </c>
      <c r="K27" s="3058">
        <f t="shared" si="2"/>
        <v>3.2999999999999972</v>
      </c>
      <c r="L27" s="3058" t="s">
        <v>2566</v>
      </c>
      <c r="M27" s="3058">
        <v>3</v>
      </c>
    </row>
    <row r="28" spans="1:13">
      <c r="A28" s="3040" t="s">
        <v>2525</v>
      </c>
      <c r="B28" s="3041"/>
      <c r="C28" s="3041"/>
      <c r="D28" s="3041"/>
      <c r="E28" s="3041"/>
      <c r="F28" s="3041"/>
      <c r="G28" s="3042"/>
      <c r="I28" s="3058">
        <v>40</v>
      </c>
      <c r="J28" s="3058">
        <v>96.4</v>
      </c>
      <c r="K28" s="3058">
        <f t="shared" si="2"/>
        <v>2.6000000000000085</v>
      </c>
      <c r="L28" s="3058" t="s">
        <v>2567</v>
      </c>
      <c r="M28" s="3058">
        <v>2</v>
      </c>
    </row>
    <row r="29" spans="1:13">
      <c r="A29" s="3040" t="s">
        <v>2526</v>
      </c>
      <c r="B29" s="3041"/>
      <c r="C29" s="3041"/>
      <c r="D29" s="3041"/>
      <c r="E29" s="3041"/>
      <c r="F29" s="3041"/>
      <c r="G29" s="3042"/>
      <c r="I29" s="3058">
        <v>45</v>
      </c>
      <c r="J29" s="3058">
        <v>98.4</v>
      </c>
      <c r="K29" s="3058">
        <f t="shared" si="2"/>
        <v>2</v>
      </c>
    </row>
    <row r="30" spans="1:13">
      <c r="A30" s="3040" t="s">
        <v>2527</v>
      </c>
      <c r="B30" s="3041"/>
      <c r="C30" s="3041"/>
      <c r="D30" s="3041"/>
      <c r="E30" s="3041"/>
      <c r="F30" s="3041"/>
      <c r="G30" s="3042"/>
      <c r="I30" s="3058">
        <v>50</v>
      </c>
      <c r="J30" s="3058">
        <v>100</v>
      </c>
      <c r="K30" s="3058">
        <f t="shared" si="2"/>
        <v>1.5999999999999943</v>
      </c>
    </row>
    <row r="31" spans="1:13">
      <c r="A31" s="3040" t="s">
        <v>2528</v>
      </c>
      <c r="B31" s="3041"/>
      <c r="C31" s="3041"/>
      <c r="D31" s="3041"/>
      <c r="E31" s="3041"/>
      <c r="F31" s="3041"/>
      <c r="G31" s="3042"/>
      <c r="I31" s="3058" t="s">
        <v>2559</v>
      </c>
    </row>
    <row r="32" spans="1:13">
      <c r="A32" s="3040" t="s">
        <v>2529</v>
      </c>
      <c r="B32" s="3041"/>
      <c r="C32" s="3041"/>
      <c r="D32" s="3041"/>
      <c r="E32" s="3041"/>
      <c r="F32" s="3041"/>
      <c r="G32" s="3042"/>
    </row>
    <row r="33" spans="1:13">
      <c r="A33" s="3040" t="s">
        <v>2530</v>
      </c>
      <c r="B33" s="3041"/>
      <c r="C33" s="3041"/>
      <c r="D33" s="3041"/>
      <c r="E33" s="3041"/>
      <c r="F33" s="3041"/>
      <c r="G33" s="3042"/>
      <c r="I33" s="3058" t="s">
        <v>2558</v>
      </c>
      <c r="J33" s="3058" t="s">
        <v>2568</v>
      </c>
    </row>
    <row r="34" spans="1:13">
      <c r="A34" s="3040" t="s">
        <v>2531</v>
      </c>
      <c r="B34" s="3041"/>
      <c r="C34" s="3041"/>
      <c r="D34" s="3041"/>
      <c r="E34" s="3041"/>
      <c r="F34" s="3041"/>
      <c r="G34" s="3042"/>
      <c r="I34" s="3058">
        <v>5</v>
      </c>
      <c r="J34" s="3058">
        <v>55.1</v>
      </c>
    </row>
    <row r="35" spans="1:13">
      <c r="A35" s="3040" t="s">
        <v>2532</v>
      </c>
      <c r="B35" s="3041"/>
      <c r="C35" s="3041"/>
      <c r="D35" s="3041"/>
      <c r="E35" s="3041"/>
      <c r="F35" s="3041"/>
      <c r="G35" s="3042"/>
      <c r="I35" s="3058">
        <v>10</v>
      </c>
      <c r="J35" s="3058">
        <v>67</v>
      </c>
      <c r="K35" s="3058">
        <f>J35-J34</f>
        <v>11.899999999999999</v>
      </c>
    </row>
    <row r="36" spans="1:13">
      <c r="A36" s="3040" t="s">
        <v>2533</v>
      </c>
      <c r="B36" s="3041"/>
      <c r="C36" s="3041"/>
      <c r="D36" s="3041"/>
      <c r="E36" s="3041"/>
      <c r="F36" s="3041"/>
      <c r="G36" s="3042"/>
      <c r="I36" s="3058">
        <v>15</v>
      </c>
      <c r="J36" s="3058">
        <v>76.3</v>
      </c>
      <c r="K36" s="3058">
        <f t="shared" ref="K36:K41" si="3">J36-J35</f>
        <v>9.2999999999999972</v>
      </c>
      <c r="L36" s="3058" t="s">
        <v>2561</v>
      </c>
      <c r="M36" s="3058" t="s">
        <v>2562</v>
      </c>
    </row>
    <row r="37" spans="1:13">
      <c r="A37" s="3040" t="s">
        <v>2534</v>
      </c>
      <c r="B37" s="3041"/>
      <c r="C37" s="3041"/>
      <c r="D37" s="3041"/>
      <c r="E37" s="3041"/>
      <c r="F37" s="3041"/>
      <c r="G37" s="3042"/>
      <c r="I37" s="3058">
        <v>20</v>
      </c>
      <c r="J37" s="3058">
        <v>83.6</v>
      </c>
      <c r="K37" s="3058">
        <f t="shared" si="3"/>
        <v>7.2999999999999972</v>
      </c>
      <c r="L37" s="3058" t="s">
        <v>2560</v>
      </c>
      <c r="M37" s="3058">
        <v>10</v>
      </c>
    </row>
    <row r="38" spans="1:13">
      <c r="A38" s="3040" t="s">
        <v>2535</v>
      </c>
      <c r="B38" s="3041"/>
      <c r="C38" s="3041"/>
      <c r="D38" s="3041"/>
      <c r="E38" s="3041"/>
      <c r="F38" s="3041"/>
      <c r="G38" s="3042"/>
      <c r="I38" s="3058">
        <v>25</v>
      </c>
      <c r="J38" s="3058">
        <v>89.3</v>
      </c>
      <c r="K38" s="3058">
        <f t="shared" si="3"/>
        <v>5.7000000000000028</v>
      </c>
      <c r="L38" s="3058" t="s">
        <v>2564</v>
      </c>
      <c r="M38" s="3058">
        <v>8</v>
      </c>
    </row>
    <row r="39" spans="1:13">
      <c r="A39" s="3040"/>
      <c r="B39" s="3041"/>
      <c r="C39" s="3041"/>
      <c r="D39" s="3041"/>
      <c r="E39" s="3041"/>
      <c r="F39" s="3041"/>
      <c r="G39" s="3042"/>
      <c r="I39" s="3058">
        <v>30</v>
      </c>
      <c r="J39" s="3058">
        <v>93.8</v>
      </c>
      <c r="K39" s="3058">
        <f t="shared" si="3"/>
        <v>4.5</v>
      </c>
      <c r="L39" s="3058" t="s">
        <v>2565</v>
      </c>
      <c r="M39" s="3058">
        <v>6</v>
      </c>
    </row>
    <row r="40" spans="1:13">
      <c r="A40" s="3043" t="s">
        <v>2536</v>
      </c>
      <c r="B40" s="3044"/>
      <c r="C40" s="3044"/>
      <c r="D40" s="3044"/>
      <c r="E40" s="3044"/>
      <c r="F40" s="3044"/>
      <c r="G40" s="3045"/>
      <c r="I40" s="3058">
        <v>35</v>
      </c>
      <c r="J40" s="3058">
        <v>97.2</v>
      </c>
      <c r="K40" s="3058">
        <f t="shared" si="3"/>
        <v>3.4000000000000057</v>
      </c>
      <c r="L40" s="3058" t="s">
        <v>2566</v>
      </c>
      <c r="M40" s="3058">
        <v>3</v>
      </c>
    </row>
    <row r="41" spans="1:13">
      <c r="A41" s="3046" t="s">
        <v>2537</v>
      </c>
      <c r="B41" s="3047" t="s">
        <v>2538</v>
      </c>
      <c r="C41" s="3048" t="s">
        <v>2539</v>
      </c>
      <c r="D41" s="3048" t="s">
        <v>2540</v>
      </c>
      <c r="E41" s="3049"/>
      <c r="F41" s="3050"/>
      <c r="G41" s="3051"/>
      <c r="I41" s="3058">
        <v>40</v>
      </c>
      <c r="J41" s="3058">
        <v>100</v>
      </c>
      <c r="K41" s="3058">
        <f t="shared" si="3"/>
        <v>2.7999999999999972</v>
      </c>
    </row>
    <row r="42" spans="1:13">
      <c r="A42" s="3046" t="s">
        <v>2541</v>
      </c>
      <c r="B42" s="3047" t="s">
        <v>2542</v>
      </c>
      <c r="C42" s="3048" t="s">
        <v>2543</v>
      </c>
      <c r="D42" s="3052" t="s">
        <v>2544</v>
      </c>
      <c r="E42" s="3044" t="s">
        <v>2545</v>
      </c>
      <c r="F42" s="3044"/>
      <c r="G42" s="3045"/>
    </row>
    <row r="43" spans="1:13">
      <c r="A43" s="3046" t="s">
        <v>2546</v>
      </c>
      <c r="B43" s="3047" t="s">
        <v>2547</v>
      </c>
      <c r="C43" s="3048" t="s">
        <v>2548</v>
      </c>
      <c r="D43" s="3048" t="s">
        <v>2549</v>
      </c>
      <c r="E43" s="3049" t="s">
        <v>2550</v>
      </c>
      <c r="F43" s="3050"/>
      <c r="G43" s="3051"/>
      <c r="I43" s="3058" t="s">
        <v>2558</v>
      </c>
      <c r="J43" s="3058" t="s">
        <v>2569</v>
      </c>
    </row>
    <row r="44" spans="1:13">
      <c r="A44" s="3046" t="s">
        <v>2551</v>
      </c>
      <c r="B44" s="3047" t="s">
        <v>2552</v>
      </c>
      <c r="C44" s="3048" t="s">
        <v>2553</v>
      </c>
      <c r="D44" s="3052">
        <v>0.5</v>
      </c>
      <c r="E44" s="3049" t="s">
        <v>2554</v>
      </c>
      <c r="F44" s="3050"/>
      <c r="G44" s="3051"/>
      <c r="I44" s="3058">
        <v>30</v>
      </c>
      <c r="J44" s="3058">
        <v>81.7</v>
      </c>
    </row>
    <row r="45" spans="1:13" ht="15" thickBot="1">
      <c r="A45" s="3053" t="s">
        <v>2555</v>
      </c>
      <c r="B45" s="3054" t="s">
        <v>2542</v>
      </c>
      <c r="C45" s="3055" t="s">
        <v>2542</v>
      </c>
      <c r="D45" s="3055" t="s">
        <v>2556</v>
      </c>
      <c r="E45" s="3056" t="s">
        <v>2557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G44" sqref="G44"/>
    </sheetView>
  </sheetViews>
  <sheetFormatPr baseColWidth="10" defaultColWidth="10" defaultRowHeight="13"/>
  <cols>
    <col min="1" max="1" width="16.83203125" style="1745" customWidth="1"/>
    <col min="2" max="2" width="10" style="1745" customWidth="1"/>
    <col min="3" max="3" width="11.5" style="1745" customWidth="1"/>
    <col min="4" max="4" width="10" style="1745" customWidth="1"/>
    <col min="5" max="5" width="12.6640625" style="1745" customWidth="1"/>
    <col min="6" max="6" width="10" style="1745" customWidth="1"/>
    <col min="7" max="7" width="10.6640625" style="1745" customWidth="1"/>
    <col min="8" max="8" width="10" style="1745" customWidth="1"/>
    <col min="9" max="9" width="11.16406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6" thickBot="1">
      <c r="A1" s="2366"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ht="15">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ht="15">
      <c r="A3" s="302" t="s">
        <v>2170</v>
      </c>
      <c r="B3" s="2373">
        <v>44916</v>
      </c>
      <c r="C3" s="2374" t="s">
        <v>2171</v>
      </c>
      <c r="D3" s="2373">
        <f>B3</f>
        <v>44916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6"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5">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ht="15">
      <c r="A7" s="2383" t="s">
        <v>2175</v>
      </c>
      <c r="B7" s="2387"/>
      <c r="C7" s="2385"/>
      <c r="D7" s="2386"/>
      <c r="E7" s="2662"/>
      <c r="F7" s="2664"/>
      <c r="G7" s="2664"/>
      <c r="H7" s="2664"/>
      <c r="I7" s="2664"/>
      <c r="J7" s="2439"/>
      <c r="K7" s="2616"/>
      <c r="L7" s="2613"/>
      <c r="M7" s="2613"/>
      <c r="N7" s="2439"/>
      <c r="O7" s="2450"/>
      <c r="P7" s="2439"/>
      <c r="Q7" s="2439"/>
      <c r="R7" s="2439"/>
    </row>
    <row r="8" spans="1:30" ht="15">
      <c r="A8" s="2388" t="s">
        <v>2176</v>
      </c>
      <c r="B8" s="2389" t="s">
        <v>3367</v>
      </c>
      <c r="C8" s="2390"/>
      <c r="D8" s="3501" t="s">
        <v>2177</v>
      </c>
      <c r="E8" s="2391" t="s">
        <v>3368</v>
      </c>
      <c r="F8" s="2392"/>
      <c r="G8" s="2663"/>
      <c r="H8" s="2663"/>
      <c r="I8" s="2663"/>
      <c r="J8" s="2439"/>
      <c r="K8" s="2614"/>
      <c r="L8" s="2613"/>
      <c r="M8" s="2613"/>
      <c r="N8" s="2439"/>
      <c r="O8" s="2450"/>
      <c r="P8" s="2439"/>
      <c r="Q8" s="2439"/>
      <c r="R8" s="2439"/>
    </row>
    <row r="9" spans="1:30" ht="16" thickBot="1">
      <c r="A9" s="2393" t="s">
        <v>2178</v>
      </c>
      <c r="B9" s="2394" t="s">
        <v>3368</v>
      </c>
      <c r="C9" s="2395"/>
      <c r="D9" s="3502"/>
      <c r="E9" s="2394"/>
      <c r="F9" s="2396"/>
      <c r="G9" s="2665"/>
      <c r="H9" s="2665"/>
      <c r="I9" s="2665"/>
      <c r="J9" s="2439"/>
      <c r="K9" s="2616"/>
      <c r="L9" s="2613"/>
      <c r="M9" s="2613"/>
      <c r="N9" s="2439"/>
      <c r="O9" s="2450"/>
      <c r="P9" s="2439"/>
      <c r="Q9" s="2439"/>
      <c r="R9" s="2439"/>
    </row>
    <row r="10" spans="1:30" ht="16" thickTop="1">
      <c r="A10" s="2397" t="s">
        <v>2179</v>
      </c>
      <c r="B10" s="2398" t="s">
        <v>3366</v>
      </c>
      <c r="C10" s="2399"/>
      <c r="D10" s="2382"/>
      <c r="E10" s="2400" t="s">
        <v>2180</v>
      </c>
      <c r="F10" s="2666"/>
      <c r="G10" s="2667"/>
      <c r="H10" s="2668"/>
      <c r="I10" s="2669"/>
      <c r="J10" s="2439"/>
      <c r="K10" s="2616"/>
      <c r="L10" s="2613"/>
      <c r="M10" s="2613"/>
      <c r="N10" s="2439"/>
      <c r="O10" s="2450"/>
      <c r="P10" s="2439"/>
      <c r="Q10" s="2439"/>
      <c r="R10" s="2439"/>
    </row>
    <row r="11" spans="1:30" ht="14">
      <c r="A11" s="2401" t="s">
        <v>2181</v>
      </c>
      <c r="B11" s="2402" t="s">
        <v>3396</v>
      </c>
      <c r="C11" s="2403"/>
      <c r="D11" s="2404"/>
      <c r="E11" s="2370"/>
      <c r="F11" s="2370"/>
      <c r="G11" s="2370"/>
      <c r="H11" s="2370"/>
      <c r="I11" s="2370"/>
      <c r="J11" s="3061"/>
      <c r="K11" s="3060"/>
      <c r="L11" s="2613"/>
      <c r="M11" s="2613"/>
      <c r="N11" s="2439"/>
      <c r="O11" s="2450"/>
      <c r="P11" s="2439"/>
      <c r="Q11" s="2439"/>
      <c r="R11" s="2439"/>
    </row>
    <row r="12" spans="1:30" ht="15">
      <c r="A12" s="2405" t="s">
        <v>2182</v>
      </c>
      <c r="B12" s="323" t="s">
        <v>2183</v>
      </c>
      <c r="C12" s="2406" t="s">
        <v>2184</v>
      </c>
      <c r="D12" s="2406" t="s">
        <v>2185</v>
      </c>
      <c r="E12" s="2406" t="s">
        <v>2186</v>
      </c>
      <c r="F12" s="2406" t="s">
        <v>2187</v>
      </c>
      <c r="G12" s="2406" t="s">
        <v>2188</v>
      </c>
      <c r="H12" s="2406" t="s">
        <v>2189</v>
      </c>
      <c r="I12" s="3059" t="s">
        <v>2570</v>
      </c>
      <c r="J12" s="3062"/>
      <c r="K12" s="2613"/>
      <c r="L12" s="2613"/>
      <c r="M12" s="2439"/>
      <c r="N12" s="2450"/>
      <c r="O12" s="2439"/>
      <c r="P12" s="2439"/>
      <c r="Q12" s="2439"/>
      <c r="AD12" s="1745"/>
    </row>
    <row r="13" spans="1:30" ht="15">
      <c r="A13" s="3425" t="s">
        <v>3332</v>
      </c>
      <c r="B13" s="2407" t="s">
        <v>2190</v>
      </c>
      <c r="C13" s="856"/>
      <c r="D13" s="856"/>
      <c r="E13" s="856"/>
      <c r="F13" s="856"/>
      <c r="G13" s="856"/>
      <c r="H13" s="856">
        <v>57522</v>
      </c>
      <c r="I13" s="856"/>
      <c r="J13" s="3062"/>
      <c r="K13" s="2613"/>
      <c r="L13" s="2613"/>
      <c r="M13" s="2439"/>
      <c r="N13" s="2450"/>
      <c r="O13" s="2439"/>
      <c r="P13" s="2439"/>
      <c r="Q13" s="2439"/>
      <c r="AD13" s="1745"/>
    </row>
    <row r="14" spans="1:30" ht="15">
      <c r="A14" s="1081"/>
      <c r="B14" s="2407" t="s">
        <v>2191</v>
      </c>
      <c r="C14" s="2408"/>
      <c r="D14" s="2408"/>
      <c r="E14" s="2408"/>
      <c r="F14" s="2408"/>
      <c r="G14" s="2408"/>
      <c r="H14" s="2408">
        <v>50</v>
      </c>
      <c r="I14" s="2408"/>
      <c r="J14" s="3063"/>
      <c r="K14" s="2613"/>
      <c r="L14" s="2613"/>
      <c r="M14" s="2439"/>
      <c r="N14" s="2450"/>
      <c r="O14" s="2439"/>
      <c r="P14" s="2439"/>
      <c r="Q14" s="2439"/>
      <c r="AD14" s="1745"/>
    </row>
    <row r="15" spans="1:30" ht="15">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34.53</v>
      </c>
      <c r="I15" s="2410" t="str">
        <f>IF(A13="出让",IF(I13="","",ROUNDDOWN(MIN((I13-$D$3)/365,I14),2)),I14)</f>
        <v/>
      </c>
      <c r="J15" s="3064"/>
      <c r="K15" s="2451"/>
      <c r="L15" s="2451"/>
      <c r="M15" s="2509"/>
      <c r="N15" s="2451"/>
      <c r="O15" s="2509"/>
      <c r="P15" s="2439"/>
      <c r="Q15" s="2439"/>
      <c r="AD15" s="1745"/>
    </row>
    <row r="16" spans="1:30" ht="15">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ht="15">
      <c r="A17" s="313" t="s">
        <v>2195</v>
      </c>
      <c r="B17" s="302" t="s">
        <v>2196</v>
      </c>
      <c r="C17" s="8">
        <f>'数据-汇总表'!E3</f>
        <v>25739.82</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31" thickBot="1">
      <c r="A18" s="2414" t="s">
        <v>2199</v>
      </c>
      <c r="B18" s="1090" t="s">
        <v>2200</v>
      </c>
      <c r="C18" s="2415">
        <f>'数据-汇总表'!D3</f>
        <v>74231.63</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47"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ht="15">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1"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1"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ht="15">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ht="15">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ht="15">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6"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ht="14">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ht="14">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ht="14">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ht="15">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ht="15">
      <c r="A36" s="2430"/>
      <c r="B36" s="664" t="s">
        <v>2185</v>
      </c>
      <c r="C36" s="664" t="s">
        <v>2186</v>
      </c>
      <c r="D36" s="664" t="s">
        <v>2184</v>
      </c>
      <c r="E36" s="664" t="s">
        <v>2189</v>
      </c>
      <c r="F36" s="3065" t="s">
        <v>2573</v>
      </c>
      <c r="G36" s="2664"/>
      <c r="H36" s="2664"/>
      <c r="I36" s="2664"/>
      <c r="J36" s="2439"/>
      <c r="K36" s="2616"/>
      <c r="L36" s="2613"/>
      <c r="M36" s="2613"/>
      <c r="N36" s="2439"/>
      <c r="O36" s="2450"/>
      <c r="P36" s="2439"/>
      <c r="Q36" s="2439"/>
      <c r="R36" s="2439"/>
      <c r="S36" s="2439"/>
      <c r="T36" s="2439"/>
      <c r="U36" s="2439"/>
      <c r="V36" s="2439"/>
    </row>
    <row r="37" spans="1:30" ht="15">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6" thickBot="1">
      <c r="A38" s="2631" t="s">
        <v>2231</v>
      </c>
      <c r="B38" s="2432"/>
      <c r="C38" s="2432"/>
      <c r="D38" s="2432"/>
      <c r="E38" s="2432" t="s">
        <v>3389</v>
      </c>
      <c r="F38" s="2432"/>
      <c r="G38" s="2665"/>
      <c r="H38" s="2665"/>
      <c r="I38" s="2665"/>
      <c r="J38" s="2439"/>
      <c r="K38" s="2616"/>
      <c r="L38" s="2613"/>
      <c r="M38" s="2613"/>
      <c r="N38" s="2439"/>
      <c r="O38" s="2450"/>
      <c r="P38" s="2439"/>
      <c r="Q38" s="2439"/>
      <c r="R38" s="2439"/>
      <c r="S38" s="2439"/>
      <c r="T38" s="2439"/>
      <c r="U38" s="2439"/>
      <c r="V38" s="2439"/>
    </row>
    <row r="39" spans="1:30" s="2435" customFormat="1" ht="16"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ht="14">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30">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F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baseColWidth="10" defaultColWidth="8.83203125" defaultRowHeight="14"/>
  <cols>
    <col min="1" max="1" width="10.6640625" style="1573" customWidth="1"/>
    <col min="2" max="2" width="11" style="1573" customWidth="1"/>
    <col min="3" max="3" width="10.33203125" style="1573" customWidth="1"/>
    <col min="4" max="4" width="9.1640625" style="1573" customWidth="1"/>
    <col min="5" max="6" width="10" style="1634" customWidth="1"/>
    <col min="7" max="8" width="10" style="1573" customWidth="1"/>
    <col min="9" max="9" width="10.6640625" style="1573" customWidth="1"/>
    <col min="10" max="10" width="9.5" style="1573" customWidth="1"/>
    <col min="11" max="11" width="11" style="1573" customWidth="1"/>
    <col min="12" max="14" width="9.5" style="1573" customWidth="1"/>
    <col min="15" max="15" width="9.83203125" style="1573" customWidth="1"/>
    <col min="16" max="16" width="9.6640625" style="1573" customWidth="1"/>
    <col min="17" max="17" width="9.33203125" style="1573" customWidth="1"/>
    <col min="18" max="18" width="9.1640625" style="1573" customWidth="1"/>
    <col min="19" max="19" width="10.83203125" style="1573" customWidth="1"/>
    <col min="20" max="21" width="10.6640625" style="1573" customWidth="1"/>
    <col min="22" max="22" width="10.83203125" style="1573" customWidth="1"/>
    <col min="23" max="27" width="10.6640625" style="1573" customWidth="1"/>
    <col min="28" max="28" width="10.83203125" style="1573" customWidth="1"/>
    <col min="29" max="29" width="11" style="1573" bestFit="1" customWidth="1"/>
    <col min="30" max="30" width="10" style="1573" bestFit="1" customWidth="1"/>
    <col min="31" max="31" width="9.6640625" style="1573" customWidth="1"/>
    <col min="32" max="46" width="9.5" style="1573" customWidth="1"/>
    <col min="47" max="47" width="18.1640625" style="1573" customWidth="1"/>
    <col min="48" max="50" width="9.6640625" style="1573" customWidth="1"/>
    <col min="51" max="55" width="10.5" style="1573" bestFit="1" customWidth="1"/>
    <col min="56" max="56" width="9.5" style="1573" bestFit="1" customWidth="1"/>
    <col min="57" max="63" width="9.1640625" style="1573" bestFit="1" customWidth="1"/>
    <col min="64" max="64" width="9.5" style="1573" bestFit="1" customWidth="1"/>
    <col min="65" max="65" width="9.1640625" style="1573" bestFit="1" customWidth="1"/>
    <col min="66" max="66" width="9.5" style="1573" bestFit="1" customWidth="1"/>
    <col min="67" max="69" width="9.1640625" style="1573" bestFit="1" customWidth="1"/>
    <col min="70" max="70" width="9.5" style="1573" bestFit="1" customWidth="1"/>
    <col min="71" max="71" width="9" style="1573" customWidth="1"/>
    <col min="72" max="72" width="9.1640625" style="1573" bestFit="1" customWidth="1"/>
    <col min="73" max="16384" width="8.83203125" style="1573"/>
  </cols>
  <sheetData>
    <row r="1" spans="1:72" ht="20">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30">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5">
      <c r="A3" s="10">
        <v>74231.63</v>
      </c>
      <c r="B3" s="11">
        <f>IF(C3="否",G5-AT5,G5)</f>
        <v>25739.82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c r="A5" s="12" t="s">
        <v>1071</v>
      </c>
      <c r="B5" s="1347"/>
      <c r="C5" s="1347"/>
      <c r="D5" s="1349"/>
      <c r="E5" s="13" t="s">
        <v>0</v>
      </c>
      <c r="F5" s="13">
        <f>SUM(F13:F587)</f>
        <v>0</v>
      </c>
      <c r="G5" s="13">
        <f>SUM(G13:G587)</f>
        <v>25739.82</v>
      </c>
      <c r="H5" s="13">
        <f t="shared" ref="H5:AT5" si="0">SUM(H13:H656)</f>
        <v>25739.82</v>
      </c>
      <c r="I5" s="13">
        <f t="shared" si="0"/>
        <v>25739.82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25739.82</v>
      </c>
      <c r="BA5" s="15">
        <f t="shared" si="1"/>
        <v>25739.82</v>
      </c>
      <c r="BB5" s="15">
        <f t="shared" si="1"/>
        <v>25739.82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c r="A6" s="12" t="s">
        <v>1072</v>
      </c>
      <c r="B6" s="1586"/>
      <c r="C6" s="1586"/>
      <c r="D6" s="1587"/>
      <c r="E6" s="13">
        <f>H6+AC6+AT6</f>
        <v>74231.63</v>
      </c>
      <c r="F6" s="13" t="s">
        <v>0</v>
      </c>
      <c r="G6" s="13" t="s">
        <v>1</v>
      </c>
      <c r="H6" s="17">
        <f>SUMIF(I$12:AB$12,"总值",I6:AB6)</f>
        <v>74231.63</v>
      </c>
      <c r="I6" s="13">
        <f t="shared" ref="I6:AB6" si="2">ROUND($A$3*I5/$B$3,2)</f>
        <v>74231.63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74231.63</v>
      </c>
      <c r="AZ6" s="13" t="s">
        <v>2</v>
      </c>
      <c r="BA6" s="13">
        <f>ROUND($AY$6*BA5/$AZ$5,2)</f>
        <v>74231.63</v>
      </c>
      <c r="BB6" s="13">
        <f>ROUND($AY$6*BB5/$AZ$5,2)</f>
        <v>74231.63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30">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30">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c r="A9" s="1594"/>
      <c r="B9" s="1594"/>
      <c r="C9" s="1594"/>
      <c r="D9" s="1594"/>
      <c r="E9" s="1594"/>
      <c r="F9" s="1594"/>
      <c r="G9" s="1070"/>
      <c r="H9" s="1602" t="s">
        <v>1091</v>
      </c>
      <c r="I9" s="1603" t="s">
        <v>3373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5">
      <c r="A13" s="1051"/>
      <c r="B13" s="3449" t="s">
        <v>3369</v>
      </c>
      <c r="C13" s="1051" t="s">
        <v>3370</v>
      </c>
      <c r="D13" s="1625" t="s">
        <v>3375</v>
      </c>
      <c r="E13" s="13">
        <f>IF($C$3="是",ROUND($A$3*G13/$B$3,2),ROUND($A$3*(G13-AT13)/$B$3,2))</f>
        <v>20105.43</v>
      </c>
      <c r="F13" s="29"/>
      <c r="G13" s="30">
        <f>H13+AC13+AT13</f>
        <v>6971.56</v>
      </c>
      <c r="H13" s="17">
        <f>SUMIF(I$12:AB$12,"总值",I13:AB13)</f>
        <v>6971.56</v>
      </c>
      <c r="I13" s="1626">
        <v>6971.56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二期</v>
      </c>
      <c r="AX13" s="8" t="str">
        <f t="shared" si="6"/>
        <v>5#</v>
      </c>
      <c r="AY13" s="1349">
        <f>ROUND($AY$6*AZ13/$AZ$5,2)</f>
        <v>20105.43</v>
      </c>
      <c r="AZ13" s="13">
        <f>BA13+BL13</f>
        <v>6971.56</v>
      </c>
      <c r="BA13" s="13">
        <f>SUM(BB13:BK13)</f>
        <v>6971.56</v>
      </c>
      <c r="BB13" s="13">
        <f>IF($D13="是",I13-J13,0)</f>
        <v>6971.56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5">
      <c r="A14" s="1051"/>
      <c r="B14" s="3449" t="s">
        <v>3371</v>
      </c>
      <c r="C14" s="1570" t="s">
        <v>3372</v>
      </c>
      <c r="D14" s="1625" t="s">
        <v>3375</v>
      </c>
      <c r="E14" s="13">
        <f>IF($C$3="是",ROUND($A$3*G14/$B$3,2),ROUND($A$3*(G14-AT14)/$B$3,2))</f>
        <v>54126.2</v>
      </c>
      <c r="F14" s="29"/>
      <c r="G14" s="30">
        <f>H14+AC14+AT14</f>
        <v>18768.259999999998</v>
      </c>
      <c r="H14" s="17">
        <f>SUMIF(I$12:AB$12,"总值",I14:AB14)</f>
        <v>18768.259999999998</v>
      </c>
      <c r="I14" s="1626">
        <v>18768.259999999998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一期</v>
      </c>
      <c r="AX14" s="8" t="str">
        <f t="shared" si="6"/>
        <v>6#</v>
      </c>
      <c r="AY14" s="1349">
        <f>ROUND($AY$6*AZ14/$AZ$5,2)</f>
        <v>54126.2</v>
      </c>
      <c r="AZ14" s="13">
        <f>BA14+BL14</f>
        <v>18768.259999999998</v>
      </c>
      <c r="BA14" s="13">
        <f>SUM(BB14:BK14)</f>
        <v>18768.259999999998</v>
      </c>
      <c r="BB14" s="13">
        <f>IF($D14="是",I14-J14,0)</f>
        <v>18768.259999999998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baseColWidth="10" defaultColWidth="9.1640625" defaultRowHeight="14"/>
  <cols>
    <col min="1" max="1" width="12.1640625" style="1638" customWidth="1"/>
    <col min="2" max="2" width="10.1640625" style="1638" customWidth="1"/>
    <col min="3" max="3" width="18.5" style="1638" customWidth="1"/>
    <col min="4" max="4" width="11.6640625" style="1638" customWidth="1"/>
    <col min="5" max="5" width="13.33203125" style="1638" customWidth="1"/>
    <col min="6" max="8" width="11.5" style="1638" customWidth="1"/>
    <col min="9" max="9" width="11.1640625" style="1638" customWidth="1"/>
    <col min="10" max="10" width="3.1640625" style="2649" customWidth="1"/>
    <col min="11" max="16" width="10" style="1638" customWidth="1"/>
    <col min="17" max="17" width="2.6640625" style="1638" customWidth="1"/>
    <col min="18" max="18" width="9.33203125" style="1638" bestFit="1" customWidth="1"/>
    <col min="19" max="19" width="10.5" style="1638" bestFit="1" customWidth="1"/>
    <col min="20" max="16384" width="9.1640625" style="1638"/>
  </cols>
  <sheetData>
    <row r="1" spans="1:16" ht="19" thickBot="1">
      <c r="A1" s="1637" t="s">
        <v>1130</v>
      </c>
      <c r="B1" s="1139"/>
      <c r="C1" s="1139"/>
      <c r="D1" s="1139"/>
      <c r="E1" s="1139"/>
      <c r="F1" s="1139"/>
      <c r="G1" s="1139"/>
      <c r="H1" s="1139"/>
      <c r="I1" s="1139"/>
      <c r="J1" s="1139"/>
      <c r="K1" s="1139"/>
      <c r="L1" s="1139"/>
      <c r="M1" s="1139"/>
      <c r="N1" s="1139"/>
      <c r="O1" s="1139"/>
      <c r="P1" s="1139"/>
    </row>
    <row r="2" spans="1:16">
      <c r="A2" s="3537" t="s">
        <v>1131</v>
      </c>
      <c r="B2" s="3537"/>
      <c r="C2" s="3537"/>
      <c r="D2" s="796" t="s">
        <v>1107</v>
      </c>
      <c r="E2" s="1639" t="s">
        <v>1108</v>
      </c>
      <c r="F2" s="2659"/>
      <c r="G2" s="2650"/>
      <c r="H2" s="2651"/>
      <c r="I2" s="2325" t="s">
        <v>1132</v>
      </c>
      <c r="J2" s="2659"/>
      <c r="K2" s="2659"/>
      <c r="L2" s="2659"/>
      <c r="M2" s="2659"/>
      <c r="N2" s="2661"/>
      <c r="O2" s="2659"/>
      <c r="P2" s="2659"/>
    </row>
    <row r="3" spans="1:16" ht="15" thickBot="1">
      <c r="A3" s="3538" t="s">
        <v>1105</v>
      </c>
      <c r="B3" s="3538"/>
      <c r="C3" s="3538"/>
      <c r="D3" s="43">
        <f>'数据-基础表'!AY6</f>
        <v>74231.63</v>
      </c>
      <c r="E3" s="43">
        <f>'数据-基础表'!AZ5</f>
        <v>25739.82</v>
      </c>
      <c r="F3" s="2659"/>
      <c r="G3" s="1145"/>
      <c r="H3" s="1026" t="s">
        <v>1106</v>
      </c>
      <c r="I3" s="855">
        <f>ROUND('数据-基础表'!B3/'数据-基础表'!A3,2)</f>
        <v>0.35</v>
      </c>
      <c r="J3" s="2659"/>
      <c r="K3" s="2659"/>
      <c r="L3" s="2659"/>
      <c r="M3" s="2659"/>
      <c r="N3" s="2661"/>
      <c r="O3" s="2659"/>
      <c r="P3" s="2659"/>
    </row>
    <row r="4" spans="1:16">
      <c r="A4" s="3539"/>
      <c r="B4" s="3540"/>
      <c r="C4" s="3541"/>
      <c r="D4" s="1641" t="s">
        <v>1107</v>
      </c>
      <c r="E4" s="1642" t="s">
        <v>1108</v>
      </c>
      <c r="F4" s="2659"/>
      <c r="G4" s="2652" t="s">
        <v>1133</v>
      </c>
      <c r="H4" s="1026" t="s">
        <v>1113</v>
      </c>
      <c r="I4" s="855">
        <f>ROUND(SUMIF('数据-基础表'!I9:AS9,"地上",'数据-基础表'!I5:AS5)/'数据-基础表'!A3,2)</f>
        <v>0.35</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f>ROUND(E31/D31,2)</f>
        <v>0.35</v>
      </c>
      <c r="J5" s="2659"/>
      <c r="K5" s="2659"/>
      <c r="L5" s="2659"/>
      <c r="M5" s="2659"/>
      <c r="N5" s="2659"/>
      <c r="O5" s="2659"/>
      <c r="P5" s="2659"/>
    </row>
    <row r="6" spans="1:16" ht="15" thickBot="1">
      <c r="A6" s="1644"/>
      <c r="B6" s="3542" t="s">
        <v>1111</v>
      </c>
      <c r="C6" s="3542"/>
      <c r="D6" s="45">
        <f>ROUND($D$3*E6/$E$3,2)</f>
        <v>74231.63</v>
      </c>
      <c r="E6" s="46">
        <f>E3-E5</f>
        <v>25739.82</v>
      </c>
      <c r="F6" s="2659"/>
      <c r="G6" s="2653" t="s">
        <v>1112</v>
      </c>
      <c r="H6" s="1146" t="s">
        <v>1113</v>
      </c>
      <c r="I6" s="2654">
        <f>ROUND(F31/D31,2)</f>
        <v>0.35</v>
      </c>
      <c r="J6" s="2659"/>
      <c r="K6" s="2659"/>
      <c r="L6" s="2659"/>
      <c r="M6" s="2659"/>
      <c r="N6" s="2659"/>
      <c r="O6" s="2659"/>
      <c r="P6" s="2659"/>
    </row>
    <row r="7" spans="1:16" ht="15" thickBot="1">
      <c r="A7" s="3534"/>
      <c r="B7" s="3535"/>
      <c r="C7" s="3536"/>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74231.63</v>
      </c>
      <c r="E8" s="48">
        <f>SUMIF('数据-基础表'!BB10:BK10,"地上",'数据-基础表'!BB5:BK5)</f>
        <v>25739.82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74231.63</v>
      </c>
      <c r="E16" s="50">
        <f>SUM(E8:E15)</f>
        <v>25739.82</v>
      </c>
      <c r="F16" s="2659"/>
      <c r="G16" s="2660"/>
      <c r="H16" s="1648" t="s">
        <v>1135</v>
      </c>
      <c r="I16" s="1649"/>
      <c r="J16" s="1139"/>
      <c r="K16" s="3531" t="s">
        <v>1135</v>
      </c>
      <c r="L16" s="3532"/>
      <c r="M16" s="3532"/>
      <c r="N16" s="3532"/>
      <c r="O16" s="3532"/>
      <c r="P16" s="3533"/>
    </row>
    <row r="17" spans="1:19">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3374</v>
      </c>
      <c r="D19" s="45">
        <f>ROUND($D$3*E19/$E$3,2)</f>
        <v>74231.63</v>
      </c>
      <c r="E19" s="53">
        <f t="shared" ref="E19:E26" si="1">SUM(F19:G19)</f>
        <v>25739.82</v>
      </c>
      <c r="F19" s="2795">
        <f>'数据-基础表'!I13+'数据-基础表'!I14</f>
        <v>25739.82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74231.63</v>
      </c>
      <c r="S19" s="1027">
        <f t="shared" si="5"/>
        <v>25739.82</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74231.63</v>
      </c>
      <c r="E27" s="1141">
        <f>IF(SUM(E19:E26)='数据-基础表'!BA5,SUM(E19:E26),IF(F27="地上面积有误","面积有误","地下面积有误"))</f>
        <v>25739.82</v>
      </c>
      <c r="F27" s="1140">
        <f>IF(SUM(F19:F26)=E8,SUM(F19:F26),"地上面积有误")</f>
        <v>25739.82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74231.63</v>
      </c>
      <c r="S27" s="1026">
        <f>IF(SUM(S19:S26)=$E$3,SUM(S19:S26),SUM(S19:S26)&amp;"误差"&amp;ROUND(SUM(S19:S26)-E3,2))</f>
        <v>25739.82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74231.63</v>
      </c>
      <c r="E31" s="676">
        <f>E27+E30</f>
        <v>25739.82</v>
      </c>
      <c r="F31" s="677">
        <f>F27+F30</f>
        <v>25739.82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AD6" activePane="bottomRight" state="frozen"/>
      <selection activeCell="C50" sqref="C50"/>
      <selection pane="topRight" activeCell="C50" sqref="C50"/>
      <selection pane="bottomLeft" activeCell="C50" sqref="C50"/>
      <selection pane="bottomRight" activeCell="AK28" sqref="AK28"/>
    </sheetView>
  </sheetViews>
  <sheetFormatPr baseColWidth="10" defaultColWidth="13.6640625" defaultRowHeight="13"/>
  <cols>
    <col min="1" max="1" width="20.83203125" style="1745" customWidth="1"/>
    <col min="2" max="2" width="12" style="1682" customWidth="1"/>
    <col min="3" max="3" width="12.6640625" style="1682" customWidth="1"/>
    <col min="4" max="4" width="9.1640625" style="1746" customWidth="1"/>
    <col min="5" max="5" width="15" style="1682" bestFit="1" customWidth="1"/>
    <col min="6" max="10" width="8.83203125" style="1682" customWidth="1"/>
    <col min="11" max="12" width="12.33203125" style="1601" customWidth="1"/>
    <col min="13" max="13" width="8.6640625" style="1682" customWidth="1"/>
    <col min="14" max="14" width="11.83203125" style="1682" customWidth="1"/>
    <col min="15" max="15" width="8.5" style="1682" customWidth="1"/>
    <col min="16" max="17" width="10.83203125" style="1682" customWidth="1"/>
    <col min="18" max="19" width="12.5" style="1682" customWidth="1"/>
    <col min="20" max="20" width="12.1640625" style="1682" customWidth="1"/>
    <col min="21" max="21" width="7.5" style="1682" customWidth="1"/>
    <col min="22" max="22" width="6.33203125" style="1682" customWidth="1"/>
    <col min="23" max="30" width="6.6640625" style="1682" customWidth="1"/>
    <col min="31" max="31" width="8" style="1682" customWidth="1"/>
    <col min="32" max="34" width="7.1640625" style="1682" customWidth="1"/>
    <col min="35" max="39" width="8" style="1682" customWidth="1"/>
    <col min="40" max="40" width="13.6640625" style="1681"/>
    <col min="41" max="41" width="11.6640625" style="1681" customWidth="1"/>
    <col min="42" max="42" width="9.6640625" style="1681" customWidth="1"/>
    <col min="43" max="67" width="13.6640625" style="1681"/>
    <col min="68" max="16384" width="13.6640625" style="1682"/>
  </cols>
  <sheetData>
    <row r="1" spans="1:67" ht="19"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6" thickBot="1">
      <c r="A2" s="1683" t="s">
        <v>1161</v>
      </c>
      <c r="B2" s="1045">
        <f>项目基本情况!D3</f>
        <v>44916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6"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5">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
      <c r="A6" s="1712" t="str">
        <f>'数据-汇总表'!C19</f>
        <v>工业</v>
      </c>
      <c r="B6" s="1713" t="str">
        <f>IF(A6=0,"","经营性")</f>
        <v>经营性</v>
      </c>
      <c r="C6" s="1714" t="s">
        <v>3</v>
      </c>
      <c r="D6" s="858">
        <f>SUMIF(项目基本情况!C$12:I$12,C6,项目基本情况!C$14:I$14)</f>
        <v>50</v>
      </c>
      <c r="E6" s="857">
        <f>IF(B6="","",SUMIF(项目基本情况!C$12:H$12,C6,项目基本情况!C$13:H$13))</f>
        <v>57522</v>
      </c>
      <c r="F6" s="64">
        <f>SUMIF(项目基本情况!C$12:I$12,C6,项目基本情况!C$15:I$15)</f>
        <v>34.53</v>
      </c>
      <c r="G6" s="65">
        <f>IF(ISERROR(ROUND(POWER(1+H6,D6-F6)*(POWER(1+H6,F6)-1)/(POWER(1+H6,D6)-1),3)),0,ROUND(POWER(1+H6,D6-F6)*(POWER(1+H6,F6)-1)/(POWER(1+H6,D6)-1),3))</f>
        <v>0.88700000000000001</v>
      </c>
      <c r="H6" s="732">
        <v>4.8000000000000001E-2</v>
      </c>
      <c r="I6" s="732">
        <v>5.5E-2</v>
      </c>
      <c r="J6" s="66">
        <v>8.5000000000000006E-2</v>
      </c>
      <c r="K6" s="1030">
        <f>SUMIF('数据-汇总表'!C$19:C$33,A6,'数据-汇总表'!E$19:E$33)</f>
        <v>25739.82</v>
      </c>
      <c r="L6" s="733">
        <v>2000</v>
      </c>
      <c r="M6" s="67">
        <f t="shared" ref="M6:M14" si="0">ROUND(K6*L6/10000,0)</f>
        <v>5148</v>
      </c>
      <c r="N6" s="731">
        <f>ROUND(1-(1-2%)*(2022-2014)/70,2)</f>
        <v>0.89</v>
      </c>
      <c r="O6" s="67" t="str">
        <f>IF($N$5="成新度","——",ROUND(M6*N6,0))</f>
        <v>——</v>
      </c>
      <c r="P6" s="68" t="str">
        <f>IF($N$5="成新度","——",M6-O6)</f>
        <v>——</v>
      </c>
      <c r="Q6" s="3454">
        <v>0.1</v>
      </c>
      <c r="R6" s="69">
        <f ca="1">SUMIF('数据-汇总表'!C$19:C$33,A6,'数据-汇总表'!R$19:R$27)</f>
        <v>74231.63</v>
      </c>
      <c r="S6" s="51">
        <f>IF('数据-汇总表'!$I$17="按面积比例",SUMIF('数据-汇总表'!C$19:C$33,A6,'数据-汇总表'!K$19:K$33),SUMIF('数据-汇总表'!C$19:C$33,A6,'数据-汇总表'!N$19:N$33))</f>
        <v>0</v>
      </c>
      <c r="T6" s="1172">
        <f>ROUND($L$14*S6/10000,0)</f>
        <v>0</v>
      </c>
      <c r="U6" s="3450">
        <v>0.85</v>
      </c>
      <c r="V6" s="3451">
        <v>0.02</v>
      </c>
      <c r="W6" s="70">
        <v>0.1</v>
      </c>
      <c r="X6" s="1040"/>
      <c r="Y6" s="71">
        <f>N6</f>
        <v>0.89</v>
      </c>
      <c r="Z6" s="72"/>
      <c r="AA6" s="66"/>
      <c r="AB6" s="66"/>
      <c r="AC6" s="1040"/>
      <c r="AD6" s="73"/>
      <c r="AE6" s="1041">
        <f ca="1">IF(AN6="",0,SUMIF(INDIRECT("'"&amp;AN6&amp;"'"&amp;"!E:E"),$AE$5,INDIRECT("'"&amp;AN6&amp;"'"&amp;"!F:F")))</f>
        <v>34.53</v>
      </c>
      <c r="AF6" s="1348"/>
      <c r="AG6" s="138">
        <f>IF(AF6="",0,AE6-AF6)</f>
        <v>0</v>
      </c>
      <c r="AH6" s="74"/>
      <c r="AI6" s="76">
        <v>365</v>
      </c>
      <c r="AJ6" s="77"/>
      <c r="AK6" s="3452">
        <v>0.02</v>
      </c>
      <c r="AL6" s="3453">
        <v>1.5E-3</v>
      </c>
      <c r="AM6" s="80">
        <v>0.01</v>
      </c>
      <c r="AN6" s="1715" t="s">
        <v>3377</v>
      </c>
      <c r="AO6" s="52">
        <f ca="1">SUMIF(INDIRECT("'"&amp;AN6&amp;"'"&amp;"!A:A"),"总价",INDIRECT("'"&amp;AN6&amp;"'"&amp;"!B:B"))</f>
        <v>8432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 hidden="1">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 hidden="1">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 hidden="1">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 hidden="1">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 hidden="1">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 hidden="1">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 hidden="1">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30">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6" thickBot="1">
      <c r="A16" s="1719" t="s">
        <v>1209</v>
      </c>
      <c r="B16" s="88"/>
      <c r="C16" s="833"/>
      <c r="D16" s="1720"/>
      <c r="E16" s="88"/>
      <c r="F16" s="88"/>
      <c r="G16" s="89">
        <f>ROUND(SUMPRODUCT(G6:G13,K6:K13)/SUMPRODUCT((G6:G13&gt;0)*(K6:K13)),3)</f>
        <v>0.88700000000000001</v>
      </c>
      <c r="H16" s="90">
        <f>ROUND(SUMPRODUCT(H6:H13,K6:K13)/SUMPRODUCT((H6:H13&gt;0)*(K6:K13)),3)</f>
        <v>4.8000000000000001E-2</v>
      </c>
      <c r="I16" s="91"/>
      <c r="J16" s="91"/>
      <c r="K16" s="92">
        <f>SUM(K6:K15)</f>
        <v>25739.82</v>
      </c>
      <c r="L16" s="93">
        <f>ROUND(M16*10000/SUM(K6:K14),0)</f>
        <v>2000</v>
      </c>
      <c r="M16" s="93">
        <f>SUM(M6:M14)</f>
        <v>5148</v>
      </c>
      <c r="N16" s="94">
        <f>ROUND(SUMPRODUCT(M6:M14,N6:N14)/M16,3)</f>
        <v>0.89</v>
      </c>
      <c r="O16" s="93">
        <f>SUM(O6:O14)</f>
        <v>0</v>
      </c>
      <c r="P16" s="93">
        <f>SUM(P6:P14)</f>
        <v>0</v>
      </c>
      <c r="Q16" s="95">
        <f>ROUND(SUMPRODUCT(Q6:Q13,K6:K13)/SUMPRODUCT((Q6:Q13&gt;0)*(K6:K13)),2)</f>
        <v>0.1</v>
      </c>
      <c r="R16" s="1034">
        <f ca="1">SUM(R6:R13)</f>
        <v>74231.63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4"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6"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5">
      <c r="A20" s="1723" t="s">
        <v>1212</v>
      </c>
      <c r="B20" s="104">
        <v>1.5</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6"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6"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30">
      <c r="A27" s="1727" t="s">
        <v>1220</v>
      </c>
      <c r="B27" s="107">
        <v>80</v>
      </c>
      <c r="C27" s="2801" t="s">
        <v>2298</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30">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31" thickBot="1">
      <c r="A29" s="1730" t="s">
        <v>1222</v>
      </c>
      <c r="B29" s="112">
        <f ca="1">成本法!C10</f>
        <v>206</v>
      </c>
      <c r="C29" s="2802" t="s">
        <v>2285</v>
      </c>
      <c r="D29" s="2679"/>
      <c r="E29" s="2661"/>
      <c r="F29" s="2661"/>
      <c r="G29" s="2673"/>
      <c r="H29" s="2673"/>
      <c r="I29" s="2673"/>
      <c r="J29" s="2673"/>
      <c r="K29" s="2672"/>
      <c r="L29" s="2672">
        <v>11810</v>
      </c>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30">
      <c r="A30" s="1731" t="s">
        <v>1223</v>
      </c>
      <c r="B30" s="671">
        <v>200</v>
      </c>
      <c r="C30" s="2680"/>
      <c r="D30" s="2679"/>
      <c r="E30" s="2661"/>
      <c r="F30" s="2661"/>
      <c r="G30" s="2673"/>
      <c r="H30" s="2673"/>
      <c r="I30" s="2673"/>
      <c r="J30" s="2673"/>
      <c r="K30" s="2672"/>
      <c r="L30" s="2672">
        <f ca="1">结果表!G19</f>
        <v>11872</v>
      </c>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30">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31"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6"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5">
      <c r="A37" s="1731" t="s">
        <v>1230</v>
      </c>
      <c r="B37" s="115">
        <v>0.03</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5">
      <c r="A38" s="1729" t="s">
        <v>1231</v>
      </c>
      <c r="B38" s="113">
        <v>0.03</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6" thickBot="1">
      <c r="A40" s="2815" t="s">
        <v>3405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6"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6"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6"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30">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6"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7" sqref="K17"/>
    </sheetView>
  </sheetViews>
  <sheetFormatPr baseColWidth="10" defaultColWidth="9" defaultRowHeight="14"/>
  <cols>
    <col min="1" max="1" width="9.5" style="1686" customWidth="1"/>
    <col min="2" max="2" width="24.5" style="1572" customWidth="1"/>
    <col min="3" max="3" width="24.5" style="2510" customWidth="1"/>
    <col min="4" max="4" width="2.6640625" style="2510" customWidth="1"/>
    <col min="5" max="5" width="5.83203125" style="2510" customWidth="1"/>
    <col min="6" max="6" width="27" style="1572" customWidth="1"/>
    <col min="7" max="7" width="27" style="2511" customWidth="1"/>
    <col min="8" max="8" width="11.83203125" style="2491" customWidth="1"/>
    <col min="9" max="9" width="16.6640625" style="2492" customWidth="1"/>
    <col min="10" max="10" width="2.6640625" style="2491" customWidth="1"/>
    <col min="11" max="11" width="11.83203125" style="2491" customWidth="1"/>
    <col min="12" max="12" width="16.6640625" style="2492" customWidth="1"/>
    <col min="13" max="13" width="2.6640625" style="2491" customWidth="1"/>
    <col min="14" max="14" width="11.83203125" style="2491" customWidth="1"/>
    <col min="15" max="15" width="16.6640625" style="2492" customWidth="1"/>
    <col min="16" max="16" width="2.6640625" style="2491" customWidth="1"/>
    <col min="17" max="17" width="11.83203125" style="2491" customWidth="1"/>
    <col min="18" max="18" width="16.6640625" style="2493" customWidth="1"/>
    <col min="19" max="29" width="9" style="799"/>
    <col min="30" max="16384" width="9" style="1686"/>
  </cols>
  <sheetData>
    <row r="1" spans="1:29" s="2457" customFormat="1" ht="19" thickBot="1">
      <c r="A1" s="3543" t="s">
        <v>2277</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30">
      <c r="A3" s="2441" t="s">
        <v>2276</v>
      </c>
      <c r="B3" s="2463" t="s">
        <v>2252</v>
      </c>
      <c r="C3" s="2464"/>
      <c r="D3" s="2465"/>
      <c r="E3" s="2442" t="s">
        <v>2276</v>
      </c>
      <c r="F3" s="2466" t="s">
        <v>2253</v>
      </c>
      <c r="G3" s="2467"/>
      <c r="H3" s="799"/>
      <c r="I3" s="799"/>
      <c r="J3" s="799"/>
      <c r="K3" s="799"/>
      <c r="L3" s="799"/>
      <c r="M3" s="799"/>
      <c r="N3" s="799"/>
      <c r="O3" s="799"/>
      <c r="P3" s="799"/>
      <c r="Q3" s="799"/>
      <c r="R3" s="799"/>
    </row>
    <row r="4" spans="1:29" ht="15">
      <c r="A4" s="2442"/>
      <c r="B4" s="323" t="s">
        <v>2254</v>
      </c>
      <c r="C4" s="2468"/>
      <c r="D4" s="2465"/>
      <c r="E4" s="2469"/>
      <c r="F4" s="1373" t="s">
        <v>2255</v>
      </c>
      <c r="G4" s="2470"/>
      <c r="H4" s="799"/>
      <c r="I4" s="799"/>
      <c r="J4" s="799"/>
      <c r="K4" s="799"/>
      <c r="L4" s="799"/>
      <c r="M4" s="799"/>
      <c r="N4" s="799"/>
      <c r="O4" s="799"/>
      <c r="P4" s="799"/>
      <c r="Q4" s="799"/>
      <c r="R4" s="799"/>
    </row>
    <row r="5" spans="1:29" ht="15">
      <c r="A5" s="2442"/>
      <c r="B5" s="323" t="s">
        <v>2256</v>
      </c>
      <c r="C5" s="2468"/>
      <c r="D5" s="2465"/>
      <c r="E5" s="2469"/>
      <c r="F5" s="323" t="s">
        <v>2257</v>
      </c>
      <c r="G5" s="2470"/>
      <c r="H5" s="799"/>
      <c r="I5" s="799"/>
      <c r="J5" s="799"/>
      <c r="K5" s="799"/>
      <c r="L5" s="799"/>
      <c r="M5" s="799"/>
      <c r="N5" s="799"/>
      <c r="O5" s="799"/>
      <c r="P5" s="799"/>
      <c r="Q5" s="799"/>
      <c r="R5" s="799"/>
    </row>
    <row r="6" spans="1:29" ht="15">
      <c r="A6" s="2442"/>
      <c r="B6" s="323" t="s">
        <v>2258</v>
      </c>
      <c r="C6" s="2470"/>
      <c r="D6" s="2465"/>
      <c r="E6" s="2469"/>
      <c r="F6" s="323" t="s">
        <v>2259</v>
      </c>
      <c r="G6" s="2470"/>
      <c r="H6" s="799"/>
      <c r="I6" s="799"/>
      <c r="J6" s="799"/>
      <c r="K6" s="799"/>
      <c r="L6" s="799"/>
      <c r="M6" s="799"/>
      <c r="N6" s="799"/>
      <c r="O6" s="799"/>
      <c r="P6" s="799"/>
      <c r="Q6" s="799"/>
      <c r="R6" s="799"/>
    </row>
    <row r="7" spans="1:29" ht="16" thickBot="1">
      <c r="A7" s="2442"/>
      <c r="B7" s="323" t="s">
        <v>2257</v>
      </c>
      <c r="C7" s="2470"/>
      <c r="D7" s="2471"/>
      <c r="E7" s="2472"/>
      <c r="F7" s="2473" t="s">
        <v>2260</v>
      </c>
      <c r="G7" s="2474"/>
      <c r="H7" s="799"/>
      <c r="I7" s="799"/>
      <c r="J7" s="799"/>
      <c r="K7" s="799"/>
      <c r="L7" s="799"/>
      <c r="M7" s="799"/>
      <c r="N7" s="799"/>
      <c r="O7" s="799"/>
      <c r="P7" s="799"/>
      <c r="Q7" s="799"/>
      <c r="R7" s="799"/>
    </row>
    <row r="8" spans="1:29" ht="15">
      <c r="A8" s="2442"/>
      <c r="B8" s="323" t="s">
        <v>2259</v>
      </c>
      <c r="C8" s="2470"/>
      <c r="D8" s="2471"/>
      <c r="E8" s="2471"/>
      <c r="F8" s="2475"/>
      <c r="G8" s="2475"/>
      <c r="H8" s="799"/>
      <c r="I8" s="799"/>
      <c r="J8" s="799"/>
      <c r="K8" s="799"/>
      <c r="L8" s="799"/>
      <c r="M8" s="799"/>
      <c r="N8" s="799"/>
      <c r="O8" s="799"/>
      <c r="P8" s="799"/>
      <c r="Q8" s="799"/>
      <c r="R8" s="799"/>
    </row>
    <row r="9" spans="1:29" ht="15">
      <c r="A9" s="2442"/>
      <c r="B9" s="323" t="s">
        <v>2261</v>
      </c>
      <c r="C9" s="2468"/>
      <c r="D9" s="2465"/>
      <c r="E9" s="2471"/>
      <c r="F9" s="2475"/>
      <c r="G9" s="2475"/>
      <c r="H9" s="799"/>
      <c r="I9" s="799"/>
      <c r="J9" s="799"/>
      <c r="K9" s="799"/>
      <c r="L9" s="799"/>
      <c r="M9" s="799"/>
      <c r="N9" s="799"/>
      <c r="O9" s="799"/>
      <c r="P9" s="799"/>
      <c r="Q9" s="799"/>
      <c r="R9" s="799"/>
    </row>
    <row r="10" spans="1:29" s="2481" customFormat="1" ht="16"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2278</v>
      </c>
      <c r="B13" s="2484"/>
      <c r="C13" s="2484"/>
      <c r="D13" s="2482"/>
      <c r="E13" s="2484"/>
      <c r="F13" s="2484"/>
      <c r="G13" s="2484"/>
    </row>
    <row r="14" spans="1:29" ht="16" thickBot="1">
      <c r="A14" s="2494"/>
      <c r="B14" s="2494"/>
      <c r="C14" s="2495" t="s">
        <v>2263</v>
      </c>
      <c r="D14" s="2465"/>
      <c r="E14" s="2496"/>
      <c r="F14" s="2496"/>
      <c r="G14" s="2460" t="s">
        <v>2264</v>
      </c>
    </row>
    <row r="15" spans="1:29" ht="30">
      <c r="A15" s="2444" t="s">
        <v>2265</v>
      </c>
      <c r="B15" s="2497" t="s">
        <v>2252</v>
      </c>
      <c r="C15" s="2498">
        <f>C3</f>
        <v>0</v>
      </c>
      <c r="D15" s="2465"/>
      <c r="E15" s="2445" t="s">
        <v>2266</v>
      </c>
      <c r="F15" s="2497" t="s">
        <v>2267</v>
      </c>
      <c r="G15" s="2499">
        <f>G3</f>
        <v>0</v>
      </c>
    </row>
    <row r="16" spans="1:29" ht="15">
      <c r="A16" s="2446"/>
      <c r="B16" s="2500" t="s">
        <v>2254</v>
      </c>
      <c r="C16" s="2501">
        <f>C4</f>
        <v>0</v>
      </c>
      <c r="D16" s="2465"/>
      <c r="E16" s="2447"/>
      <c r="F16" s="2502" t="s">
        <v>2255</v>
      </c>
      <c r="G16" s="2503">
        <f>G4</f>
        <v>0</v>
      </c>
    </row>
    <row r="17" spans="1:18" ht="15">
      <c r="A17" s="2446"/>
      <c r="B17" s="2500" t="s">
        <v>2256</v>
      </c>
      <c r="C17" s="2501">
        <f>C5</f>
        <v>0</v>
      </c>
      <c r="D17" s="2471"/>
      <c r="E17" s="2447"/>
      <c r="F17" s="2502" t="s">
        <v>2268</v>
      </c>
      <c r="G17" s="2504"/>
    </row>
    <row r="18" spans="1:18" ht="15">
      <c r="A18" s="2446"/>
      <c r="B18" s="2502" t="s">
        <v>2258</v>
      </c>
      <c r="C18" s="2503">
        <f>C6</f>
        <v>0</v>
      </c>
      <c r="D18" s="2471"/>
      <c r="E18" s="2447"/>
      <c r="F18" s="2502" t="s">
        <v>2260</v>
      </c>
      <c r="G18" s="2503">
        <f>G7</f>
        <v>0</v>
      </c>
    </row>
    <row r="19" spans="1:18" ht="15">
      <c r="A19" s="2446"/>
      <c r="B19" s="2502" t="s">
        <v>2269</v>
      </c>
      <c r="C19" s="2504"/>
      <c r="D19" s="2465"/>
      <c r="E19" s="2447"/>
      <c r="F19" s="323" t="s">
        <v>2257</v>
      </c>
      <c r="G19" s="2503">
        <f>G5</f>
        <v>0</v>
      </c>
    </row>
    <row r="20" spans="1:18" ht="15">
      <c r="A20" s="2446"/>
      <c r="B20" s="2502" t="s">
        <v>2270</v>
      </c>
      <c r="C20" s="2501">
        <f>C9</f>
        <v>0</v>
      </c>
      <c r="D20" s="2471"/>
      <c r="E20" s="2447"/>
      <c r="F20" s="323" t="s">
        <v>2259</v>
      </c>
      <c r="G20" s="2503">
        <f>G6</f>
        <v>0</v>
      </c>
    </row>
    <row r="21" spans="1:18" ht="15">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6"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6"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baseColWidth="10" defaultColWidth="9" defaultRowHeight="14"/>
  <cols>
    <col min="1" max="1" width="25" style="2513" customWidth="1"/>
    <col min="2" max="9" width="15.6640625" style="2513" customWidth="1"/>
    <col min="10" max="16384" width="9" style="2513"/>
  </cols>
  <sheetData>
    <row r="1" spans="1:11" ht="18">
      <c r="A1" s="2512" t="s">
        <v>665</v>
      </c>
      <c r="B1" s="2512">
        <f>SUM(B14:B23)</f>
        <v>0</v>
      </c>
      <c r="C1" s="2686"/>
      <c r="D1" s="2686"/>
      <c r="E1" s="2686"/>
      <c r="F1" s="2686"/>
      <c r="G1" s="2687"/>
      <c r="H1" s="2688"/>
      <c r="I1" s="2688"/>
      <c r="J1" s="2688"/>
      <c r="K1" s="2688"/>
    </row>
    <row r="2" spans="1:11" ht="18">
      <c r="A2" s="2512" t="s">
        <v>653</v>
      </c>
      <c r="B2" s="2512">
        <f>SUM(C14:C23)</f>
        <v>0</v>
      </c>
      <c r="C2" s="2686"/>
      <c r="D2" s="2686"/>
      <c r="E2" s="2686"/>
      <c r="F2" s="2686"/>
      <c r="G2" s="2687"/>
      <c r="H2" s="2688"/>
      <c r="I2" s="2688"/>
      <c r="J2" s="2688"/>
      <c r="K2" s="2688"/>
    </row>
    <row r="3" spans="1:11" ht="18">
      <c r="A3" s="2512" t="s">
        <v>662</v>
      </c>
      <c r="B3" s="2514">
        <f>项目基本情况!D3</f>
        <v>44916</v>
      </c>
      <c r="C3" s="2686"/>
      <c r="D3" s="2686"/>
      <c r="E3" s="2686"/>
      <c r="F3" s="2686"/>
      <c r="G3" s="2687"/>
      <c r="H3" s="2688"/>
      <c r="I3" s="2688"/>
      <c r="J3" s="2688"/>
      <c r="K3" s="2688"/>
    </row>
    <row r="4" spans="1:11" ht="36">
      <c r="A4" s="2512" t="s">
        <v>661</v>
      </c>
      <c r="B4" s="2512" t="s">
        <v>660</v>
      </c>
      <c r="C4" s="2512" t="s">
        <v>659</v>
      </c>
      <c r="D4" s="2512" t="s">
        <v>658</v>
      </c>
      <c r="E4" s="2686"/>
      <c r="F4" s="2687"/>
      <c r="G4" s="2687"/>
      <c r="H4" s="2688"/>
      <c r="I4" s="2688"/>
      <c r="J4" s="2688"/>
      <c r="K4" s="2688"/>
    </row>
    <row r="5" spans="1:11" ht="18">
      <c r="A5" s="2512" t="s">
        <v>657</v>
      </c>
      <c r="B5" s="2512">
        <f>SUM(D14:D23)</f>
        <v>0</v>
      </c>
      <c r="C5" s="2512" t="e">
        <f>ROUND(B5*10000/$B$1,0)</f>
        <v>#DIV/0!</v>
      </c>
      <c r="D5" s="2512" t="e">
        <f>ROUND(B5*10000/$B$2,0)</f>
        <v>#DIV/0!</v>
      </c>
      <c r="E5" s="2686"/>
      <c r="F5" s="2687"/>
      <c r="G5" s="2687"/>
      <c r="H5" s="2688"/>
      <c r="I5" s="2688"/>
      <c r="J5" s="2688"/>
      <c r="K5" s="2688"/>
    </row>
    <row r="6" spans="1:11" ht="18">
      <c r="A6" s="2512" t="s">
        <v>656</v>
      </c>
      <c r="B6" s="2512">
        <f>SUM(G14:G23)</f>
        <v>0</v>
      </c>
      <c r="C6" s="2512" t="e">
        <f>ROUND(B6*10000/$B$1,0)</f>
        <v>#DIV/0!</v>
      </c>
      <c r="D6" s="2512" t="e">
        <f>ROUND(B6*10000/$B$2,0)</f>
        <v>#DIV/0!</v>
      </c>
      <c r="E6" s="2686"/>
      <c r="F6" s="2687"/>
      <c r="G6" s="2687"/>
      <c r="H6" s="2688"/>
      <c r="I6" s="2688"/>
      <c r="J6" s="2688"/>
      <c r="K6" s="2688"/>
    </row>
    <row r="7" spans="1:11" ht="18">
      <c r="A7" s="2512" t="s">
        <v>664</v>
      </c>
      <c r="B7" s="2512">
        <f>SUM(H14:H23)</f>
        <v>0</v>
      </c>
      <c r="C7" s="2512" t="e">
        <f>ROUND(B7*10000/$B$1,0)</f>
        <v>#DIV/0!</v>
      </c>
      <c r="D7" s="2512" t="e">
        <f>ROUND(B7*10000/$B$2,0)</f>
        <v>#DIV/0!</v>
      </c>
      <c r="E7" s="2686"/>
      <c r="F7" s="2687"/>
      <c r="G7" s="2687"/>
      <c r="H7" s="2688"/>
      <c r="I7" s="2688"/>
      <c r="J7" s="2688"/>
      <c r="K7" s="2688"/>
    </row>
    <row r="8" spans="1:11" ht="18">
      <c r="A8" s="2512" t="s">
        <v>587</v>
      </c>
      <c r="B8" s="2512">
        <f>SUM(I14:I23)</f>
        <v>0</v>
      </c>
      <c r="C8" s="2512" t="e">
        <f>ROUND(B8*10000/$B$1,0)</f>
        <v>#DIV/0!</v>
      </c>
      <c r="D8" s="2512" t="e">
        <f>ROUND(B8*10000/$B$2,0)</f>
        <v>#DIV/0!</v>
      </c>
      <c r="E8" s="2686"/>
      <c r="F8" s="2687"/>
      <c r="G8" s="2687"/>
      <c r="H8" s="2688"/>
      <c r="I8" s="2688"/>
      <c r="J8" s="2688"/>
      <c r="K8" s="2688"/>
    </row>
    <row r="9" spans="1:11" ht="18">
      <c r="A9" s="2512" t="s">
        <v>655</v>
      </c>
      <c r="B9" s="2520"/>
      <c r="C9" s="2686"/>
      <c r="D9" s="2686"/>
      <c r="E9" s="2686"/>
      <c r="F9" s="2687"/>
      <c r="G9" s="2687"/>
      <c r="H9" s="2688"/>
      <c r="I9" s="2688"/>
      <c r="J9" s="2688"/>
      <c r="K9" s="2688"/>
    </row>
    <row r="10" spans="1:11" ht="18">
      <c r="A10" s="2512" t="s">
        <v>654</v>
      </c>
      <c r="B10" s="2520">
        <f>ROUND(B1*(E10*365/G10)/10000,0)</f>
        <v>0</v>
      </c>
      <c r="C10" s="3444" t="s">
        <v>3358</v>
      </c>
      <c r="D10" s="3444" t="s">
        <v>3359</v>
      </c>
      <c r="E10" s="3444">
        <v>5</v>
      </c>
      <c r="F10" s="3445" t="s">
        <v>3360</v>
      </c>
      <c r="G10" s="3446">
        <v>0.06</v>
      </c>
      <c r="H10" s="2688"/>
      <c r="I10" s="2688"/>
      <c r="J10" s="2688"/>
      <c r="K10" s="2688"/>
    </row>
    <row r="11" spans="1:11" ht="18">
      <c r="A11" s="2512" t="s">
        <v>670</v>
      </c>
      <c r="B11" s="2520"/>
      <c r="C11" s="2686"/>
      <c r="D11" s="2686"/>
      <c r="E11" s="2686"/>
      <c r="F11" s="2687"/>
      <c r="G11" s="2687"/>
      <c r="H11" s="2688"/>
      <c r="I11" s="2688"/>
      <c r="J11" s="2688"/>
      <c r="K11" s="2688"/>
    </row>
    <row r="12" spans="1:11" ht="17">
      <c r="A12" s="2686"/>
      <c r="B12" s="2686"/>
      <c r="C12" s="2686"/>
      <c r="D12" s="2686"/>
      <c r="E12" s="2686"/>
      <c r="F12" s="2687"/>
      <c r="G12" s="2687"/>
      <c r="H12" s="2688"/>
      <c r="I12" s="2688"/>
      <c r="J12" s="2688"/>
      <c r="K12" s="2688"/>
    </row>
    <row r="13" spans="1:11" ht="36">
      <c r="A13" s="2515" t="s">
        <v>669</v>
      </c>
      <c r="B13" s="2516" t="s">
        <v>666</v>
      </c>
      <c r="C13" s="2516" t="s">
        <v>668</v>
      </c>
      <c r="D13" s="2516" t="s">
        <v>667</v>
      </c>
      <c r="E13" s="2512" t="s">
        <v>659</v>
      </c>
      <c r="F13" s="2512" t="s">
        <v>658</v>
      </c>
      <c r="G13" s="2516" t="s">
        <v>652</v>
      </c>
      <c r="H13" s="2516" t="s">
        <v>663</v>
      </c>
      <c r="I13" s="2516" t="s">
        <v>651</v>
      </c>
      <c r="J13" s="2687"/>
      <c r="K13" s="2688"/>
    </row>
    <row r="14" spans="1:11" ht="17">
      <c r="A14" s="2517" t="s">
        <v>650</v>
      </c>
      <c r="B14" s="2518"/>
      <c r="C14" s="2518"/>
      <c r="D14" s="2518"/>
      <c r="E14" s="2518" t="e">
        <f>ROUND(D14*10000/B14,0)</f>
        <v>#DIV/0!</v>
      </c>
      <c r="F14" s="2518" t="e">
        <f>ROUND(D14*10000/C14,0)</f>
        <v>#DIV/0!</v>
      </c>
      <c r="G14" s="2518"/>
      <c r="H14" s="2518"/>
      <c r="I14" s="2518"/>
      <c r="J14" s="2687"/>
      <c r="K14" s="2688"/>
    </row>
    <row r="15" spans="1:11" ht="17">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7">
      <c r="A16" s="2517" t="s">
        <v>648</v>
      </c>
      <c r="B16" s="2519"/>
      <c r="C16" s="2519"/>
      <c r="D16" s="2519"/>
      <c r="E16" s="2518" t="e">
        <f t="shared" si="0"/>
        <v>#DIV/0!</v>
      </c>
      <c r="F16" s="2518" t="e">
        <f t="shared" si="1"/>
        <v>#DIV/0!</v>
      </c>
      <c r="G16" s="1331"/>
      <c r="H16" s="1331"/>
      <c r="I16" s="2519"/>
      <c r="J16" s="2688"/>
      <c r="K16" s="2688"/>
    </row>
    <row r="17" spans="1:11" ht="17">
      <c r="A17" s="2517" t="s">
        <v>647</v>
      </c>
      <c r="B17" s="2519"/>
      <c r="C17" s="2519"/>
      <c r="D17" s="2519"/>
      <c r="E17" s="2518" t="e">
        <f t="shared" si="0"/>
        <v>#DIV/0!</v>
      </c>
      <c r="F17" s="2518" t="e">
        <f t="shared" si="1"/>
        <v>#DIV/0!</v>
      </c>
      <c r="G17" s="1331"/>
      <c r="H17" s="1331"/>
      <c r="I17" s="2519"/>
      <c r="J17" s="2688"/>
      <c r="K17" s="2688"/>
    </row>
    <row r="18" spans="1:11" ht="17">
      <c r="A18" s="2517" t="s">
        <v>646</v>
      </c>
      <c r="B18" s="2519"/>
      <c r="C18" s="2519"/>
      <c r="D18" s="2519"/>
      <c r="E18" s="2518" t="e">
        <f t="shared" si="0"/>
        <v>#DIV/0!</v>
      </c>
      <c r="F18" s="2518" t="e">
        <f t="shared" si="1"/>
        <v>#DIV/0!</v>
      </c>
      <c r="G18" s="2519"/>
      <c r="H18" s="2519"/>
      <c r="I18" s="2519"/>
      <c r="J18" s="2688"/>
      <c r="K18" s="2688"/>
    </row>
    <row r="19" spans="1:11" ht="17">
      <c r="A19" s="2517" t="s">
        <v>645</v>
      </c>
      <c r="B19" s="2519"/>
      <c r="C19" s="2519"/>
      <c r="D19" s="2519"/>
      <c r="E19" s="2518" t="e">
        <f t="shared" si="0"/>
        <v>#DIV/0!</v>
      </c>
      <c r="F19" s="2518" t="e">
        <f t="shared" si="1"/>
        <v>#DIV/0!</v>
      </c>
      <c r="G19" s="2519"/>
      <c r="H19" s="2519"/>
      <c r="I19" s="2519"/>
      <c r="J19" s="2688"/>
      <c r="K19" s="2688"/>
    </row>
    <row r="20" spans="1:11" ht="17">
      <c r="A20" s="2517" t="s">
        <v>644</v>
      </c>
      <c r="B20" s="2519"/>
      <c r="C20" s="2519"/>
      <c r="D20" s="2519"/>
      <c r="E20" s="2518" t="e">
        <f t="shared" si="0"/>
        <v>#DIV/0!</v>
      </c>
      <c r="F20" s="2518" t="e">
        <f t="shared" si="1"/>
        <v>#DIV/0!</v>
      </c>
      <c r="G20" s="2519"/>
      <c r="H20" s="2519"/>
      <c r="I20" s="2519"/>
      <c r="J20" s="2688"/>
      <c r="K20" s="2688"/>
    </row>
    <row r="21" spans="1:11" ht="17">
      <c r="A21" s="2517" t="s">
        <v>643</v>
      </c>
      <c r="B21" s="2519"/>
      <c r="C21" s="2519"/>
      <c r="D21" s="2519"/>
      <c r="E21" s="2518" t="e">
        <f t="shared" si="0"/>
        <v>#DIV/0!</v>
      </c>
      <c r="F21" s="2518" t="e">
        <f t="shared" si="1"/>
        <v>#DIV/0!</v>
      </c>
      <c r="G21" s="2519"/>
      <c r="H21" s="2519"/>
      <c r="I21" s="2519"/>
      <c r="J21" s="2688"/>
      <c r="K21" s="2688"/>
    </row>
    <row r="22" spans="1:11" ht="17">
      <c r="A22" s="2517" t="s">
        <v>642</v>
      </c>
      <c r="B22" s="2519"/>
      <c r="C22" s="2519"/>
      <c r="D22" s="2519"/>
      <c r="E22" s="2518" t="e">
        <f t="shared" si="0"/>
        <v>#DIV/0!</v>
      </c>
      <c r="F22" s="2518" t="e">
        <f t="shared" si="1"/>
        <v>#DIV/0!</v>
      </c>
      <c r="G22" s="2519"/>
      <c r="H22" s="2519"/>
      <c r="I22" s="2519"/>
      <c r="J22" s="2688"/>
      <c r="K22" s="2688"/>
    </row>
    <row r="23" spans="1:11" ht="17">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F25" sqref="F25"/>
    </sheetView>
  </sheetViews>
  <sheetFormatPr baseColWidth="10"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640625" style="725" bestFit="1" customWidth="1"/>
    <col min="14" max="26" width="12.6640625" style="725"/>
    <col min="27" max="35" width="12.6640625" style="1752"/>
    <col min="36" max="16384" width="12.6640625" style="1753"/>
  </cols>
  <sheetData>
    <row r="1" spans="1:12" ht="21.75" customHeight="1" thickBot="1">
      <c r="A1" s="1637" t="s">
        <v>1262</v>
      </c>
      <c r="B1" s="1747"/>
      <c r="C1" s="1748" t="s">
        <v>3</v>
      </c>
      <c r="D1" s="1747"/>
      <c r="E1" s="1747"/>
      <c r="F1" s="1749" t="s">
        <v>1263</v>
      </c>
      <c r="G1" s="1561" t="s">
        <v>3398</v>
      </c>
      <c r="H1" s="1750" t="str">
        <f>IF(G1="现房","——","估价对象范围")</f>
        <v>——</v>
      </c>
      <c r="I1" s="1751" t="s">
        <v>3399</v>
      </c>
    </row>
    <row r="2" spans="1:12" ht="21.75" customHeight="1" thickBot="1">
      <c r="A2" s="3612" t="str">
        <f>项目基本情况!S2</f>
        <v>北京市房地产</v>
      </c>
      <c r="B2" s="3613"/>
      <c r="C2" s="3613"/>
      <c r="D2" s="3613"/>
      <c r="E2" s="3613"/>
      <c r="F2" s="3613"/>
      <c r="G2" s="3613"/>
      <c r="H2" s="3613"/>
      <c r="I2" s="3614"/>
    </row>
    <row r="3" spans="1:12" ht="14">
      <c r="A3" s="3616" t="s">
        <v>1264</v>
      </c>
      <c r="B3" s="3617"/>
      <c r="C3" s="3617"/>
      <c r="D3" s="3617"/>
      <c r="E3" s="3617"/>
      <c r="F3" s="3617"/>
      <c r="G3" s="3617"/>
      <c r="H3" s="3617"/>
      <c r="I3" s="3617"/>
    </row>
    <row r="4" spans="1:12" ht="15">
      <c r="A4" s="1754" t="s">
        <v>1265</v>
      </c>
      <c r="B4" s="1755" t="s">
        <v>1266</v>
      </c>
      <c r="C4" s="1756" t="s">
        <v>3400</v>
      </c>
      <c r="D4" s="1756" t="s">
        <v>3377</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4">
      <c r="A5" s="3560" t="s">
        <v>1268</v>
      </c>
      <c r="B5" s="3615">
        <v>25</v>
      </c>
      <c r="C5" s="3618"/>
      <c r="D5" s="3606"/>
      <c r="E5" s="131" t="s">
        <v>1269</v>
      </c>
      <c r="F5" s="1757"/>
      <c r="G5" s="1757"/>
      <c r="H5" s="1757"/>
      <c r="I5" s="1373"/>
    </row>
    <row r="6" spans="1:12" ht="14">
      <c r="A6" s="3560"/>
      <c r="B6" s="3615"/>
      <c r="C6" s="3620"/>
      <c r="D6" s="3606"/>
      <c r="E6" s="131" t="s">
        <v>1270</v>
      </c>
      <c r="F6" s="1757"/>
      <c r="G6" s="1757"/>
      <c r="H6" s="1757"/>
      <c r="I6" s="1373"/>
    </row>
    <row r="7" spans="1:12" ht="14">
      <c r="A7" s="3560"/>
      <c r="B7" s="3615"/>
      <c r="C7" s="3619"/>
      <c r="D7" s="3606"/>
      <c r="E7" s="131" t="s">
        <v>1271</v>
      </c>
      <c r="F7" s="1757"/>
      <c r="G7" s="1757"/>
      <c r="H7" s="1757"/>
      <c r="I7" s="1373"/>
    </row>
    <row r="8" spans="1:12" ht="14">
      <c r="A8" s="3560" t="s">
        <v>1272</v>
      </c>
      <c r="B8" s="3615">
        <v>15</v>
      </c>
      <c r="C8" s="3618"/>
      <c r="D8" s="3606"/>
      <c r="E8" s="131" t="s">
        <v>1273</v>
      </c>
      <c r="F8" s="1757"/>
      <c r="G8" s="1757"/>
      <c r="H8" s="1757"/>
      <c r="I8" s="1373"/>
    </row>
    <row r="9" spans="1:12" ht="14">
      <c r="A9" s="3560"/>
      <c r="B9" s="3615"/>
      <c r="C9" s="3619"/>
      <c r="D9" s="3606"/>
      <c r="E9" s="131" t="s">
        <v>1274</v>
      </c>
      <c r="F9" s="1757"/>
      <c r="G9" s="1757"/>
      <c r="H9" s="1757"/>
      <c r="I9" s="1373"/>
    </row>
    <row r="10" spans="1:12" ht="14">
      <c r="A10" s="3560" t="s">
        <v>1275</v>
      </c>
      <c r="B10" s="3615">
        <v>15</v>
      </c>
      <c r="C10" s="3618"/>
      <c r="D10" s="3606"/>
      <c r="E10" s="131" t="s">
        <v>1276</v>
      </c>
      <c r="F10" s="1757"/>
      <c r="G10" s="1757"/>
      <c r="H10" s="1757"/>
      <c r="I10" s="1373"/>
    </row>
    <row r="11" spans="1:12" ht="14">
      <c r="A11" s="3560"/>
      <c r="B11" s="3615"/>
      <c r="C11" s="3619"/>
      <c r="D11" s="3606"/>
      <c r="E11" s="131" t="s">
        <v>1277</v>
      </c>
      <c r="F11" s="1757"/>
      <c r="G11" s="1757"/>
      <c r="H11" s="1757"/>
      <c r="I11" s="1373"/>
    </row>
    <row r="12" spans="1:12" ht="14">
      <c r="A12" s="3560" t="s">
        <v>1278</v>
      </c>
      <c r="B12" s="3615">
        <v>15</v>
      </c>
      <c r="C12" s="3618"/>
      <c r="D12" s="3606"/>
      <c r="E12" s="131" t="s">
        <v>1279</v>
      </c>
      <c r="F12" s="1757"/>
      <c r="G12" s="1757"/>
      <c r="H12" s="1757"/>
      <c r="I12" s="1373"/>
    </row>
    <row r="13" spans="1:12" ht="14">
      <c r="A13" s="3560"/>
      <c r="B13" s="3615"/>
      <c r="C13" s="3619"/>
      <c r="D13" s="3606"/>
      <c r="E13" s="131" t="s">
        <v>1280</v>
      </c>
      <c r="F13" s="1757"/>
      <c r="G13" s="1757"/>
      <c r="H13" s="1757"/>
      <c r="I13" s="1373"/>
    </row>
    <row r="14" spans="1:12" ht="14">
      <c r="A14" s="3560" t="s">
        <v>1281</v>
      </c>
      <c r="B14" s="3615">
        <v>30</v>
      </c>
      <c r="C14" s="3618">
        <v>45</v>
      </c>
      <c r="D14" s="3606">
        <v>55</v>
      </c>
      <c r="E14" s="131" t="s">
        <v>1282</v>
      </c>
      <c r="F14" s="1757"/>
      <c r="G14" s="1757"/>
      <c r="H14" s="1757"/>
      <c r="I14" s="1373"/>
    </row>
    <row r="15" spans="1:12" ht="14">
      <c r="A15" s="3560"/>
      <c r="B15" s="3615"/>
      <c r="C15" s="3620"/>
      <c r="D15" s="3606"/>
      <c r="E15" s="131" t="s">
        <v>1283</v>
      </c>
      <c r="F15" s="1757"/>
      <c r="G15" s="1757"/>
      <c r="H15" s="1757"/>
      <c r="I15" s="1373"/>
    </row>
    <row r="16" spans="1:12" ht="14">
      <c r="A16" s="3560"/>
      <c r="B16" s="3615"/>
      <c r="C16" s="3619"/>
      <c r="D16" s="3606"/>
      <c r="E16" s="131" t="s">
        <v>1284</v>
      </c>
      <c r="F16" s="1757"/>
      <c r="G16" s="1757"/>
      <c r="H16" s="1757"/>
      <c r="I16" s="1373"/>
    </row>
    <row r="17" spans="1:36" ht="14">
      <c r="A17" s="1758" t="s">
        <v>1285</v>
      </c>
      <c r="B17" s="56"/>
      <c r="C17" s="132">
        <f>SUM(C5:C16)</f>
        <v>45</v>
      </c>
      <c r="D17" s="132">
        <f>SUM(D5:D16)</f>
        <v>55</v>
      </c>
      <c r="E17" s="129"/>
      <c r="F17" s="129"/>
      <c r="G17" s="129"/>
      <c r="H17" s="129"/>
      <c r="I17" s="129"/>
      <c r="K17" s="302"/>
      <c r="L17" s="302" t="s">
        <v>1286</v>
      </c>
      <c r="M17" s="302" t="s">
        <v>1287</v>
      </c>
    </row>
    <row r="18" spans="1:36" ht="32" customHeight="1" thickBot="1">
      <c r="A18" s="1759" t="s">
        <v>1288</v>
      </c>
      <c r="B18" s="1760"/>
      <c r="C18" s="133">
        <f>ROUND(C17/SUM(C17:D17),2)</f>
        <v>0.45</v>
      </c>
      <c r="D18" s="133">
        <f>1-C18</f>
        <v>0.55000000000000004</v>
      </c>
      <c r="E18" s="3637" t="s">
        <v>2131</v>
      </c>
      <c r="F18" s="3638"/>
      <c r="G18" s="3638"/>
      <c r="H18" s="3638"/>
      <c r="I18" s="3638"/>
      <c r="K18" s="302" t="s">
        <v>1289</v>
      </c>
      <c r="L18" s="302">
        <f>IF(C1="",'数据-汇总表'!E3,SUMIF(项目类型,C1,'数据-汇总表'!E17:E26)+SUMIF(项目类型,C1,'数据-汇总表'!I17:I26))</f>
        <v>25739.82</v>
      </c>
      <c r="M18" s="302">
        <f>IF(C1="",'数据-汇总表'!E3,SUMIF(项目类型,C1,'数据-汇总表'!E17:E26))</f>
        <v>25739.82</v>
      </c>
    </row>
    <row r="19" spans="1:36" ht="14">
      <c r="A19" s="1761" t="s">
        <v>1290</v>
      </c>
      <c r="B19" s="1762" t="s">
        <v>1291</v>
      </c>
      <c r="C19" s="134">
        <f ca="1">SUMIF(INDIRECT("'"&amp;C4&amp;"'"&amp;"!A:A"),结果表!B19,INDIRECT("'"&amp;C4&amp;"'"&amp;"!B:B"))</f>
        <v>16076</v>
      </c>
      <c r="D19" s="135">
        <f ca="1">SUMIF(INDIRECT("'"&amp;D4&amp;"'"&amp;"!A:A"),结果表!B19,INDIRECT("'"&amp;D4&amp;"'"&amp;"!B:B"))</f>
        <v>8432</v>
      </c>
      <c r="E19" s="1761" t="s">
        <v>1292</v>
      </c>
      <c r="F19" s="1762" t="s">
        <v>1291</v>
      </c>
      <c r="G19" s="136">
        <f ca="1">ROUND(C19*$C$18+D19*$D$18,0)</f>
        <v>11872</v>
      </c>
      <c r="H19" s="1763" t="s">
        <v>1293</v>
      </c>
      <c r="I19" s="129"/>
      <c r="K19" s="302" t="s">
        <v>1294</v>
      </c>
      <c r="L19" s="302">
        <f>IF(C1="",'数据-汇总表'!D3,SUMIF(项目类型,C1,'数据-汇总表'!D17:D26)+SUMIF(项目类型,C1,'数据-汇总表'!H17:H27))</f>
        <v>74231.63</v>
      </c>
      <c r="M19" s="302">
        <f>IF(C1="",'数据-汇总表'!D3,SUMIF(项目类型,C1,'数据-汇总表'!D17:D26))</f>
        <v>74231.63</v>
      </c>
    </row>
    <row r="20" spans="1:36" ht="14">
      <c r="A20" s="1764"/>
      <c r="B20" s="1026" t="s">
        <v>1295</v>
      </c>
      <c r="C20" s="137">
        <f ca="1">SUMIF(INDIRECT("'"&amp;C4&amp;"'"&amp;"!A:A"),结果表!B20,INDIRECT("'"&amp;C4&amp;"'"&amp;"!B:B"))</f>
        <v>6246</v>
      </c>
      <c r="D20" s="138">
        <f ca="1">SUMIF(INDIRECT("'"&amp;D4&amp;"'"&amp;"!A:A"),结果表!B20,INDIRECT("'"&amp;D4&amp;"'"&amp;"!B:B"))</f>
        <v>3276</v>
      </c>
      <c r="E20" s="1764"/>
      <c r="F20" s="1026" t="s">
        <v>1295</v>
      </c>
      <c r="G20" s="139">
        <f ca="1">ROUND(C20*$C$18+D20*$D$18,0)</f>
        <v>4613</v>
      </c>
      <c r="H20" s="808" t="s">
        <v>1296</v>
      </c>
      <c r="I20" s="129"/>
    </row>
    <row r="21" spans="1:36" ht="15" customHeight="1" thickBot="1">
      <c r="A21" s="828"/>
      <c r="B21" s="1765" t="s">
        <v>1297</v>
      </c>
      <c r="C21" s="719">
        <f ca="1">ROUND(C19*10000/L19,0)</f>
        <v>2166</v>
      </c>
      <c r="D21" s="720">
        <f ca="1">ROUND(D19*10000/L19,0)</f>
        <v>1136</v>
      </c>
      <c r="E21" s="828"/>
      <c r="F21" s="1765" t="s">
        <v>1297</v>
      </c>
      <c r="G21" s="140">
        <f ca="1">ROUND(G19*10000/L19,0)</f>
        <v>1599</v>
      </c>
      <c r="H21" s="1766" t="s">
        <v>1296</v>
      </c>
      <c r="I21" s="129"/>
    </row>
    <row r="22" spans="1:36" ht="15" thickBot="1">
      <c r="A22" s="1688" t="s">
        <v>1298</v>
      </c>
      <c r="B22" s="1767"/>
      <c r="C22" s="1768"/>
      <c r="D22" s="721">
        <f ca="1">IF(C19&lt;D19,D19/C19-1,C19/D19-1)</f>
        <v>0.90654648956356731</v>
      </c>
      <c r="E22" s="129"/>
      <c r="F22" s="129"/>
      <c r="G22" s="129"/>
      <c r="H22" s="129"/>
      <c r="I22" s="129"/>
    </row>
    <row r="23" spans="1:36" ht="14" thickBot="1">
      <c r="A23" s="1747"/>
      <c r="B23" s="1747"/>
      <c r="C23" s="1747"/>
      <c r="D23" s="1747"/>
      <c r="E23" s="129"/>
      <c r="F23" s="129"/>
      <c r="G23" s="129"/>
      <c r="H23" s="129"/>
      <c r="I23" s="129"/>
    </row>
    <row r="24" spans="1:36" ht="14">
      <c r="A24" s="3630" t="s">
        <v>1299</v>
      </c>
      <c r="B24" s="1762" t="s">
        <v>1291</v>
      </c>
      <c r="C24" s="136">
        <f>IF(B30=0,0,D30)</f>
        <v>0</v>
      </c>
      <c r="D24" s="1769"/>
      <c r="E24" s="129"/>
      <c r="F24" s="129"/>
      <c r="G24" s="129"/>
      <c r="H24" s="129"/>
      <c r="I24" s="129"/>
    </row>
    <row r="25" spans="1:36" ht="14">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
      <c r="A27" s="1771"/>
      <c r="B27" s="142">
        <v>0</v>
      </c>
      <c r="C27" s="142">
        <v>0</v>
      </c>
      <c r="D27" s="143">
        <f>ROUND(C27*B27/10000,0)</f>
        <v>0</v>
      </c>
      <c r="E27" s="129"/>
      <c r="F27" s="129"/>
      <c r="G27" s="129"/>
      <c r="H27" s="129"/>
      <c r="I27" s="129"/>
    </row>
    <row r="28" spans="1:36" ht="14">
      <c r="A28" s="1771"/>
      <c r="B28" s="142"/>
      <c r="C28" s="142"/>
      <c r="D28" s="143"/>
      <c r="E28" s="129"/>
      <c r="F28" s="129"/>
      <c r="G28" s="129"/>
      <c r="H28" s="129"/>
      <c r="I28" s="129"/>
    </row>
    <row r="29" spans="1:36" ht="14">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 thickTop="1" thickBot="1">
      <c r="A32" s="1773" t="s">
        <v>1305</v>
      </c>
      <c r="B32" s="1774"/>
      <c r="C32" s="144">
        <f ca="1">IF(D32="总价",G19-C24,G20-C25)</f>
        <v>4613</v>
      </c>
      <c r="D32" s="1775"/>
      <c r="E32" s="129"/>
      <c r="F32" s="129"/>
      <c r="G32" s="129"/>
      <c r="H32" s="129"/>
      <c r="I32" s="129"/>
    </row>
    <row r="33" spans="1:15" ht="14">
      <c r="A33" s="786" t="s">
        <v>1306</v>
      </c>
      <c r="B33" s="1776"/>
      <c r="C33" s="1777"/>
      <c r="D33" s="1778"/>
      <c r="E33" s="1779" t="s">
        <v>1307</v>
      </c>
      <c r="F33" s="1780" t="str">
        <f>IF(D32="楼面单价","取值（单价）","取值（总价）")</f>
        <v>取值（总价）</v>
      </c>
      <c r="G33" s="129"/>
      <c r="H33" s="129"/>
      <c r="I33" s="129"/>
    </row>
    <row r="34" spans="1:15" ht="1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7" t="s">
        <v>1312</v>
      </c>
      <c r="B36" s="1787" t="s">
        <v>1313</v>
      </c>
      <c r="C36" s="145"/>
      <c r="D36" s="1788"/>
      <c r="E36" s="1789"/>
      <c r="F36" s="1790"/>
      <c r="G36" s="129"/>
      <c r="H36" s="129"/>
      <c r="I36" s="129"/>
    </row>
    <row r="37" spans="1:15" ht="15" thickBot="1">
      <c r="A37" s="3608"/>
      <c r="B37" s="1674" t="s">
        <v>1314</v>
      </c>
      <c r="C37" s="147"/>
      <c r="D37" s="1139"/>
      <c r="E37" s="1139"/>
      <c r="F37" s="1790"/>
      <c r="G37" s="129"/>
      <c r="H37" s="129"/>
      <c r="I37" s="129"/>
    </row>
    <row r="38" spans="1:15" ht="15" thickBot="1">
      <c r="A38" s="3609"/>
      <c r="B38" s="1791" t="s">
        <v>1315</v>
      </c>
      <c r="C38" s="674"/>
      <c r="D38" s="1792" t="s">
        <v>1316</v>
      </c>
      <c r="E38" s="1139"/>
      <c r="F38" s="1790"/>
      <c r="G38" s="129"/>
      <c r="H38" s="129"/>
      <c r="I38" s="129"/>
    </row>
    <row r="39" spans="1:15" ht="14">
      <c r="A39" s="1764" t="s">
        <v>1317</v>
      </c>
      <c r="B39" s="1793" t="s">
        <v>1318</v>
      </c>
      <c r="C39" s="1794" t="s">
        <v>1319</v>
      </c>
      <c r="D39" s="1794" t="s">
        <v>1320</v>
      </c>
      <c r="E39" s="1795" t="s">
        <v>1321</v>
      </c>
      <c r="F39" s="1790"/>
      <c r="G39" s="129"/>
      <c r="H39" s="129"/>
      <c r="I39" s="129"/>
    </row>
    <row r="40" spans="1:15" ht="14">
      <c r="A40" s="1796" t="s">
        <v>1322</v>
      </c>
      <c r="B40" s="149"/>
      <c r="C40" s="150"/>
      <c r="D40" s="150"/>
      <c r="E40" s="151"/>
      <c r="F40" s="1790"/>
      <c r="G40" s="129"/>
      <c r="H40" s="129"/>
      <c r="I40" s="129"/>
    </row>
    <row r="41" spans="1:15" ht="14">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3">
      <c r="A43" s="1577"/>
      <c r="B43" s="1577"/>
      <c r="C43" s="1577"/>
      <c r="D43" s="1577"/>
      <c r="E43" s="1577"/>
      <c r="F43" s="1798"/>
      <c r="G43" s="1798"/>
      <c r="H43" s="1798"/>
      <c r="I43" s="1799"/>
    </row>
    <row r="44" spans="1:15" ht="18">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t="e">
        <f ca="1">ROUND(H101*F45,0)</f>
        <v>#REF!</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44916</v>
      </c>
      <c r="N47" s="3550"/>
      <c r="O47" s="3550"/>
    </row>
    <row r="48" spans="1:15" ht="30">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8" t="s">
        <v>1340</v>
      </c>
      <c r="L48" s="3548"/>
      <c r="M48" s="3551" t="e">
        <f ca="1">H101</f>
        <v>#REF!</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房地产抵押价值</v>
      </c>
      <c r="L49" s="3548"/>
      <c r="M49" s="3551" t="str">
        <f ca="1">IF(项目基本情况!E8="房地产抵押价值",H107,H109)</f>
        <v>——</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t="e">
        <f ca="1">ROUND(D45*'数据-取费表'!B41/(1+'数据-取费表'!C42),0)</f>
        <v>#REF!</v>
      </c>
      <c r="E52" s="2334" t="s">
        <v>1354</v>
      </c>
      <c r="F52" s="2554">
        <f>'数据-取费表'!B41</f>
        <v>5.5000000000000007E-2</v>
      </c>
      <c r="G52" s="2555"/>
      <c r="H52" s="2544"/>
      <c r="I52" s="1807"/>
      <c r="J52" s="2523">
        <v>1</v>
      </c>
      <c r="K52" s="3573" t="s">
        <v>1355</v>
      </c>
      <c r="L52" s="3573"/>
      <c r="M52" s="2525" t="b">
        <f>D48</f>
        <v>0</v>
      </c>
      <c r="N52" s="2523" t="str">
        <f>E48</f>
        <v>销售额×税（费）率</v>
      </c>
      <c r="O52" s="2526">
        <f>F48</f>
        <v>5.5000000000000007E-2</v>
      </c>
    </row>
    <row r="53" spans="1:35" ht="12" customHeight="1">
      <c r="A53" s="2335" t="s">
        <v>1356</v>
      </c>
      <c r="B53" s="3597" t="s">
        <v>2282</v>
      </c>
      <c r="C53" s="3598"/>
      <c r="D53" s="1087" t="e">
        <f ca="1">ROUND(D45*'数据-取费表'!B41/(1+'数据-取费表'!C42),0)</f>
        <v>#REF!</v>
      </c>
      <c r="E53" s="2334" t="s">
        <v>1354</v>
      </c>
      <c r="F53" s="2554">
        <f>'数据-取费表'!B41</f>
        <v>5.5000000000000007E-2</v>
      </c>
      <c r="G53" s="2555"/>
      <c r="H53" s="2544"/>
      <c r="I53" s="1807"/>
      <c r="J53" s="2523">
        <v>2</v>
      </c>
      <c r="K53" s="3573" t="s">
        <v>1357</v>
      </c>
      <c r="L53" s="3573"/>
      <c r="M53" s="2525" t="e">
        <f t="shared" ref="M53:O54" ca="1" si="0">D55</f>
        <v>#REF!</v>
      </c>
      <c r="N53" s="2523" t="str">
        <f t="shared" si="0"/>
        <v>销售额×税（费）率</v>
      </c>
      <c r="O53" s="2526" t="str">
        <f t="shared" si="0"/>
        <v>免征</v>
      </c>
    </row>
    <row r="54" spans="1:35" ht="12" customHeight="1">
      <c r="A54" s="2335" t="s">
        <v>1358</v>
      </c>
      <c r="B54" s="3597" t="s">
        <v>2283</v>
      </c>
      <c r="C54" s="3598"/>
      <c r="D54" s="1087" t="e">
        <f ca="1">C68</f>
        <v>#REF!</v>
      </c>
      <c r="E54" s="327" t="s">
        <v>1359</v>
      </c>
      <c r="F54" s="2554">
        <f>'数据-取费表'!B41</f>
        <v>5.5000000000000007E-2</v>
      </c>
      <c r="G54" s="2555"/>
      <c r="H54" s="2556"/>
      <c r="I54" s="1807"/>
      <c r="J54" s="2523">
        <v>3</v>
      </c>
      <c r="K54" s="3573" t="s">
        <v>1360</v>
      </c>
      <c r="L54" s="3573"/>
      <c r="M54" s="2525" t="e">
        <f t="shared" ca="1" si="0"/>
        <v>#REF!</v>
      </c>
      <c r="N54" s="2523" t="str">
        <f t="shared" si="0"/>
        <v>增值额×税（费）率</v>
      </c>
      <c r="O54" s="2527" t="str">
        <f t="shared" si="0"/>
        <v>免征</v>
      </c>
    </row>
    <row r="55" spans="1:35" ht="24" customHeight="1">
      <c r="A55" s="3633" t="s">
        <v>1361</v>
      </c>
      <c r="B55" s="3611"/>
      <c r="C55" s="3611"/>
      <c r="D55" s="2324" t="e">
        <f ca="1">IF(H55="个人住宅",0,ROUND(D45*I55,0))</f>
        <v>#REF!</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t="e">
        <f ca="1">D59</f>
        <v>#REF!</v>
      </c>
      <c r="N55" s="2040" t="str">
        <f>E59</f>
        <v>差额计税</v>
      </c>
      <c r="O55" s="2529">
        <f>F59</f>
        <v>0.01</v>
      </c>
    </row>
    <row r="56" spans="1:35" ht="30">
      <c r="A56" s="3633" t="s">
        <v>1363</v>
      </c>
      <c r="B56" s="3611"/>
      <c r="C56" s="3611"/>
      <c r="D56" s="2324" t="e">
        <f ca="1">IF(H56="个人住宅",D57,D58)</f>
        <v>#REF!</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0</v>
      </c>
      <c r="O57" s="2533"/>
      <c r="P57" s="2690" t="e">
        <f ca="1">N57/M49</f>
        <v>#VALUE!</v>
      </c>
    </row>
    <row r="58" spans="1:35" ht="30">
      <c r="A58" s="2335" t="s">
        <v>1352</v>
      </c>
      <c r="B58" s="3597" t="s">
        <v>1369</v>
      </c>
      <c r="C58" s="3596"/>
      <c r="D58" s="2324" t="e">
        <f ca="1">IF(H58="转让取得",C81,C97)</f>
        <v>#REF!</v>
      </c>
      <c r="E58" s="2334" t="s">
        <v>1364</v>
      </c>
      <c r="F58" s="302" t="s">
        <v>28</v>
      </c>
      <c r="G58" s="2555"/>
      <c r="H58" s="2558"/>
      <c r="I58" s="1808"/>
      <c r="J58" s="3573"/>
      <c r="K58" s="3573"/>
      <c r="L58" s="2530" t="s">
        <v>1370</v>
      </c>
      <c r="M58" s="2534"/>
      <c r="N58" s="2535" t="str">
        <f ca="1">NUMBERSTRING(INT(N57*10000),2)&amp;"元整"</f>
        <v>零元整</v>
      </c>
      <c r="O58" s="2536"/>
    </row>
    <row r="59" spans="1:35" ht="31" thickBot="1">
      <c r="A59" s="3577" t="s">
        <v>1371</v>
      </c>
      <c r="B59" s="3578"/>
      <c r="C59" s="357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t="e">
        <f ca="1">M49-N57</f>
        <v>#VALUE!</v>
      </c>
      <c r="O59" s="2539"/>
    </row>
    <row r="60" spans="1:35" ht="12" customHeight="1">
      <c r="A60" s="1809"/>
      <c r="B60" s="1747"/>
      <c r="C60" s="1747"/>
      <c r="D60" s="1747"/>
      <c r="E60" s="1578"/>
      <c r="F60" s="1808"/>
      <c r="G60" s="1808"/>
      <c r="H60" s="1810"/>
      <c r="I60" s="129"/>
      <c r="J60" s="3576"/>
      <c r="K60" s="3573"/>
      <c r="L60" s="2530" t="s">
        <v>1370</v>
      </c>
      <c r="M60" s="2534"/>
      <c r="N60" s="2535" t="e">
        <f ca="1">NUMBERSTRING(INT(N59*10000),2)&amp;"元整"</f>
        <v>#VALUE!</v>
      </c>
      <c r="O60" s="2536"/>
    </row>
    <row r="61" spans="1:35" ht="15" thickBot="1">
      <c r="A61" s="3632" t="s">
        <v>1373</v>
      </c>
      <c r="B61" s="3632"/>
      <c r="C61" s="3632"/>
      <c r="D61" s="3632"/>
      <c r="E61" s="3632"/>
      <c r="F61" s="1808"/>
      <c r="G61" s="1808"/>
      <c r="H61" s="1810"/>
      <c r="I61" s="129"/>
      <c r="J61" s="2523">
        <f>J59+1</f>
        <v>7</v>
      </c>
      <c r="K61" s="3573" t="s">
        <v>1374</v>
      </c>
      <c r="L61" s="3573"/>
      <c r="M61" s="2540"/>
      <c r="N61" s="2541" t="e">
        <f ca="1">ROUND(N59*10000/'数据-汇总表'!E3,0)</f>
        <v>#VALUE!</v>
      </c>
      <c r="O61" s="2542"/>
    </row>
    <row r="62" spans="1:35" ht="15">
      <c r="A62" s="3592" t="s">
        <v>1375</v>
      </c>
      <c r="B62" s="3593"/>
      <c r="C62" s="2021"/>
      <c r="D62" s="2021" t="s">
        <v>1376</v>
      </c>
      <c r="E62" s="166" t="s">
        <v>1377</v>
      </c>
      <c r="F62" s="1808"/>
      <c r="G62" s="1808"/>
      <c r="H62" s="1810"/>
      <c r="I62" s="129"/>
    </row>
    <row r="63" spans="1:35" ht="15">
      <c r="A63" s="173" t="s">
        <v>330</v>
      </c>
      <c r="B63" s="167" t="s">
        <v>1378</v>
      </c>
      <c r="C63" s="2564" t="e">
        <f ca="1">ROUND((C64+C65)/(1+'数据-取费表'!C42),0)</f>
        <v>#REF!</v>
      </c>
      <c r="D63" s="167"/>
      <c r="E63" s="168"/>
      <c r="F63" s="1808"/>
      <c r="G63" s="1808"/>
      <c r="H63" s="1810"/>
      <c r="I63" s="129"/>
      <c r="J63" s="3556"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6"/>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30">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30">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1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5">
      <c r="A90" s="169" t="s">
        <v>326</v>
      </c>
      <c r="B90" s="170" t="s">
        <v>1416</v>
      </c>
      <c r="C90" s="2582"/>
      <c r="D90" s="2577"/>
      <c r="E90" s="193" t="str">
        <f>IF(H88="-","土地取得成本中已包含该笔费用"," ")</f>
        <v xml:space="preserve"> </v>
      </c>
      <c r="F90" s="2327"/>
      <c r="G90" s="3558" t="s">
        <v>2129</v>
      </c>
      <c r="H90" s="3559"/>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30">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1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v>
      </c>
      <c r="D101" s="2586" t="str">
        <f>D4</f>
        <v>收益法</v>
      </c>
      <c r="E101" s="3552" t="s">
        <v>1431</v>
      </c>
      <c r="F101" s="3553"/>
      <c r="G101" s="1827" t="s">
        <v>1432</v>
      </c>
      <c r="H101" s="2595" t="e">
        <f ca="1">H118</f>
        <v>#REF!</v>
      </c>
      <c r="I101" s="129"/>
    </row>
    <row r="102" spans="1:35" ht="18.75" customHeight="1">
      <c r="A102" s="3584" t="s">
        <v>1433</v>
      </c>
      <c r="B102" s="2584" t="s">
        <v>1432</v>
      </c>
      <c r="C102" s="2585">
        <f ca="1">C19</f>
        <v>16076</v>
      </c>
      <c r="D102" s="2586">
        <f ca="1">D19</f>
        <v>8432</v>
      </c>
      <c r="E102" s="3552"/>
      <c r="F102" s="3553"/>
      <c r="G102" s="1827" t="s">
        <v>1434</v>
      </c>
      <c r="H102" s="2555" t="e">
        <f ca="1">I118</f>
        <v>#REF!</v>
      </c>
      <c r="I102" s="129"/>
    </row>
    <row r="103" spans="1:35" ht="42.75" customHeight="1">
      <c r="A103" s="3584"/>
      <c r="B103" s="2584" t="s">
        <v>1434</v>
      </c>
      <c r="C103" s="2587">
        <f ca="1">C20</f>
        <v>6246</v>
      </c>
      <c r="D103" s="2588">
        <f ca="1">D20</f>
        <v>3276</v>
      </c>
      <c r="E103" s="3545" t="s">
        <v>1435</v>
      </c>
      <c r="F103" s="3546"/>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t="e">
        <f ca="1">IF(E107="——","——",H101-H103)</f>
        <v>#REF!</v>
      </c>
      <c r="I107" s="129"/>
    </row>
    <row r="108" spans="1:35" ht="18.75" customHeight="1">
      <c r="A108" s="129"/>
      <c r="B108" s="129"/>
      <c r="C108" s="129"/>
      <c r="D108" s="129"/>
      <c r="E108" s="3585"/>
      <c r="F108" s="3553"/>
      <c r="G108" s="1827" t="s">
        <v>1434</v>
      </c>
      <c r="H108" s="2555" t="e">
        <f ca="1">ROUND(H107*10000/'数据-汇总表'!E3,0)</f>
        <v>#REF!</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row>
    <row r="112" spans="1:35" ht="18.75" customHeight="1" thickBot="1">
      <c r="A112" s="129"/>
      <c r="B112" s="129"/>
      <c r="C112" s="129"/>
      <c r="D112" s="129"/>
      <c r="E112" s="3587"/>
      <c r="F112" s="3588"/>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25739.82</v>
      </c>
      <c r="C118" s="2329">
        <f>M19</f>
        <v>74231.63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0" t="s">
        <v>1452</v>
      </c>
      <c r="B119" s="3560"/>
      <c r="C119" s="3560"/>
      <c r="D119" s="3566" t="e">
        <f ca="1">NUMBERSTRING(INT(D118*10000),2)&amp;"元整"</f>
        <v>#REF!</v>
      </c>
      <c r="E119" s="3567"/>
      <c r="F119" s="3566" t="e">
        <f ca="1">NUMBERSTRING(INT(F118*10000),2)&amp;"元整"</f>
        <v>#REF!</v>
      </c>
      <c r="G119" s="3567"/>
      <c r="H119" s="3566" t="e">
        <f ca="1">NUMBERSTRING(INT(H118*10000),2)&amp;"元整"</f>
        <v>#REF!</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t="e">
        <f ca="1">H107</f>
        <v>#REF!</v>
      </c>
      <c r="E122" s="3562"/>
      <c r="F122" s="3562"/>
      <c r="G122" s="3562"/>
      <c r="H122" s="3562"/>
      <c r="I122" s="3563"/>
      <c r="AA122" s="725"/>
    </row>
    <row r="123" spans="1:27" ht="18.75" customHeight="1">
      <c r="A123" s="3560" t="s">
        <v>1452</v>
      </c>
      <c r="B123" s="3560"/>
      <c r="C123" s="3560"/>
      <c r="D123" s="3566" t="e">
        <f ca="1">NUMBERSTRING(INT(D122*10000),2)&amp;"元整"</f>
        <v>#REF!</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M30" sqref="M30"/>
    </sheetView>
  </sheetViews>
  <sheetFormatPr baseColWidth="10" defaultColWidth="8.33203125" defaultRowHeight="13"/>
  <cols>
    <col min="1" max="1" width="10.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254" width="9" style="251" customWidth="1"/>
    <col min="255" max="16384" width="8.33203125" style="251"/>
  </cols>
  <sheetData>
    <row r="1" spans="1:9" s="200" customFormat="1" ht="20">
      <c r="A1" s="196" t="s">
        <v>1461</v>
      </c>
      <c r="B1" s="1470"/>
      <c r="C1" s="198"/>
      <c r="D1" s="198"/>
      <c r="E1" s="198"/>
      <c r="F1" s="198"/>
      <c r="G1" s="1126">
        <f>MATCH(B1,'数据-取费表'!A6:A16,0)+5</f>
        <v>7</v>
      </c>
    </row>
    <row r="2" spans="1:9" s="200" customFormat="1" ht="18" customHeight="1">
      <c r="A2" s="201" t="s">
        <v>1462</v>
      </c>
      <c r="B2" s="202">
        <f ca="1">IF(D2="——",C52,C52-E2)</f>
        <v>16076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6246</v>
      </c>
      <c r="C3" s="199" t="s">
        <v>1465</v>
      </c>
      <c r="D3" s="199"/>
      <c r="E3" s="199"/>
      <c r="F3" s="199"/>
      <c r="G3" s="199"/>
    </row>
    <row r="4" spans="1:9" s="208" customFormat="1" ht="16">
      <c r="A4" s="205" t="s">
        <v>1466</v>
      </c>
      <c r="B4" s="206"/>
      <c r="C4" s="206"/>
      <c r="D4" s="206"/>
      <c r="E4" s="206"/>
      <c r="F4" s="206"/>
      <c r="G4" s="207"/>
    </row>
    <row r="5" spans="1:9" s="214" customFormat="1" ht="13.5" customHeight="1">
      <c r="A5" s="255" t="s">
        <v>1467</v>
      </c>
      <c r="B5" s="210" t="s">
        <v>1468</v>
      </c>
      <c r="C5" s="211">
        <f ca="1">C6+C7+C8</f>
        <v>7167</v>
      </c>
      <c r="D5" s="211" t="s">
        <v>1469</v>
      </c>
      <c r="E5" s="212" t="s">
        <v>1470</v>
      </c>
      <c r="F5" s="212" t="s">
        <v>1471</v>
      </c>
      <c r="G5" s="213"/>
    </row>
    <row r="6" spans="1:9" s="214" customFormat="1" ht="13.5" customHeight="1">
      <c r="A6" s="778" t="s">
        <v>1472</v>
      </c>
      <c r="B6" s="215" t="s">
        <v>1473</v>
      </c>
      <c r="C6" s="216">
        <f>基准地价修正!B2</f>
        <v>6755</v>
      </c>
      <c r="D6" s="217"/>
      <c r="E6" s="218"/>
      <c r="F6" s="218"/>
      <c r="G6" s="219"/>
    </row>
    <row r="7" spans="1:9" s="214" customFormat="1" ht="13.5" customHeight="1">
      <c r="A7" s="778" t="s">
        <v>1474</v>
      </c>
      <c r="B7" s="215" t="s">
        <v>1475</v>
      </c>
      <c r="C7" s="220">
        <f>ROUND(C6*F7,0)</f>
        <v>206</v>
      </c>
      <c r="D7" s="220"/>
      <c r="E7" s="218"/>
      <c r="F7" s="221">
        <f>IF(项目基本情况!B8="出让",0,'数据-取费表'!B48+'数据-取费表'!B49)</f>
        <v>3.0499999999999999E-2</v>
      </c>
      <c r="G7" s="219"/>
    </row>
    <row r="8" spans="1:9" s="223" customFormat="1" ht="14">
      <c r="A8" s="778" t="s">
        <v>1476</v>
      </c>
      <c r="B8" s="215" t="s">
        <v>1477</v>
      </c>
      <c r="C8" s="220">
        <f ca="1">IF(G8="已包含在土地购买价格中","0",IF(B1="",'数据-取费表'!B29,IF(G9="全部缴纳",C9+C10,H9)))</f>
        <v>206</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t="s">
        <v>3394</v>
      </c>
      <c r="H9" s="1137"/>
      <c r="I9" s="1858" t="s">
        <v>1479</v>
      </c>
    </row>
    <row r="10" spans="1:9" s="214" customFormat="1" ht="13.5" customHeight="1">
      <c r="A10" s="779" t="s">
        <v>356</v>
      </c>
      <c r="B10" s="224" t="s">
        <v>1480</v>
      </c>
      <c r="C10" s="225">
        <f ca="1">ROUND(D10*E10/10000,0)</f>
        <v>206</v>
      </c>
      <c r="D10" s="845">
        <f ca="1">IF(B1="",'数据-汇总表'!E6,IF(INDIRECT("'数据-取费表'!c"&amp;$G$1)="住宅",INDIRECT("'数据-取费表'!s"&amp;$G$1),INDIRECT("'数据-取费表'!k"&amp;$G$1)+INDIRECT("'数据-取费表'!s"&amp;$G$1)))</f>
        <v>25739.82</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25739.82</v>
      </c>
      <c r="E19" s="211">
        <f>'数据-取费表'!B31</f>
        <v>200</v>
      </c>
      <c r="F19" s="231"/>
      <c r="G19" s="1856" t="s">
        <v>3395</v>
      </c>
    </row>
    <row r="20" spans="1:7" s="214" customFormat="1" ht="13.5" customHeight="1">
      <c r="A20" s="255" t="s">
        <v>1493</v>
      </c>
      <c r="B20" s="210" t="s">
        <v>1494</v>
      </c>
      <c r="C20" s="232">
        <f ca="1">ROUND((C5+C19)*F20,0)</f>
        <v>215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458</v>
      </c>
      <c r="D22" s="235">
        <f ca="1">C26</f>
        <v>8.9999999999999998E-4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30">
      <c r="A25" s="780" t="s">
        <v>1508</v>
      </c>
      <c r="B25" s="215" t="s">
        <v>1509</v>
      </c>
      <c r="C25" s="1105">
        <f ca="1">ROUND(IF('数据-取费表'!B22&lt;=1,C20*F22*'数据-取费表'!B23/2,C20*(POWER((1+F22),'数据-取费表'!B23/2)-1)),0)</f>
        <v>7</v>
      </c>
      <c r="D25" s="238"/>
      <c r="E25" s="241"/>
      <c r="F25" s="239"/>
      <c r="G25" s="242" t="s">
        <v>1510</v>
      </c>
    </row>
    <row r="26" spans="1:7" s="214" customFormat="1" ht="14">
      <c r="A26" s="780" t="s">
        <v>350</v>
      </c>
      <c r="B26" s="215" t="s">
        <v>1511</v>
      </c>
      <c r="C26" s="238">
        <f ca="1">ROUND(IF('数据-取费表'!B22&lt;=1,F21*F22*'数据-取费表'!B23/2,F21*(POWER((1+F22),'数据-取费表'!B23/2)-1)),4)</f>
        <v>8.9999999999999998E-4</v>
      </c>
      <c r="D26" s="238"/>
      <c r="E26" s="241"/>
      <c r="F26" s="239"/>
      <c r="G26" s="243"/>
    </row>
    <row r="27" spans="1:7" s="214" customFormat="1" ht="30">
      <c r="A27" s="255" t="s">
        <v>1512</v>
      </c>
      <c r="B27" s="244" t="s">
        <v>1513</v>
      </c>
      <c r="C27" s="245">
        <f ca="1">C28</f>
        <v>738</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738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9388</v>
      </c>
      <c r="D31" s="230"/>
      <c r="E31" s="211"/>
      <c r="F31" s="250"/>
      <c r="G31" s="234" t="s">
        <v>1522</v>
      </c>
    </row>
    <row r="32" spans="1:7" s="208" customFormat="1" ht="16">
      <c r="A32" s="252" t="s">
        <v>1523</v>
      </c>
      <c r="B32" s="253"/>
      <c r="C32" s="253"/>
      <c r="D32" s="253"/>
      <c r="E32" s="253"/>
      <c r="F32" s="253"/>
      <c r="G32" s="254"/>
    </row>
    <row r="33" spans="1:7" s="214" customFormat="1" ht="13.5" customHeight="1">
      <c r="A33" s="255" t="s">
        <v>337</v>
      </c>
      <c r="B33" s="210" t="s">
        <v>1524</v>
      </c>
      <c r="C33" s="256">
        <f ca="1">SUM(C34:C38)</f>
        <v>5894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5148</v>
      </c>
      <c r="D34" s="217"/>
      <c r="E34" s="220"/>
      <c r="F34" s="257">
        <f ca="1">IF('数据-取费表'!B24=0,1,IF(B1="",'数据-取费表'!N16,INDIRECT("'数据-取费表'!n"&amp;$G$1)))</f>
        <v>1</v>
      </c>
      <c r="G34" s="219" t="s">
        <v>1526</v>
      </c>
    </row>
    <row r="35" spans="1:7" ht="13.5" customHeight="1">
      <c r="A35" s="780" t="s">
        <v>351</v>
      </c>
      <c r="B35" s="215" t="s">
        <v>1527</v>
      </c>
      <c r="C35" s="220">
        <f ca="1">ROUND(C34*F35,0)</f>
        <v>154</v>
      </c>
      <c r="D35" s="220"/>
      <c r="E35" s="220"/>
      <c r="F35" s="259">
        <f>'数据-取费表'!B33</f>
        <v>0.03</v>
      </c>
      <c r="G35" s="219" t="s">
        <v>1528</v>
      </c>
    </row>
    <row r="36" spans="1:7" ht="30">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515</v>
      </c>
      <c r="D37" s="217">
        <f ca="1">D19</f>
        <v>25739.82</v>
      </c>
      <c r="E37" s="249">
        <f>'数据-取费表'!B35</f>
        <v>200</v>
      </c>
      <c r="F37" s="259"/>
      <c r="G37" s="261" t="s">
        <v>1532</v>
      </c>
    </row>
    <row r="38" spans="1:7" ht="13.5" customHeight="1">
      <c r="A38" s="780" t="s">
        <v>354</v>
      </c>
      <c r="B38" s="215" t="s">
        <v>1533</v>
      </c>
      <c r="C38" s="220">
        <f ca="1">ROUND(C34*F38,0)</f>
        <v>77</v>
      </c>
      <c r="D38" s="220"/>
      <c r="E38" s="220"/>
      <c r="F38" s="259">
        <f>'数据-取费表'!B36</f>
        <v>1.4999999999999999E-2</v>
      </c>
      <c r="G38" s="219" t="s">
        <v>1528</v>
      </c>
    </row>
    <row r="39" spans="1:7" s="214" customFormat="1" ht="13.5" customHeight="1">
      <c r="A39" s="255" t="s">
        <v>1534</v>
      </c>
      <c r="B39" s="210" t="s">
        <v>1535</v>
      </c>
      <c r="C39" s="232">
        <f ca="1">ROUND(C33*F20,0)</f>
        <v>177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188</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183</v>
      </c>
      <c r="D42" s="238"/>
      <c r="E42" s="238"/>
      <c r="F42" s="239"/>
      <c r="G42" s="3639" t="s">
        <v>1544</v>
      </c>
    </row>
    <row r="43" spans="1:7" ht="13.5" customHeight="1">
      <c r="A43" s="780" t="s">
        <v>347</v>
      </c>
      <c r="B43" s="215" t="s">
        <v>1545</v>
      </c>
      <c r="C43" s="238">
        <f ca="1">ROUND(IF('数据-取费表'!B22&lt;=1,C39*F22*'数据-取费表'!B21/2,C39*(POWER((1+F22),'数据-取费表'!B21/2)-1)),0)</f>
        <v>5</v>
      </c>
      <c r="D43" s="238"/>
      <c r="E43" s="238"/>
      <c r="F43" s="239"/>
      <c r="G43" s="3640"/>
    </row>
    <row r="44" spans="1:7" ht="13.5" customHeight="1">
      <c r="A44" s="780" t="s">
        <v>348</v>
      </c>
      <c r="B44" s="215" t="s">
        <v>1546</v>
      </c>
      <c r="C44" s="238">
        <f ca="1">ROUND(IF('数据-取费表'!B22&lt;=1,C40*F22*'数据-取费表'!B21/2,C40*(POWER((1+F22),'数据-取费表'!B21/2)-1)),4)</f>
        <v>8.9999999999999998E-4</v>
      </c>
      <c r="D44" s="238"/>
      <c r="E44" s="238"/>
      <c r="F44" s="239"/>
      <c r="G44" s="3641"/>
    </row>
    <row r="45" spans="1:7" s="214" customFormat="1" ht="13.5" customHeight="1">
      <c r="A45" s="255" t="s">
        <v>1547</v>
      </c>
      <c r="B45" s="244" t="s">
        <v>1513</v>
      </c>
      <c r="C45" s="245">
        <f ca="1">C46</f>
        <v>607</v>
      </c>
      <c r="D45" s="235">
        <f ca="1">C47</f>
        <v>3.0000000000000001E-3</v>
      </c>
      <c r="E45" s="236" t="s">
        <v>1539</v>
      </c>
      <c r="F45" s="246">
        <f ca="1">F27</f>
        <v>0.1</v>
      </c>
      <c r="G45" s="247" t="s">
        <v>1548</v>
      </c>
    </row>
    <row r="46" spans="1:7" s="214" customFormat="1" ht="13.5" customHeight="1">
      <c r="A46" s="780" t="s">
        <v>346</v>
      </c>
      <c r="B46" s="248" t="s">
        <v>1549</v>
      </c>
      <c r="C46" s="249">
        <f ca="1">ROUND((C33+C39)*F27,0)</f>
        <v>607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7515</v>
      </c>
      <c r="D49" s="232"/>
      <c r="E49" s="232"/>
      <c r="F49" s="264"/>
      <c r="G49" s="234" t="s">
        <v>1554</v>
      </c>
    </row>
    <row r="50" spans="1:7" s="258" customFormat="1" ht="30">
      <c r="A50" s="255" t="s">
        <v>1555</v>
      </c>
      <c r="B50" s="210" t="s">
        <v>1556</v>
      </c>
      <c r="C50" s="232"/>
      <c r="D50" s="232"/>
      <c r="E50" s="232"/>
      <c r="F50" s="264">
        <f>IF('数据-取费表'!B24=0,'数据-取费表'!N16,1)</f>
        <v>0.89</v>
      </c>
      <c r="G50" s="247" t="s">
        <v>1557</v>
      </c>
    </row>
    <row r="51" spans="1:7" ht="16.5" customHeight="1">
      <c r="A51" s="255" t="s">
        <v>1558</v>
      </c>
      <c r="B51" s="210" t="s">
        <v>1559</v>
      </c>
      <c r="C51" s="232">
        <f ca="1">ROUND(C49*F50,0)</f>
        <v>6688</v>
      </c>
      <c r="D51" s="232"/>
      <c r="E51" s="232"/>
      <c r="F51" s="264"/>
      <c r="G51" s="234" t="s">
        <v>1560</v>
      </c>
    </row>
    <row r="52" spans="1:7" s="208" customFormat="1" ht="17" thickBot="1">
      <c r="A52" s="265" t="s">
        <v>1561</v>
      </c>
      <c r="B52" s="266"/>
      <c r="C52" s="267">
        <f ca="1">C31+C51</f>
        <v>16076</v>
      </c>
      <c r="D52" s="266"/>
      <c r="E52" s="266"/>
      <c r="F52" s="266"/>
      <c r="G52" s="268"/>
    </row>
    <row r="55" spans="1:7" ht="16">
      <c r="B55" s="270" t="s">
        <v>1562</v>
      </c>
      <c r="C55" s="271"/>
    </row>
    <row r="56" spans="1:7" ht="14">
      <c r="B56" s="273" t="s">
        <v>802</v>
      </c>
      <c r="C56" s="275">
        <f ca="1">1-C57</f>
        <v>0.58400000000000007</v>
      </c>
    </row>
    <row r="57" spans="1:7" ht="14">
      <c r="B57" s="273" t="s">
        <v>803</v>
      </c>
      <c r="C57" s="274">
        <f ca="1">ROUND(C51/C52,3)</f>
        <v>0.41599999999999998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baseColWidth="10" defaultColWidth="8.33203125" defaultRowHeight="13"/>
  <cols>
    <col min="1" max="1" width="9.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8" width="10.6640625" style="251" customWidth="1"/>
    <col min="9" max="254" width="9" style="251" customWidth="1"/>
    <col min="255" max="16384" width="8.33203125" style="251"/>
  </cols>
  <sheetData>
    <row r="1" spans="1:8" s="200" customFormat="1" ht="20">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7632.3136999999997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2965</v>
      </c>
      <c r="C3" s="199" t="s">
        <v>1465</v>
      </c>
      <c r="D3" s="199"/>
      <c r="E3" s="199"/>
      <c r="F3" s="199"/>
      <c r="G3" s="199"/>
    </row>
    <row r="4" spans="1:8" s="208" customFormat="1" ht="16">
      <c r="A4" s="205" t="s">
        <v>1466</v>
      </c>
      <c r="B4" s="206"/>
      <c r="C4" s="206"/>
      <c r="D4" s="206"/>
      <c r="E4" s="206"/>
      <c r="F4" s="206"/>
      <c r="G4" s="207"/>
    </row>
    <row r="5" spans="1:8" s="214" customFormat="1" ht="13.5" customHeight="1">
      <c r="A5" s="255" t="s">
        <v>1467</v>
      </c>
      <c r="B5" s="210" t="s">
        <v>1468</v>
      </c>
      <c r="C5" s="211">
        <f ca="1">C6+C7+C8</f>
        <v>2059186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ht="14">
      <c r="A8" s="778" t="s">
        <v>1476</v>
      </c>
      <c r="B8" s="215" t="s">
        <v>1477</v>
      </c>
      <c r="C8" s="220">
        <f ca="1">IF(G8="已包含在土地购买价格中",0,C9+C10)</f>
        <v>2059186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2059186</v>
      </c>
      <c r="D10" s="845">
        <f ca="1">IF(B1="",'数据-汇总表'!E6,IF(INDIRECT("'数据-取费表'!c"&amp;$G$1)="住宅",INDIRECT("'数据-取费表'!s"&amp;$G$1),INDIRECT("'数据-取费表'!k"&amp;$G$1)+INDIRECT("'数据-取费表'!s"&amp;$G$1)))</f>
        <v>25739.82</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5147964</v>
      </c>
      <c r="D19" s="849">
        <f ca="1">D9+D10</f>
        <v>25739.82</v>
      </c>
      <c r="E19" s="211">
        <f>'数据-取费表'!B31</f>
        <v>200</v>
      </c>
      <c r="F19" s="231"/>
      <c r="G19" s="1856"/>
    </row>
    <row r="20" spans="1:7" s="214" customFormat="1" ht="13.5" customHeight="1">
      <c r="A20" s="255" t="s">
        <v>1574</v>
      </c>
      <c r="B20" s="210" t="s">
        <v>1575</v>
      </c>
      <c r="C20" s="232">
        <f ca="1">ROUND((C5+C19)*F20,0)</f>
        <v>216215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459963</v>
      </c>
      <c r="D22" s="235">
        <f ca="1">C26</f>
        <v>8.9999999999999998E-4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129505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323763</v>
      </c>
      <c r="D24" s="238"/>
      <c r="E24" s="238"/>
      <c r="F24" s="239"/>
      <c r="G24" s="240" t="s">
        <v>1586</v>
      </c>
    </row>
    <row r="25" spans="1:7" s="214" customFormat="1" ht="30">
      <c r="A25" s="780" t="s">
        <v>1476</v>
      </c>
      <c r="B25" s="215" t="s">
        <v>1587</v>
      </c>
      <c r="C25" s="1128">
        <f ca="1">ROUND(IF('数据-取费表'!B22&lt;=1,C20*F22*'数据-取费表'!B22/2,C20*(POWER((1+F22),'数据-取费表'!B22/2)-1)),0)</f>
        <v>6695</v>
      </c>
      <c r="D25" s="238"/>
      <c r="E25" s="241"/>
      <c r="F25" s="239"/>
      <c r="G25" s="242" t="s">
        <v>1588</v>
      </c>
    </row>
    <row r="26" spans="1:7" s="214" customFormat="1" ht="14">
      <c r="A26" s="780" t="s">
        <v>350</v>
      </c>
      <c r="B26" s="215" t="s">
        <v>1511</v>
      </c>
      <c r="C26" s="238">
        <f ca="1">ROUND(IF('数据-取费表'!B22&lt;=1,F21*F22*'数据-取费表'!B22/2,F21*(POWER((1+F22),'数据-取费表'!B22/2)-1)),4)</f>
        <v>8.9999999999999998E-4</v>
      </c>
      <c r="D26" s="238"/>
      <c r="E26" s="241"/>
      <c r="F26" s="239"/>
      <c r="G26" s="243"/>
    </row>
    <row r="27" spans="1:7" s="214" customFormat="1" ht="30">
      <c r="A27" s="255" t="s">
        <v>1512</v>
      </c>
      <c r="B27" s="244" t="s">
        <v>1513</v>
      </c>
      <c r="C27" s="245">
        <f ca="1">C28</f>
        <v>742337</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742337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9440369</v>
      </c>
      <c r="D31" s="230"/>
      <c r="E31" s="211"/>
      <c r="F31" s="250"/>
      <c r="G31" s="234" t="s">
        <v>1522</v>
      </c>
    </row>
    <row r="32" spans="1:7" s="208" customFormat="1" ht="16">
      <c r="A32" s="252" t="s">
        <v>1589</v>
      </c>
      <c r="B32" s="253"/>
      <c r="C32" s="253"/>
      <c r="D32" s="253"/>
      <c r="E32" s="253"/>
      <c r="F32" s="253"/>
      <c r="G32" s="254"/>
    </row>
    <row r="33" spans="1:7" s="214" customFormat="1" ht="13.5" customHeight="1">
      <c r="A33" s="255" t="s">
        <v>337</v>
      </c>
      <c r="B33" s="210" t="s">
        <v>1590</v>
      </c>
      <c r="C33" s="256">
        <f ca="1">SUM(C34:C38)</f>
        <v>58944188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51479640</v>
      </c>
      <c r="D34" s="217"/>
      <c r="E34" s="220"/>
      <c r="F34" s="257"/>
      <c r="G34" s="219"/>
    </row>
    <row r="35" spans="1:7" ht="13.5" customHeight="1">
      <c r="A35" s="780" t="s">
        <v>351</v>
      </c>
      <c r="B35" s="215" t="s">
        <v>1527</v>
      </c>
      <c r="C35" s="220">
        <f ca="1">ROUND(C34*F35,0)</f>
        <v>1544389</v>
      </c>
      <c r="D35" s="220"/>
      <c r="E35" s="220"/>
      <c r="F35" s="259">
        <f>'数据-取费表'!B33</f>
        <v>0.03</v>
      </c>
      <c r="G35" s="219" t="s">
        <v>1528</v>
      </c>
    </row>
    <row r="36" spans="1:7" ht="30">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5147964</v>
      </c>
      <c r="D37" s="217">
        <f ca="1">D19</f>
        <v>25739.82</v>
      </c>
      <c r="E37" s="249">
        <f>'数据-取费表'!B35</f>
        <v>200</v>
      </c>
      <c r="F37" s="259"/>
      <c r="G37" s="261"/>
    </row>
    <row r="38" spans="1:7" ht="13.5" customHeight="1">
      <c r="A38" s="780" t="s">
        <v>354</v>
      </c>
      <c r="B38" s="215" t="s">
        <v>1533</v>
      </c>
      <c r="C38" s="220">
        <f ca="1">ROUND(C34*F38,0)</f>
        <v>772195</v>
      </c>
      <c r="D38" s="220"/>
      <c r="E38" s="220"/>
      <c r="F38" s="259">
        <f>'数据-取费表'!B36</f>
        <v>1.4999999999999999E-2</v>
      </c>
      <c r="G38" s="219" t="s">
        <v>1528</v>
      </c>
    </row>
    <row r="39" spans="1:7" s="214" customFormat="1" ht="13.5" customHeight="1">
      <c r="A39" s="255" t="s">
        <v>1534</v>
      </c>
      <c r="B39" s="210" t="s">
        <v>1535</v>
      </c>
      <c r="C39" s="232">
        <f ca="1">ROUND(C33*F20,0)</f>
        <v>1768326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1880039</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1825281</v>
      </c>
      <c r="D42" s="238"/>
      <c r="E42" s="238"/>
      <c r="F42" s="239"/>
      <c r="G42" s="3639" t="s">
        <v>1591</v>
      </c>
    </row>
    <row r="43" spans="1:7" ht="13.5" customHeight="1">
      <c r="A43" s="780" t="s">
        <v>347</v>
      </c>
      <c r="B43" s="215" t="s">
        <v>1545</v>
      </c>
      <c r="C43" s="238">
        <f ca="1">ROUND(IF('数据-取费表'!B22&lt;=1,C39*F22*'数据-取费表'!B20/2,C39*(POWER((1+F22),'数据-取费表'!B20/2)-1)),0)</f>
        <v>54758</v>
      </c>
      <c r="D43" s="238"/>
      <c r="E43" s="238"/>
      <c r="F43" s="239"/>
      <c r="G43" s="3640"/>
    </row>
    <row r="44" spans="1:7" ht="13.5" customHeight="1">
      <c r="A44" s="780" t="s">
        <v>348</v>
      </c>
      <c r="B44" s="215" t="s">
        <v>1546</v>
      </c>
      <c r="C44" s="238">
        <f ca="1">ROUND(IF('数据-取费表'!B22&lt;=1,C40*F22*'数据-取费表'!B20/2,C40*(POWER((1+F22),'数据-取费表'!B20/2)-1)),4)</f>
        <v>8.9999999999999998E-4</v>
      </c>
      <c r="D44" s="238"/>
      <c r="E44" s="238"/>
      <c r="F44" s="239"/>
      <c r="G44" s="3641"/>
    </row>
    <row r="45" spans="1:7" s="214" customFormat="1" ht="13.5" customHeight="1">
      <c r="A45" s="255" t="s">
        <v>1547</v>
      </c>
      <c r="B45" s="244" t="s">
        <v>1513</v>
      </c>
      <c r="C45" s="245">
        <f ca="1">C46</f>
        <v>6071251</v>
      </c>
      <c r="D45" s="235">
        <f ca="1">C47</f>
        <v>3.0000000000000001E-3</v>
      </c>
      <c r="E45" s="236" t="s">
        <v>1539</v>
      </c>
      <c r="F45" s="246">
        <f ca="1">F27</f>
        <v>0.1</v>
      </c>
      <c r="G45" s="247" t="s">
        <v>1548</v>
      </c>
    </row>
    <row r="46" spans="1:7" s="214" customFormat="1" ht="13.5" customHeight="1">
      <c r="A46" s="780" t="s">
        <v>346</v>
      </c>
      <c r="B46" s="248" t="s">
        <v>1549</v>
      </c>
      <c r="C46" s="249">
        <f ca="1">ROUND((C33+C39)*F27,0)</f>
        <v>6071251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75149178</v>
      </c>
      <c r="D49" s="232"/>
      <c r="E49" s="232"/>
      <c r="F49" s="264"/>
      <c r="G49" s="234" t="s">
        <v>1554</v>
      </c>
    </row>
    <row r="50" spans="1:7" s="258" customFormat="1" ht="14">
      <c r="A50" s="255" t="s">
        <v>1555</v>
      </c>
      <c r="B50" s="210" t="s">
        <v>1556</v>
      </c>
      <c r="C50" s="232"/>
      <c r="D50" s="232"/>
      <c r="E50" s="232"/>
      <c r="F50" s="264">
        <f>IF('数据-取费表'!B24=0,'数据-取费表'!N16,1)</f>
        <v>0.89</v>
      </c>
      <c r="G50" s="247"/>
    </row>
    <row r="51" spans="1:7" ht="16.5" customHeight="1">
      <c r="A51" s="255" t="s">
        <v>1558</v>
      </c>
      <c r="B51" s="210" t="s">
        <v>1593</v>
      </c>
      <c r="C51" s="232">
        <f ca="1">ROUND(C49*F50,0)</f>
        <v>66882768</v>
      </c>
      <c r="D51" s="232"/>
      <c r="E51" s="232"/>
      <c r="F51" s="264"/>
      <c r="G51" s="234" t="s">
        <v>1560</v>
      </c>
    </row>
    <row r="52" spans="1:7" s="208" customFormat="1" ht="17" thickBot="1">
      <c r="A52" s="265" t="s">
        <v>1561</v>
      </c>
      <c r="B52" s="266"/>
      <c r="C52" s="267">
        <f ca="1">C31+C51</f>
        <v>76323137</v>
      </c>
      <c r="D52" s="266"/>
      <c r="E52" s="266"/>
      <c r="F52" s="266"/>
      <c r="G52" s="268"/>
    </row>
    <row r="55" spans="1:7" ht="16">
      <c r="B55" s="270" t="s">
        <v>1562</v>
      </c>
      <c r="C55" s="271"/>
    </row>
    <row r="56" spans="1:7" ht="14">
      <c r="B56" s="273" t="s">
        <v>802</v>
      </c>
      <c r="C56" s="275">
        <f ca="1">1-C57</f>
        <v>0.124</v>
      </c>
    </row>
    <row r="57" spans="1:7" ht="14">
      <c r="B57" s="273" t="s">
        <v>803</v>
      </c>
      <c r="C57" s="274">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baseColWidth="10" defaultColWidth="6.6640625" defaultRowHeight="13"/>
  <cols>
    <col min="1" max="1" width="9.6640625" style="728" customWidth="1"/>
    <col min="2" max="2" width="25.6640625" style="781" customWidth="1"/>
    <col min="3" max="3" width="10.33203125" style="823" customWidth="1"/>
    <col min="4" max="4" width="9.83203125" style="781" customWidth="1"/>
    <col min="5" max="5" width="9.5" style="728" customWidth="1"/>
    <col min="6" max="6" width="10.1640625" style="781" customWidth="1"/>
    <col min="7" max="7" width="10.664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640625" style="781"/>
  </cols>
  <sheetData>
    <row r="1" spans="1:33" ht="20">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25739.82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25739.82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206</v>
      </c>
      <c r="D20" s="846">
        <f ca="1">IF(C1="",'数据-汇总表'!E6,IF(INDIRECT("'数据-取费表'!c"&amp;$K$1)="住宅",INDIRECT("'数据-取费表'!s"&amp;$K$1),INDIRECT("'数据-取费表'!k"&amp;$K$1)+INDIRECT("'数据-取费表'!s"&amp;$K$1)))</f>
        <v>25739.82</v>
      </c>
      <c r="E20" s="21">
        <f>'数据-取费表'!B28</f>
        <v>80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85" zoomScaleNormal="80" zoomScaleSheetLayoutView="85" workbookViewId="0">
      <selection activeCell="F34" sqref="F34"/>
    </sheetView>
  </sheetViews>
  <sheetFormatPr baseColWidth="10" defaultColWidth="12" defaultRowHeight="13"/>
  <cols>
    <col min="1" max="1" width="9.6640625" style="2053" customWidth="1"/>
    <col min="2" max="2" width="22.5" style="2144" customWidth="1"/>
    <col min="3" max="3" width="12" style="1998"/>
    <col min="4" max="4" width="14.83203125" style="1998" customWidth="1"/>
    <col min="5" max="5" width="14.6640625" style="1998" customWidth="1"/>
    <col min="6" max="8" width="12" style="1998"/>
    <col min="9" max="9" width="12.1640625" style="1998" bestFit="1" customWidth="1"/>
    <col min="10" max="10" width="12" style="1998"/>
    <col min="11" max="11" width="8.1640625" style="2049" customWidth="1"/>
    <col min="12" max="12" width="19.5" style="1998" customWidth="1"/>
    <col min="13" max="13" width="8.5" style="1998" customWidth="1"/>
    <col min="14" max="14" width="9.664062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2">
      <c r="A1" s="196" t="s">
        <v>1926</v>
      </c>
      <c r="B1" s="197"/>
      <c r="C1" s="201" t="s">
        <v>1927</v>
      </c>
      <c r="D1" s="342">
        <f>SUM(D33:D34,D37:D42)</f>
        <v>74231.63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6">
      <c r="A2" s="201" t="s">
        <v>1934</v>
      </c>
      <c r="B2" s="204">
        <f>C30</f>
        <v>6755</v>
      </c>
      <c r="C2" s="1999" t="s">
        <v>1935</v>
      </c>
      <c r="D2" s="2000" t="s">
        <v>1936</v>
      </c>
      <c r="E2" s="3424"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1.5418000000000001</v>
      </c>
      <c r="T2" s="3363">
        <f t="shared" ref="T2:T16" si="0">ROUND($C$5*$C$22*$C$23*$C$24*S2*$C$28,0)</f>
        <v>1403</v>
      </c>
      <c r="U2" s="1213"/>
      <c r="V2" s="3363">
        <f>ROUND(T2*U2/10000,0)</f>
        <v>0</v>
      </c>
      <c r="W2" s="1216"/>
      <c r="X2" s="1216"/>
      <c r="Y2" s="1216"/>
      <c r="Z2" s="1216"/>
      <c r="AA2" s="1216"/>
      <c r="AB2" s="1216"/>
      <c r="AC2" s="1217"/>
      <c r="AD2" s="1218"/>
      <c r="AE2" s="1218"/>
      <c r="AF2" s="1218"/>
      <c r="AG2" s="1218"/>
      <c r="AH2" s="1218"/>
      <c r="AI2" s="1218"/>
      <c r="AJ2" s="1219"/>
    </row>
    <row r="3" spans="1:36" ht="16">
      <c r="A3" s="203" t="s">
        <v>1940</v>
      </c>
      <c r="B3" s="204">
        <f>ROUND(B2*10000/D1,0)</f>
        <v>910</v>
      </c>
      <c r="C3" s="1999" t="s">
        <v>1941</v>
      </c>
      <c r="D3" s="2000" t="s">
        <v>1942</v>
      </c>
      <c r="E3" s="3422" t="s">
        <v>2473</v>
      </c>
      <c r="F3" s="2004" t="s">
        <v>3397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1.1883999999999999</v>
      </c>
      <c r="T3" s="3363">
        <f t="shared" si="0"/>
        <v>1082</v>
      </c>
      <c r="U3" s="1213"/>
      <c r="V3" s="3363">
        <f t="shared" ref="V3:V16" si="1">ROUND(T3*U3/10000,0)</f>
        <v>0</v>
      </c>
      <c r="W3" s="1216"/>
      <c r="X3" s="1216"/>
      <c r="Y3" s="1216"/>
      <c r="Z3" s="1216"/>
      <c r="AA3" s="1216"/>
      <c r="AB3" s="1216"/>
      <c r="AC3" s="1217"/>
      <c r="AD3" s="1218"/>
      <c r="AE3" s="1218"/>
      <c r="AF3" s="1218"/>
      <c r="AG3" s="1218"/>
      <c r="AH3" s="1218"/>
      <c r="AI3" s="1218"/>
      <c r="AJ3" s="1219"/>
    </row>
    <row r="4" spans="1:36" ht="16">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0.96940000000000004</v>
      </c>
      <c r="T4" s="3363">
        <f t="shared" si="0"/>
        <v>882</v>
      </c>
      <c r="U4" s="1213"/>
      <c r="V4" s="3363">
        <f t="shared" si="1"/>
        <v>0</v>
      </c>
      <c r="W4" s="1216"/>
      <c r="X4" s="1216"/>
      <c r="Y4" s="1216"/>
      <c r="Z4" s="1216"/>
      <c r="AA4" s="1216"/>
      <c r="AB4" s="1216"/>
      <c r="AC4" s="1217"/>
      <c r="AD4" s="1218"/>
      <c r="AE4" s="1218"/>
      <c r="AF4" s="1218"/>
      <c r="AG4" s="1218"/>
      <c r="AH4" s="1218"/>
      <c r="AI4" s="1218"/>
      <c r="AJ4" s="1219"/>
    </row>
    <row r="5" spans="1:36" s="2014" customFormat="1" ht="17"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0.82299999999999995</v>
      </c>
      <c r="T5" s="3363">
        <f t="shared" si="0"/>
        <v>749</v>
      </c>
      <c r="U5" s="1213"/>
      <c r="V5" s="3363">
        <f t="shared" si="1"/>
        <v>0</v>
      </c>
      <c r="W5" s="1216"/>
      <c r="X5" s="1216"/>
      <c r="Y5" s="1216"/>
      <c r="Z5" s="1216"/>
      <c r="AA5" s="1216"/>
      <c r="AB5" s="1216"/>
      <c r="AC5" s="2011"/>
      <c r="AD5" s="2012"/>
      <c r="AE5" s="2012"/>
      <c r="AF5" s="2012"/>
      <c r="AG5" s="2012"/>
      <c r="AH5" s="2012"/>
      <c r="AI5" s="2012"/>
      <c r="AJ5" s="2013"/>
    </row>
    <row r="6" spans="1:36" ht="17" thickBot="1">
      <c r="A6" s="2015" t="s">
        <v>1949</v>
      </c>
      <c r="B6" s="2016" t="s">
        <v>1950</v>
      </c>
      <c r="C6" s="754">
        <f>SUMIF(L1:L12,G2,M1:M12)</f>
        <v>900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0.74980000000000002</v>
      </c>
      <c r="T6" s="3363">
        <f t="shared" si="0"/>
        <v>683</v>
      </c>
      <c r="U6" s="1213"/>
      <c r="V6" s="3363">
        <f t="shared" si="1"/>
        <v>0</v>
      </c>
      <c r="W6" s="1216"/>
      <c r="X6" s="1216"/>
      <c r="Y6" s="1216"/>
      <c r="Z6" s="1216"/>
      <c r="AA6" s="1216"/>
      <c r="AB6" s="1216"/>
      <c r="AC6" s="2011"/>
      <c r="AD6" s="2012"/>
      <c r="AE6" s="2012"/>
      <c r="AF6" s="2012"/>
      <c r="AG6" s="2012"/>
      <c r="AH6" s="2012"/>
      <c r="AI6" s="2012"/>
      <c r="AJ6" s="2013"/>
    </row>
    <row r="7" spans="1:36" ht="17" thickBot="1">
      <c r="A7" s="3305"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f t="shared" si="0"/>
        <v>0</v>
      </c>
      <c r="U7" s="1213"/>
      <c r="V7" s="3363">
        <f t="shared" si="1"/>
        <v>0</v>
      </c>
      <c r="W7" s="1358" t="s">
        <v>1955</v>
      </c>
      <c r="X7" s="1214" t="str">
        <f>G2</f>
        <v>九级</v>
      </c>
      <c r="Y7" s="1214" t="s">
        <v>1956</v>
      </c>
      <c r="Z7" s="1215">
        <f>G3</f>
        <v>1</v>
      </c>
      <c r="AA7" s="1216"/>
      <c r="AB7" s="1216"/>
      <c r="AC7" s="1217"/>
      <c r="AD7" s="1218"/>
      <c r="AE7" s="1218"/>
      <c r="AF7" s="1218"/>
      <c r="AG7" s="1218"/>
      <c r="AH7" s="1218"/>
      <c r="AI7" s="1218"/>
      <c r="AJ7" s="1219"/>
    </row>
    <row r="8" spans="1:36" ht="28">
      <c r="A8" s="3300"/>
      <c r="B8" s="170" t="s">
        <v>1957</v>
      </c>
      <c r="C8" s="2026" t="s">
        <v>3378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f t="shared" si="0"/>
        <v>0</v>
      </c>
      <c r="U8" s="1213"/>
      <c r="V8" s="3363">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6">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900</v>
      </c>
      <c r="N9" s="866">
        <f>SUMPRODUCT((因素修正幅度!B277:B326=I2)*(因素修正幅度!C3:G3=E2)*(因素修正幅度!C277:G326))</f>
        <v>0.126</v>
      </c>
      <c r="O9" s="1119"/>
      <c r="P9" s="1119"/>
      <c r="Q9" s="1119"/>
      <c r="R9" s="1212">
        <v>8</v>
      </c>
      <c r="S9" s="1213"/>
      <c r="T9" s="3363">
        <f t="shared" si="0"/>
        <v>0</v>
      </c>
      <c r="U9" s="1213"/>
      <c r="V9" s="3363">
        <f t="shared" si="1"/>
        <v>0</v>
      </c>
      <c r="W9" s="3648"/>
      <c r="X9" s="3364" t="s">
        <v>3268</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6">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f t="shared" si="0"/>
        <v>0</v>
      </c>
      <c r="U10" s="1213"/>
      <c r="V10" s="3363">
        <f t="shared" si="1"/>
        <v>0</v>
      </c>
      <c r="W10" s="3648"/>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7"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f t="shared" si="0"/>
        <v>0</v>
      </c>
      <c r="U11" s="1213"/>
      <c r="V11" s="3363">
        <f t="shared" si="1"/>
        <v>0</v>
      </c>
      <c r="W11" s="1216"/>
      <c r="X11" s="1216"/>
      <c r="Y11" s="1216"/>
      <c r="Z11" s="1216"/>
      <c r="AA11" s="1216"/>
      <c r="AB11" s="1216"/>
      <c r="AC11" s="1217"/>
      <c r="AD11" s="2789"/>
      <c r="AE11" s="2789"/>
      <c r="AF11" s="2789"/>
      <c r="AG11" s="2789"/>
      <c r="AH11" s="2789"/>
      <c r="AI11" s="2789"/>
      <c r="AJ11" s="2790"/>
    </row>
    <row r="12" spans="1:36" ht="31" thickBot="1">
      <c r="A12" s="3305" t="s">
        <v>3238</v>
      </c>
      <c r="B12" s="3306" t="s">
        <v>3239</v>
      </c>
      <c r="C12" s="3307">
        <v>1</v>
      </c>
      <c r="D12" s="3308" t="s">
        <v>3240</v>
      </c>
      <c r="E12" s="3309" t="s">
        <v>3241</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f t="shared" si="0"/>
        <v>0</v>
      </c>
      <c r="U12" s="1213"/>
      <c r="V12" s="3363">
        <f t="shared" si="1"/>
        <v>0</v>
      </c>
      <c r="W12" s="1216"/>
      <c r="X12" s="1216"/>
      <c r="Y12" s="1216"/>
      <c r="Z12" s="1216"/>
      <c r="AA12" s="1216"/>
      <c r="AB12" s="1216"/>
      <c r="AC12" s="1217"/>
      <c r="AD12" s="2789"/>
      <c r="AE12" s="2789"/>
      <c r="AF12" s="2789"/>
      <c r="AG12" s="2789"/>
      <c r="AH12" s="2789"/>
      <c r="AI12" s="2789"/>
      <c r="AJ12" s="2790"/>
    </row>
    <row r="13" spans="1:36" ht="17" thickBot="1">
      <c r="A13" s="3305" t="s">
        <v>3242</v>
      </c>
      <c r="B13" s="2034" t="s">
        <v>1982</v>
      </c>
      <c r="C13" s="755">
        <f>ROUND(C16*D16*E16*F16*G16*H16*I16*J16,4)</f>
        <v>1</v>
      </c>
      <c r="D13" s="2035" t="s">
        <v>1983</v>
      </c>
      <c r="E13" s="2036"/>
      <c r="F13" s="2036"/>
      <c r="G13" s="2037"/>
      <c r="H13" s="2037"/>
      <c r="I13" s="2037"/>
      <c r="J13" s="2038"/>
      <c r="K13" s="1119"/>
      <c r="L13" s="3301"/>
      <c r="M13" s="3302"/>
      <c r="N13" s="3303"/>
      <c r="O13" s="1119"/>
      <c r="P13" s="1119"/>
      <c r="Q13" s="1119"/>
      <c r="R13" s="1212">
        <v>12</v>
      </c>
      <c r="S13" s="1213"/>
      <c r="T13" s="3363">
        <f t="shared" si="0"/>
        <v>0</v>
      </c>
      <c r="U13" s="1213"/>
      <c r="V13" s="3363">
        <f t="shared" si="1"/>
        <v>0</v>
      </c>
      <c r="W13" s="1216"/>
      <c r="X13" s="1216"/>
      <c r="Y13" s="1216"/>
      <c r="Z13" s="1216"/>
      <c r="AA13" s="1216"/>
      <c r="AB13" s="1216"/>
      <c r="AC13" s="1217"/>
      <c r="AD13" s="2789"/>
      <c r="AE13" s="2789"/>
      <c r="AF13" s="2789"/>
      <c r="AG13" s="2789"/>
      <c r="AH13" s="2789"/>
      <c r="AI13" s="2789"/>
      <c r="AJ13" s="2790"/>
    </row>
    <row r="14" spans="1:36" ht="16">
      <c r="A14" s="3299"/>
      <c r="B14" s="2040" t="s">
        <v>1985</v>
      </c>
      <c r="C14" s="2041" t="s">
        <v>1986</v>
      </c>
      <c r="D14" s="1350" t="s">
        <v>1987</v>
      </c>
      <c r="E14" s="27" t="s">
        <v>1988</v>
      </c>
      <c r="F14" s="3313" t="s">
        <v>3243</v>
      </c>
      <c r="G14" s="3313" t="s">
        <v>3243</v>
      </c>
      <c r="H14" s="3313" t="s">
        <v>3243</v>
      </c>
      <c r="I14" s="3313" t="s">
        <v>3243</v>
      </c>
      <c r="J14" s="3313" t="s">
        <v>3243</v>
      </c>
      <c r="K14" s="1119"/>
      <c r="L14" s="1119"/>
      <c r="M14" s="1119"/>
      <c r="N14" s="1119"/>
      <c r="O14" s="1119"/>
      <c r="P14" s="1119"/>
      <c r="Q14" s="1119"/>
      <c r="R14" s="1212">
        <v>13</v>
      </c>
      <c r="S14" s="1213"/>
      <c r="T14" s="3363">
        <f t="shared" si="0"/>
        <v>0</v>
      </c>
      <c r="U14" s="1213"/>
      <c r="V14" s="3363">
        <f t="shared" si="1"/>
        <v>0</v>
      </c>
      <c r="W14" s="1216"/>
      <c r="X14" s="1216"/>
      <c r="Y14" s="1216"/>
      <c r="Z14" s="1216"/>
      <c r="AA14" s="1216"/>
      <c r="AB14" s="1216"/>
      <c r="AC14" s="1217"/>
      <c r="AD14" s="2789"/>
      <c r="AE14" s="2789"/>
      <c r="AF14" s="2789"/>
      <c r="AG14" s="2789"/>
      <c r="AH14" s="2789"/>
      <c r="AI14" s="2789"/>
      <c r="AJ14" s="2790"/>
    </row>
    <row r="15" spans="1:36" ht="16">
      <c r="A15" s="3299"/>
      <c r="B15" s="2042"/>
      <c r="C15" s="2043" t="s">
        <v>3379</v>
      </c>
      <c r="D15" s="2044" t="s">
        <v>3379</v>
      </c>
      <c r="E15" s="2045" t="s">
        <v>3380</v>
      </c>
      <c r="F15" s="3314" t="s">
        <v>3244</v>
      </c>
      <c r="G15" s="3315"/>
      <c r="H15" s="3316"/>
      <c r="I15" s="3317"/>
      <c r="J15" s="3318"/>
      <c r="K15" s="1119"/>
      <c r="L15" s="1119"/>
      <c r="M15" s="1119"/>
      <c r="N15" s="1119"/>
      <c r="O15" s="1119"/>
      <c r="P15" s="1119"/>
      <c r="Q15" s="1119"/>
      <c r="R15" s="1212">
        <v>14</v>
      </c>
      <c r="S15" s="1213"/>
      <c r="T15" s="3363">
        <f t="shared" si="0"/>
        <v>0</v>
      </c>
      <c r="U15" s="1213"/>
      <c r="V15" s="3363">
        <f t="shared" si="1"/>
        <v>0</v>
      </c>
      <c r="W15" s="1216"/>
      <c r="X15" s="1216"/>
      <c r="Y15" s="1216"/>
      <c r="Z15" s="1216"/>
      <c r="AA15" s="1216"/>
      <c r="AB15" s="1216"/>
      <c r="AC15" s="1217"/>
      <c r="AD15" s="2789"/>
      <c r="AE15" s="2789"/>
      <c r="AF15" s="2789"/>
      <c r="AG15" s="2789"/>
      <c r="AH15" s="2789"/>
      <c r="AI15" s="2789"/>
      <c r="AJ15" s="2790"/>
    </row>
    <row r="16" spans="1:36" ht="17" thickBot="1">
      <c r="A16" s="3299"/>
      <c r="B16" s="3321" t="s">
        <v>1989</v>
      </c>
      <c r="C16" s="3319">
        <v>1</v>
      </c>
      <c r="D16" s="3319">
        <v>1</v>
      </c>
      <c r="E16" s="3319">
        <v>1</v>
      </c>
      <c r="F16" s="3319">
        <v>1</v>
      </c>
      <c r="G16" s="3319">
        <v>1</v>
      </c>
      <c r="H16" s="3319">
        <v>1</v>
      </c>
      <c r="I16" s="3319">
        <v>1</v>
      </c>
      <c r="J16" s="3320">
        <v>1</v>
      </c>
      <c r="K16" s="1119"/>
      <c r="L16" s="1997"/>
      <c r="M16" s="1997"/>
      <c r="N16" s="1997"/>
      <c r="O16" s="1997"/>
      <c r="P16" s="1997"/>
      <c r="Q16" s="1119"/>
      <c r="R16" s="1212">
        <v>15</v>
      </c>
      <c r="S16" s="1213"/>
      <c r="T16" s="3363">
        <f t="shared" si="0"/>
        <v>0</v>
      </c>
      <c r="U16" s="1213"/>
      <c r="V16" s="3363">
        <f t="shared" si="1"/>
        <v>0</v>
      </c>
      <c r="W16" s="1216"/>
      <c r="X16" s="1216"/>
      <c r="Y16" s="1216"/>
      <c r="Z16" s="1216"/>
      <c r="AA16" s="1216"/>
      <c r="AB16" s="1216"/>
      <c r="AC16" s="1217"/>
      <c r="AD16" s="2789"/>
      <c r="AE16" s="2789"/>
      <c r="AF16" s="2789"/>
      <c r="AG16" s="2789"/>
      <c r="AH16" s="2789"/>
      <c r="AI16" s="2789"/>
      <c r="AJ16" s="2790"/>
    </row>
    <row r="17" spans="1:37" ht="15">
      <c r="A17" s="3331" t="s">
        <v>3245</v>
      </c>
      <c r="B17" s="3322" t="s">
        <v>3246</v>
      </c>
      <c r="C17" s="3332">
        <f>ROUND(IF(OR(E2="工业",E2="公共服务"),1,IF(AND(E18=0,E19=0),1,IF(AND(E18=J24,E19=G19),0.8,IF(E19=0,1+E17*(-0.2),1+E17*G17*(-0.2))))),4)</f>
        <v>1</v>
      </c>
      <c r="D17" s="3323" t="s">
        <v>3247</v>
      </c>
      <c r="E17" s="3332">
        <f>ROUND(G18/I18,2)</f>
        <v>0</v>
      </c>
      <c r="F17" s="3323" t="s">
        <v>3250</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5">
      <c r="A18" s="3334"/>
      <c r="B18" s="3010"/>
      <c r="C18" s="3329"/>
      <c r="D18" s="3324" t="s">
        <v>3248</v>
      </c>
      <c r="E18" s="3330"/>
      <c r="F18" s="3325" t="s">
        <v>3251</v>
      </c>
      <c r="G18" s="3329">
        <f>ROUND(1-(1/(POWER(1+G24,E18))),4)</f>
        <v>0</v>
      </c>
      <c r="H18" s="3325" t="s">
        <v>3253</v>
      </c>
      <c r="I18" s="3329">
        <f>ROUND(1-(1/(POWER(1+G24,J24))),4)</f>
        <v>0.91279999999999994</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6" thickBot="1">
      <c r="A19" s="3336"/>
      <c r="B19" s="3337"/>
      <c r="C19" s="3338"/>
      <c r="D19" s="3338" t="s">
        <v>3249</v>
      </c>
      <c r="E19" s="3339"/>
      <c r="F19" s="3340" t="s">
        <v>3252</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5">
      <c r="A20" s="3653" t="s">
        <v>3254</v>
      </c>
      <c r="B20" s="167" t="s">
        <v>1994</v>
      </c>
      <c r="C20" s="3326">
        <f>ROUND(IF(F21="与级别开发程度一致",0,(G21-E21)/C21),0)</f>
        <v>30</v>
      </c>
      <c r="D20" s="3342" t="s">
        <v>1998</v>
      </c>
      <c r="E20" s="3343"/>
      <c r="F20" s="3659" t="s">
        <v>1995</v>
      </c>
      <c r="G20" s="3660"/>
      <c r="H20" s="3327" t="s">
        <v>3381</v>
      </c>
      <c r="I20" s="3327" t="s">
        <v>3382</v>
      </c>
      <c r="J20" s="3328" t="s">
        <v>3383</v>
      </c>
      <c r="K20" s="2047" t="s">
        <v>3384</v>
      </c>
      <c r="L20" s="2047" t="s">
        <v>3385</v>
      </c>
      <c r="M20" s="2047" t="s">
        <v>3386</v>
      </c>
      <c r="N20" s="2047" t="s">
        <v>3387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9" thickBot="1">
      <c r="A21" s="3654"/>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3388</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30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6"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9"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054" t="s">
        <v>2002</v>
      </c>
      <c r="E23" s="761">
        <v>44197</v>
      </c>
      <c r="F23" s="2054" t="s">
        <v>2003</v>
      </c>
      <c r="G23" s="762">
        <f>'数据-取费表'!B2</f>
        <v>44916</v>
      </c>
      <c r="H23" s="3344" t="s">
        <v>3256</v>
      </c>
      <c r="I23" s="3345" t="str">
        <f>IF(H23="季度增幅（自定义）",SUMIF(N25:N28,E2,O25:O28),"")</f>
        <v/>
      </c>
      <c r="J23" s="3346" t="s">
        <v>3255</v>
      </c>
      <c r="K23" s="1125"/>
      <c r="L23" s="2055" t="s">
        <v>2004</v>
      </c>
      <c r="M23" s="1328">
        <f>ROUND(SUMIF(地价!B2:G2,E2,地价!B16:G16),0)</f>
        <v>318</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31" thickBot="1">
      <c r="A24" s="2058" t="s">
        <v>365</v>
      </c>
      <c r="B24" s="2059" t="s">
        <v>2006</v>
      </c>
      <c r="C24" s="764">
        <f>ROUND(POWER(1+G24,J24-I24)*(POWER(1+G24,I24)-1)/(POWER(1+G24,J24)-1),4)</f>
        <v>0.89229999999999998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34.53</v>
      </c>
      <c r="J24" s="770">
        <f>IF(E2="住宅",70,IF(E2="商业",40,50))</f>
        <v>50</v>
      </c>
      <c r="K24" s="1125"/>
      <c r="L24" s="2061" t="s">
        <v>2009</v>
      </c>
      <c r="M24" s="1329">
        <f>ROUND(SUMPRODUCT((地价!A4:A16=YEAR(G23)&amp;"-"&amp;ROUNDUP(MONTH(G23)/3,0))*(地价!B2:G2=E2)*(地价!B4:G16)),0)</f>
        <v>336</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5">
      <c r="A26" s="1955" t="s">
        <v>2014</v>
      </c>
      <c r="B26" s="2070" t="s">
        <v>2015</v>
      </c>
      <c r="C26" s="3347"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7" t="s">
        <v>3258</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6"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6"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6"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6755</v>
      </c>
      <c r="D30" s="2083"/>
      <c r="E30" s="2046"/>
      <c r="F30" s="2084"/>
      <c r="G30" s="2046"/>
      <c r="H30" s="2046"/>
      <c r="I30" s="2046"/>
      <c r="J30" s="2085"/>
      <c r="K30" s="1119"/>
      <c r="L30" s="3353" t="s">
        <v>1936</v>
      </c>
      <c r="M30" s="3354" t="s">
        <v>1990</v>
      </c>
      <c r="N30" s="3354" t="s">
        <v>1991</v>
      </c>
      <c r="O30" s="3354" t="s">
        <v>1992</v>
      </c>
      <c r="P30" s="3354" t="s">
        <v>1993</v>
      </c>
      <c r="Q30" s="3357"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6" thickBot="1">
      <c r="A31" s="2082"/>
      <c r="B31" s="2086" t="s">
        <v>2025</v>
      </c>
      <c r="C31" s="766">
        <f>E34+SUM(I37:I42)</f>
        <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6"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5">
      <c r="A33" s="2096"/>
      <c r="B33" s="2097" t="s">
        <v>2030</v>
      </c>
      <c r="C33" s="175">
        <f>ROUND(C5*C22*C23*C24*C25*C28,0)</f>
        <v>910</v>
      </c>
      <c r="D33" s="3795">
        <f>'数据-汇总表'!D3</f>
        <v>74231.63</v>
      </c>
      <c r="E33" s="773">
        <f>ROUND(C33*D33/10000,0)</f>
        <v>6755</v>
      </c>
      <c r="F33" s="3348" t="s">
        <v>3260</v>
      </c>
      <c r="G33" s="2099"/>
      <c r="H33" s="2099"/>
      <c r="I33" s="2099"/>
      <c r="J33" s="2100"/>
      <c r="K33" s="1119"/>
      <c r="L33" s="3351" t="s">
        <v>3263</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31" thickBot="1">
      <c r="A34" s="2101"/>
      <c r="B34" s="2102" t="s">
        <v>2031</v>
      </c>
      <c r="C34" s="187">
        <f>ROUND(IF(E2="工业",C33*M42,IF(B25="楼层修正",SUM(V2:V16)*M41*10000/D34,C33*M41)),0)</f>
        <v>137</v>
      </c>
      <c r="D34" s="2103"/>
      <c r="E34" s="773">
        <f>ROUND(IF(B25="楼层修正",SUM(V2:V16)*M40,C34*D34/10000),0)</f>
        <v>0</v>
      </c>
      <c r="F34" s="2104" t="s">
        <v>2032</v>
      </c>
      <c r="G34" s="2105"/>
      <c r="H34" s="2105"/>
      <c r="I34" s="2105"/>
      <c r="J34" s="2106"/>
      <c r="K34" s="1119"/>
      <c r="L34" s="3351" t="s">
        <v>3264</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ht="15">
      <c r="A35" s="2107"/>
      <c r="B35" s="2108" t="s">
        <v>2033</v>
      </c>
      <c r="C35" s="3349"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1" thickBot="1">
      <c r="A36" s="2096"/>
      <c r="B36" s="2111"/>
      <c r="C36" s="450" t="s">
        <v>2027</v>
      </c>
      <c r="D36" s="447" t="s">
        <v>2028</v>
      </c>
      <c r="E36" s="447" t="s">
        <v>2029</v>
      </c>
      <c r="F36" s="342" t="s">
        <v>2035</v>
      </c>
      <c r="G36" s="2112" t="s">
        <v>2027</v>
      </c>
      <c r="H36" s="2112" t="s">
        <v>2028</v>
      </c>
      <c r="I36" s="2112" t="s">
        <v>2029</v>
      </c>
      <c r="J36" s="243"/>
      <c r="K36" s="3359" t="s">
        <v>3265</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31" thickBot="1">
      <c r="A37" s="3657"/>
      <c r="B37" s="2113" t="s">
        <v>2036</v>
      </c>
      <c r="C37" s="175">
        <f>ROUND(D5*C22*C23*C24*C28*F37,0)</f>
        <v>455</v>
      </c>
      <c r="D37" s="2098"/>
      <c r="E37" s="171">
        <f>ROUND(C37*D37/10000,0)</f>
        <v>0</v>
      </c>
      <c r="F37" s="171">
        <f>SUMIF(修正!A57:A68,G2,修正!B57:B68)</f>
        <v>0.5</v>
      </c>
      <c r="G37" s="171">
        <f>ROUND(IF(E2="工业",C37*$M$42,C37*$M$41),0)</f>
        <v>68</v>
      </c>
      <c r="H37" s="171">
        <f>D37</f>
        <v>0</v>
      </c>
      <c r="I37" s="171">
        <f>ROUND(G37*H37/10000,0)</f>
        <v>0</v>
      </c>
      <c r="J37" s="3012"/>
      <c r="K37" s="3361" t="s">
        <v>3266</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ht="15">
      <c r="A38" s="3658"/>
      <c r="B38" s="2041" t="s">
        <v>2037</v>
      </c>
      <c r="C38" s="175">
        <f>ROUND(D5*C22*C23*C24*C28*F38,0)</f>
        <v>182</v>
      </c>
      <c r="D38" s="2098"/>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6" thickBot="1">
      <c r="A39" s="3658"/>
      <c r="B39" s="2041" t="s">
        <v>3259</v>
      </c>
      <c r="C39" s="175">
        <f>ROUND(D5*C22*C23*C24*C28*F39,0)</f>
        <v>182</v>
      </c>
      <c r="D39" s="2098"/>
      <c r="E39" s="171">
        <f t="shared" si="4"/>
        <v>0</v>
      </c>
      <c r="F39" s="171">
        <f>SUMIF(修正!A57:A68,G2,修正!D57:D68)</f>
        <v>0.2</v>
      </c>
      <c r="G39" s="171">
        <f>ROUND(IF(E2="工业",C39*$M$42,C39*$M$41),0)</f>
        <v>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ht="15">
      <c r="A40" s="2115"/>
      <c r="B40" s="2041" t="s">
        <v>2038</v>
      </c>
      <c r="C40" s="171">
        <f>ROUND(D5*C22*C23*C24*C28*F40,0)</f>
        <v>182</v>
      </c>
      <c r="D40" s="2098"/>
      <c r="E40" s="171">
        <f t="shared" si="4"/>
        <v>0</v>
      </c>
      <c r="F40" s="175">
        <f>SUMIF(修正!A57:A68,G2,修正!E57:E68)</f>
        <v>0.2</v>
      </c>
      <c r="G40" s="171">
        <f>ROUND(IF(E2="工业",C40*$M$42,C40*$M$41),0)</f>
        <v>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ht="15">
      <c r="A41" s="2115"/>
      <c r="B41" s="2041" t="s">
        <v>2040</v>
      </c>
      <c r="C41" s="171">
        <f>ROUND(D5*C22*C23*C44*C28*F41,0)</f>
        <v>182</v>
      </c>
      <c r="D41" s="2098"/>
      <c r="E41" s="171">
        <f t="shared" si="4"/>
        <v>0</v>
      </c>
      <c r="F41" s="175">
        <f>SUMIF(修正!A57:A68,G2,修正!F57:F68)</f>
        <v>0.2</v>
      </c>
      <c r="G41" s="171">
        <f>ROUND(IF(E2="工业",C41*$M$42,C41*$M$41),0)</f>
        <v>27</v>
      </c>
      <c r="H41" s="171">
        <f t="shared" si="5"/>
        <v>0</v>
      </c>
      <c r="I41" s="171">
        <f t="shared" si="6"/>
        <v>0</v>
      </c>
      <c r="J41" s="2114"/>
      <c r="L41" s="3362" t="s">
        <v>3267</v>
      </c>
      <c r="M41" s="2118">
        <v>0.25</v>
      </c>
      <c r="Z41" s="1120"/>
      <c r="AA41" s="1120"/>
      <c r="AB41" s="1120"/>
      <c r="AC41" s="1120"/>
      <c r="AD41" s="1120"/>
      <c r="AE41" s="1120"/>
      <c r="AF41" s="1120"/>
      <c r="AG41" s="1120"/>
      <c r="AH41" s="1120"/>
      <c r="AI41" s="1120"/>
      <c r="AJ41" s="1120"/>
    </row>
    <row r="42" spans="1:37" s="1119" customFormat="1" ht="16" thickBot="1">
      <c r="A42" s="2101"/>
      <c r="B42" s="2119" t="s">
        <v>2041</v>
      </c>
      <c r="C42" s="187">
        <f>ROUND(D5*C22*C23*C44*C28*F42,0)</f>
        <v>91</v>
      </c>
      <c r="D42" s="2103"/>
      <c r="E42" s="187">
        <f t="shared" si="4"/>
        <v>0</v>
      </c>
      <c r="F42" s="767">
        <f>SUMIF(修正!A57:A68,G2,修正!G57:G68)</f>
        <v>0.1</v>
      </c>
      <c r="G42" s="187">
        <f>ROUND(IF(E2="工业",C42*$M$42,C42*$M$41),0)</f>
        <v>14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15">
      <c r="A44" s="1120"/>
      <c r="B44" s="2154" t="s">
        <v>2122</v>
      </c>
      <c r="C44" s="342">
        <f>ROUND(POWER(1+E44,H44-G44)*(POWER(1+E44,G44)-1)/(POWER(1+E44,H44)-1),4)</f>
        <v>0.89229999999999998</v>
      </c>
      <c r="D44" s="171" t="s">
        <v>1999</v>
      </c>
      <c r="E44" s="2153">
        <f>G24</f>
        <v>0.05</v>
      </c>
      <c r="F44" s="171" t="s">
        <v>2008</v>
      </c>
      <c r="G44" s="183">
        <f>项目基本情况!H15</f>
        <v>34.53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30">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0">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5">
      <c r="A51" s="2130" t="s">
        <v>2053</v>
      </c>
      <c r="B51" s="2134">
        <f>估价对象房地状况!C18</f>
        <v>0</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5">
      <c r="A52" s="3371" t="s">
        <v>3269</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4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30">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0">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30">
      <c r="A56" s="2137" t="s">
        <v>2059</v>
      </c>
      <c r="B56" s="1326">
        <f>估价对象房地状况!C21</f>
        <v>0</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30">
      <c r="A57" s="2137" t="s">
        <v>2060</v>
      </c>
      <c r="B57" s="2134">
        <f>估价对象房地状况!C22</f>
        <v>0</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1" thickBot="1">
      <c r="A58" s="2138" t="s">
        <v>2061</v>
      </c>
      <c r="B58" s="2139">
        <f>估价对象房地状况!C20</f>
        <v>0</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30">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0">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5">
      <c r="A62" s="2130" t="s">
        <v>2053</v>
      </c>
      <c r="B62" s="2134">
        <f>估价对象房地状况!C18</f>
        <v>0</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5">
      <c r="A63" s="3371" t="s">
        <v>3269</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4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30">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0">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30">
      <c r="A67" s="2130" t="s">
        <v>2059</v>
      </c>
      <c r="B67" s="1326">
        <f>估价对象房地状况!C21</f>
        <v>0</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30">
      <c r="A68" s="2130" t="s">
        <v>2060</v>
      </c>
      <c r="B68" s="1326">
        <f>估价对象房地状况!C22</f>
        <v>0</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1" thickBot="1">
      <c r="A69" s="2138" t="s">
        <v>2061</v>
      </c>
      <c r="B69" s="2140">
        <f>估价对象房地状况!C20</f>
        <v>0</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30">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0">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5">
      <c r="A73" s="2130" t="s">
        <v>2053</v>
      </c>
      <c r="B73" s="2134">
        <f>估价对象房地状况!C18</f>
        <v>0</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5">
      <c r="A74" s="3371" t="s">
        <v>3269</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30">
      <c r="A76" s="2130" t="s">
        <v>2059</v>
      </c>
      <c r="B76" s="1326">
        <f>估价对象房地状况!C21</f>
        <v>0</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30">
      <c r="A77" s="2130" t="s">
        <v>2060</v>
      </c>
      <c r="B77" s="1326">
        <f>估价对象房地状况!C22</f>
        <v>0</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30">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30">
      <c r="A79" s="2130" t="s">
        <v>2061</v>
      </c>
      <c r="B79" s="2133">
        <f>估价对象房地状况!C20</f>
        <v>0</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31"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4">
      <c r="A81" s="2126" t="s">
        <v>2069</v>
      </c>
      <c r="B81" s="2127">
        <f>1+E83</f>
        <v>1.05</v>
      </c>
      <c r="C81" s="741"/>
      <c r="D81" s="741"/>
      <c r="E81" s="742"/>
      <c r="F81" s="2129"/>
      <c r="G81" s="3"/>
      <c r="H81" s="3"/>
      <c r="I81" s="3"/>
      <c r="J81" s="4"/>
      <c r="K81" s="4"/>
      <c r="L81" s="4"/>
      <c r="M81" s="4"/>
      <c r="N81" s="4"/>
      <c r="Z81" s="1998"/>
      <c r="AA81" s="2053"/>
      <c r="AG81" s="1121"/>
      <c r="AK81" s="2053"/>
    </row>
    <row r="82" spans="1:37" ht="30">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0">
      <c r="A83" s="2130" t="s">
        <v>2070</v>
      </c>
      <c r="B83" s="2134">
        <f>估价对象房地状况!G15</f>
        <v>0</v>
      </c>
      <c r="C83" s="2044" t="s">
        <v>3390</v>
      </c>
      <c r="D83" s="1065">
        <f t="shared" ref="D83:D90" si="22">SUMIF($J$82:$N$82,C83,J83:N83)</f>
        <v>1.6299999999999999E-2</v>
      </c>
      <c r="E83" s="744">
        <f>ROUND(SUM(D83:D90),4)</f>
        <v>0.05</v>
      </c>
      <c r="F83" s="1814">
        <f>IF(E2="工业",SUMIF(L1:L12,G2,N1:N12),"——")</f>
        <v>0.126</v>
      </c>
      <c r="G83" s="1063">
        <f>H83</f>
        <v>1.6299999999999999E-2</v>
      </c>
      <c r="H83" s="1066">
        <f t="shared" ref="H83:H90" si="23">IFERROR(ROUNDDOWN($F$83*I83/2,4),"——")</f>
        <v>1.6299999999999999E-2</v>
      </c>
      <c r="I83" s="3369">
        <v>0.26</v>
      </c>
      <c r="J83" s="1064">
        <f t="shared" ref="J83:J90" si="24">K83+$G83</f>
        <v>3.2599999999999997E-2</v>
      </c>
      <c r="K83" s="1064">
        <f t="shared" ref="K83:K90" si="25">$L83+$G83</f>
        <v>1.6299999999999999E-2</v>
      </c>
      <c r="L83" s="1064">
        <v>0</v>
      </c>
      <c r="M83" s="1064">
        <f t="shared" ref="M83:N90" si="26">L83-$G83</f>
        <v>-1.6299999999999999E-2</v>
      </c>
      <c r="N83" s="1064">
        <f t="shared" si="26"/>
        <v>-3.2599999999999997E-2</v>
      </c>
      <c r="Z83" s="1998"/>
      <c r="AA83" s="2053"/>
      <c r="AG83" s="1121"/>
      <c r="AK83" s="2053"/>
    </row>
    <row r="84" spans="1:37" ht="15">
      <c r="A84" s="2130" t="s">
        <v>2053</v>
      </c>
      <c r="B84" s="2134">
        <f>估价对象房地状况!G16</f>
        <v>0</v>
      </c>
      <c r="C84" s="2044" t="s">
        <v>3391</v>
      </c>
      <c r="D84" s="1065">
        <f t="shared" si="22"/>
        <v>0</v>
      </c>
      <c r="E84" s="747"/>
      <c r="F84" s="1814"/>
      <c r="G84" s="1063">
        <f t="shared" ref="G84:G90" si="27">H84</f>
        <v>1.89E-2</v>
      </c>
      <c r="H84" s="1066">
        <f t="shared" si="23"/>
        <v>1.89E-2</v>
      </c>
      <c r="I84" s="3369">
        <v>0.3</v>
      </c>
      <c r="J84" s="1064">
        <f t="shared" si="24"/>
        <v>3.78E-2</v>
      </c>
      <c r="K84" s="1064">
        <f t="shared" si="25"/>
        <v>1.89E-2</v>
      </c>
      <c r="L84" s="1064">
        <v>0</v>
      </c>
      <c r="M84" s="1064">
        <f t="shared" si="26"/>
        <v>-1.89E-2</v>
      </c>
      <c r="N84" s="1064">
        <f t="shared" si="26"/>
        <v>-3.78E-2</v>
      </c>
      <c r="Z84" s="1998"/>
      <c r="AA84" s="2053"/>
      <c r="AG84" s="1121"/>
      <c r="AK84" s="2053"/>
    </row>
    <row r="85" spans="1:37" ht="45">
      <c r="A85" s="3371" t="s">
        <v>3270</v>
      </c>
      <c r="B85" s="2134">
        <f>估价对象房地状况!G17</f>
        <v>0</v>
      </c>
      <c r="C85" s="2044" t="s">
        <v>3392</v>
      </c>
      <c r="D85" s="1065">
        <f t="shared" si="22"/>
        <v>1.26E-2</v>
      </c>
      <c r="E85" s="747"/>
      <c r="F85" s="1814"/>
      <c r="G85" s="1063">
        <f t="shared" si="27"/>
        <v>6.3E-3</v>
      </c>
      <c r="H85" s="1066">
        <f t="shared" si="23"/>
        <v>6.3E-3</v>
      </c>
      <c r="I85" s="3369">
        <v>0.1</v>
      </c>
      <c r="J85" s="1064">
        <f t="shared" si="24"/>
        <v>1.26E-2</v>
      </c>
      <c r="K85" s="1064">
        <f t="shared" si="25"/>
        <v>6.3E-3</v>
      </c>
      <c r="L85" s="1064">
        <v>0</v>
      </c>
      <c r="M85" s="1064">
        <f t="shared" si="26"/>
        <v>-6.3E-3</v>
      </c>
      <c r="N85" s="1064">
        <f t="shared" si="26"/>
        <v>-1.26E-2</v>
      </c>
      <c r="Z85" s="1998"/>
      <c r="AA85" s="2053"/>
      <c r="AG85" s="1121"/>
      <c r="AK85" s="2053"/>
    </row>
    <row r="86" spans="1:37" ht="15">
      <c r="A86" s="2130" t="s">
        <v>2067</v>
      </c>
      <c r="B86" s="2134">
        <f>估价对象房地状况!G22</f>
        <v>0</v>
      </c>
      <c r="C86" s="3455" t="s">
        <v>3390</v>
      </c>
      <c r="D86" s="1065">
        <f t="shared" si="22"/>
        <v>3.0999999999999999E-3</v>
      </c>
      <c r="E86" s="747"/>
      <c r="F86" s="1814"/>
      <c r="G86" s="1063">
        <f t="shared" si="27"/>
        <v>3.0999999999999999E-3</v>
      </c>
      <c r="H86" s="1066">
        <f t="shared" si="23"/>
        <v>3.0999999999999999E-3</v>
      </c>
      <c r="I86" s="3369">
        <v>0.05</v>
      </c>
      <c r="J86" s="1064">
        <f t="shared" si="24"/>
        <v>6.1999999999999998E-3</v>
      </c>
      <c r="K86" s="1064">
        <f t="shared" si="25"/>
        <v>3.0999999999999999E-3</v>
      </c>
      <c r="L86" s="1064">
        <v>0</v>
      </c>
      <c r="M86" s="1064">
        <f t="shared" si="26"/>
        <v>-3.0999999999999999E-3</v>
      </c>
      <c r="N86" s="1064">
        <f t="shared" si="26"/>
        <v>-6.1999999999999998E-3</v>
      </c>
      <c r="Z86" s="1998"/>
      <c r="AA86" s="2053"/>
      <c r="AG86" s="1121"/>
      <c r="AK86" s="2053"/>
    </row>
    <row r="87" spans="1:37" ht="30">
      <c r="A87" s="2130" t="s">
        <v>2059</v>
      </c>
      <c r="B87" s="1326">
        <f>估价对象房地状况!G19</f>
        <v>0</v>
      </c>
      <c r="C87" s="3455" t="s">
        <v>3391</v>
      </c>
      <c r="D87" s="1065">
        <f t="shared" si="22"/>
        <v>0</v>
      </c>
      <c r="E87" s="747"/>
      <c r="F87" s="1814"/>
      <c r="G87" s="1063">
        <f t="shared" si="27"/>
        <v>3.7000000000000002E-3</v>
      </c>
      <c r="H87" s="1066">
        <f t="shared" si="23"/>
        <v>3.7000000000000002E-3</v>
      </c>
      <c r="I87" s="3369">
        <v>0.06</v>
      </c>
      <c r="J87" s="1064">
        <f t="shared" si="24"/>
        <v>7.4000000000000003E-3</v>
      </c>
      <c r="K87" s="1064">
        <f t="shared" si="25"/>
        <v>3.7000000000000002E-3</v>
      </c>
      <c r="L87" s="1064">
        <v>0</v>
      </c>
      <c r="M87" s="1064">
        <f t="shared" si="26"/>
        <v>-3.7000000000000002E-3</v>
      </c>
      <c r="N87" s="1064">
        <f t="shared" si="26"/>
        <v>-7.4000000000000003E-3</v>
      </c>
    </row>
    <row r="88" spans="1:37" ht="30">
      <c r="A88" s="2130" t="s">
        <v>2060</v>
      </c>
      <c r="B88" s="1326">
        <f>估价对象房地状况!G20</f>
        <v>0</v>
      </c>
      <c r="C88" s="2044" t="s">
        <v>3390</v>
      </c>
      <c r="D88" s="1065">
        <f t="shared" si="22"/>
        <v>7.4999999999999997E-3</v>
      </c>
      <c r="E88" s="747"/>
      <c r="F88" s="1814"/>
      <c r="G88" s="1063">
        <f t="shared" si="27"/>
        <v>7.4999999999999997E-3</v>
      </c>
      <c r="H88" s="1066">
        <f t="shared" si="23"/>
        <v>7.4999999999999997E-3</v>
      </c>
      <c r="I88" s="3369">
        <v>0.12</v>
      </c>
      <c r="J88" s="1064">
        <f t="shared" si="24"/>
        <v>1.4999999999999999E-2</v>
      </c>
      <c r="K88" s="1064">
        <f t="shared" si="25"/>
        <v>7.4999999999999997E-3</v>
      </c>
      <c r="L88" s="1064">
        <v>0</v>
      </c>
      <c r="M88" s="1064">
        <f t="shared" si="26"/>
        <v>-7.4999999999999997E-3</v>
      </c>
      <c r="N88" s="1064">
        <f t="shared" si="26"/>
        <v>-1.4999999999999999E-2</v>
      </c>
    </row>
    <row r="89" spans="1:37" ht="30">
      <c r="A89" s="2130" t="s">
        <v>2057</v>
      </c>
      <c r="B89" s="2136" t="s">
        <v>2071</v>
      </c>
      <c r="C89" s="2044" t="s">
        <v>3392</v>
      </c>
      <c r="D89" s="1065">
        <f t="shared" si="22"/>
        <v>7.4000000000000003E-3</v>
      </c>
      <c r="E89" s="747"/>
      <c r="F89" s="1814"/>
      <c r="G89" s="1063">
        <f t="shared" si="27"/>
        <v>3.7000000000000002E-3</v>
      </c>
      <c r="H89" s="1066">
        <f t="shared" si="23"/>
        <v>3.7000000000000002E-3</v>
      </c>
      <c r="I89" s="3369">
        <v>0.06</v>
      </c>
      <c r="J89" s="1064">
        <f t="shared" si="24"/>
        <v>7.4000000000000003E-3</v>
      </c>
      <c r="K89" s="1064">
        <f t="shared" si="25"/>
        <v>3.7000000000000002E-3</v>
      </c>
      <c r="L89" s="1064">
        <v>0</v>
      </c>
      <c r="M89" s="1064">
        <f t="shared" si="26"/>
        <v>-3.7000000000000002E-3</v>
      </c>
      <c r="N89" s="1064">
        <f t="shared" si="26"/>
        <v>-7.4000000000000003E-3</v>
      </c>
    </row>
    <row r="90" spans="1:37" ht="16" thickBot="1">
      <c r="A90" s="2138" t="s">
        <v>2072</v>
      </c>
      <c r="B90" s="2143">
        <f>估价对象房地状况!G18</f>
        <v>0</v>
      </c>
      <c r="C90" s="2044" t="s">
        <v>3390</v>
      </c>
      <c r="D90" s="1065">
        <f t="shared" si="22"/>
        <v>3.0999999999999999E-3</v>
      </c>
      <c r="E90" s="748"/>
      <c r="F90" s="1814"/>
      <c r="G90" s="1063">
        <f t="shared" si="27"/>
        <v>3.0999999999999999E-3</v>
      </c>
      <c r="H90" s="1066">
        <f t="shared" si="23"/>
        <v>3.0999999999999999E-3</v>
      </c>
      <c r="I90" s="3370">
        <v>0.05</v>
      </c>
      <c r="J90" s="1064">
        <f t="shared" si="24"/>
        <v>6.1999999999999998E-3</v>
      </c>
      <c r="K90" s="1064">
        <f t="shared" si="25"/>
        <v>3.0999999999999999E-3</v>
      </c>
      <c r="L90" s="1064">
        <v>0</v>
      </c>
      <c r="M90" s="1064">
        <f t="shared" si="26"/>
        <v>-3.0999999999999999E-3</v>
      </c>
      <c r="N90" s="1064">
        <f t="shared" si="26"/>
        <v>-6.1999999999999998E-3</v>
      </c>
    </row>
    <row r="91" spans="1:37" ht="14">
      <c r="A91" s="3379" t="s">
        <v>2606</v>
      </c>
      <c r="B91" s="3380">
        <f>1+E93</f>
        <v>1</v>
      </c>
      <c r="C91" s="3373"/>
      <c r="D91" s="3374"/>
      <c r="E91" s="1814"/>
      <c r="F91" s="1814"/>
      <c r="G91" s="3375"/>
      <c r="H91" s="3376"/>
      <c r="I91" s="3377"/>
      <c r="J91" s="3378"/>
      <c r="K91" s="3378"/>
      <c r="L91" s="3378"/>
      <c r="M91" s="3378"/>
      <c r="N91" s="3378"/>
    </row>
    <row r="92" spans="1:37" ht="30">
      <c r="A92" s="3381" t="s">
        <v>3271</v>
      </c>
      <c r="B92" s="3368"/>
      <c r="C92" s="3368" t="s">
        <v>3280</v>
      </c>
      <c r="D92" s="3368" t="s">
        <v>3281</v>
      </c>
      <c r="E92" s="3350" t="s">
        <v>3282</v>
      </c>
      <c r="F92" s="3383" t="s">
        <v>3283</v>
      </c>
      <c r="G92" s="3368" t="s">
        <v>3284</v>
      </c>
      <c r="H92" s="3390" t="s">
        <v>3287</v>
      </c>
      <c r="I92" s="3368" t="s">
        <v>3288</v>
      </c>
      <c r="J92" s="3391" t="s">
        <v>3289</v>
      </c>
      <c r="K92" s="3391" t="s">
        <v>3290</v>
      </c>
      <c r="L92" s="3391" t="s">
        <v>3291</v>
      </c>
      <c r="M92" s="3391" t="s">
        <v>3292</v>
      </c>
      <c r="N92" s="3391" t="s">
        <v>3293</v>
      </c>
    </row>
    <row r="93" spans="1:37" ht="30">
      <c r="A93" s="3371" t="s">
        <v>3272</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8">K93+$G93</f>
        <v>0</v>
      </c>
      <c r="K93" s="3347">
        <f t="shared" ref="K93:K101" si="29">$L93+$G93</f>
        <v>0</v>
      </c>
      <c r="L93" s="3347">
        <v>0</v>
      </c>
      <c r="M93" s="3347">
        <f t="shared" ref="M93:N101" si="30">L93-$G93</f>
        <v>0</v>
      </c>
      <c r="N93" s="3347">
        <f t="shared" si="30"/>
        <v>0</v>
      </c>
    </row>
    <row r="94" spans="1:37" ht="15">
      <c r="A94" s="3381" t="s">
        <v>3273</v>
      </c>
      <c r="B94" s="3372">
        <f>估价对象房地状况!C18</f>
        <v>0</v>
      </c>
      <c r="C94" s="2044"/>
      <c r="D94" s="3368">
        <f t="shared" ref="D94:D101" si="31">SUMIF($J$60:$N$60,C94,J94:N94)</f>
        <v>0</v>
      </c>
      <c r="E94" s="3385"/>
      <c r="F94" s="1814"/>
      <c r="G94" s="3375"/>
      <c r="H94" s="3423" t="str">
        <f>IFERROR(ROUNDDOWN($F$93*I94/2,4),"——")</f>
        <v>——</v>
      </c>
      <c r="I94" s="3369">
        <v>0.26</v>
      </c>
      <c r="J94" s="3347">
        <f t="shared" si="28"/>
        <v>0</v>
      </c>
      <c r="K94" s="3347">
        <f t="shared" si="29"/>
        <v>0</v>
      </c>
      <c r="L94" s="3347">
        <v>0</v>
      </c>
      <c r="M94" s="3347">
        <f t="shared" si="30"/>
        <v>0</v>
      </c>
      <c r="N94" s="3347">
        <f t="shared" si="30"/>
        <v>0</v>
      </c>
    </row>
    <row r="95" spans="1:37" ht="45">
      <c r="A95" s="3371" t="s">
        <v>3269</v>
      </c>
      <c r="B95" s="3372">
        <f>估价对象房地状况!C19</f>
        <v>0</v>
      </c>
      <c r="C95" s="2044"/>
      <c r="D95" s="3368">
        <f t="shared" si="31"/>
        <v>0</v>
      </c>
      <c r="E95" s="3385"/>
      <c r="F95" s="1814"/>
      <c r="G95" s="3375"/>
      <c r="H95" s="3423" t="str">
        <f t="shared" ref="H95:H101" si="32">IFERROR(ROUNDDOWN($F$93*I95/2,4),"——")</f>
        <v>——</v>
      </c>
      <c r="I95" s="3369">
        <v>0.11</v>
      </c>
      <c r="J95" s="3347">
        <f t="shared" si="28"/>
        <v>0</v>
      </c>
      <c r="K95" s="3347">
        <f t="shared" si="29"/>
        <v>0</v>
      </c>
      <c r="L95" s="3347">
        <v>0</v>
      </c>
      <c r="M95" s="3347">
        <f t="shared" si="30"/>
        <v>0</v>
      </c>
      <c r="N95" s="3347">
        <f t="shared" si="30"/>
        <v>0</v>
      </c>
    </row>
    <row r="96" spans="1:37" ht="45">
      <c r="A96" s="3381" t="s">
        <v>3274</v>
      </c>
      <c r="B96" s="3387" t="s">
        <v>3285</v>
      </c>
      <c r="C96" s="2044"/>
      <c r="D96" s="3368">
        <f t="shared" si="31"/>
        <v>0</v>
      </c>
      <c r="E96" s="3385"/>
      <c r="F96" s="1814"/>
      <c r="G96" s="3375"/>
      <c r="H96" s="3423" t="str">
        <f t="shared" si="32"/>
        <v>——</v>
      </c>
      <c r="I96" s="3369">
        <v>0.05</v>
      </c>
      <c r="J96" s="3347">
        <f t="shared" si="28"/>
        <v>0</v>
      </c>
      <c r="K96" s="3347">
        <f t="shared" si="29"/>
        <v>0</v>
      </c>
      <c r="L96" s="3347">
        <v>0</v>
      </c>
      <c r="M96" s="3347">
        <f t="shared" si="30"/>
        <v>0</v>
      </c>
      <c r="N96" s="3347">
        <f t="shared" si="30"/>
        <v>0</v>
      </c>
    </row>
    <row r="97" spans="1:14" ht="30">
      <c r="A97" s="3381" t="s">
        <v>3275</v>
      </c>
      <c r="B97" s="3372">
        <f>估价对象房地状况!C24</f>
        <v>0</v>
      </c>
      <c r="C97" s="2044"/>
      <c r="D97" s="3368">
        <f t="shared" si="31"/>
        <v>0</v>
      </c>
      <c r="E97" s="3385"/>
      <c r="F97" s="1814"/>
      <c r="G97" s="3375"/>
      <c r="H97" s="3423" t="str">
        <f t="shared" si="32"/>
        <v>——</v>
      </c>
      <c r="I97" s="3369">
        <v>0.05</v>
      </c>
      <c r="J97" s="3347">
        <f t="shared" si="28"/>
        <v>0</v>
      </c>
      <c r="K97" s="3347">
        <f t="shared" si="29"/>
        <v>0</v>
      </c>
      <c r="L97" s="3347">
        <v>0</v>
      </c>
      <c r="M97" s="3347">
        <f t="shared" si="30"/>
        <v>0</v>
      </c>
      <c r="N97" s="3347">
        <f t="shared" si="30"/>
        <v>0</v>
      </c>
    </row>
    <row r="98" spans="1:14" ht="30">
      <c r="A98" s="3381" t="s">
        <v>3276</v>
      </c>
      <c r="B98" s="3388" t="s">
        <v>3286</v>
      </c>
      <c r="C98" s="2044"/>
      <c r="D98" s="3368">
        <f t="shared" si="31"/>
        <v>0</v>
      </c>
      <c r="E98" s="3385"/>
      <c r="F98" s="1814"/>
      <c r="G98" s="3375"/>
      <c r="H98" s="3423" t="str">
        <f t="shared" si="32"/>
        <v>——</v>
      </c>
      <c r="I98" s="3369">
        <v>0.06</v>
      </c>
      <c r="J98" s="3347">
        <f t="shared" si="28"/>
        <v>0</v>
      </c>
      <c r="K98" s="3347">
        <f t="shared" si="29"/>
        <v>0</v>
      </c>
      <c r="L98" s="3347">
        <v>0</v>
      </c>
      <c r="M98" s="3347">
        <f t="shared" si="30"/>
        <v>0</v>
      </c>
      <c r="N98" s="3347">
        <f t="shared" si="30"/>
        <v>0</v>
      </c>
    </row>
    <row r="99" spans="1:14" ht="30">
      <c r="A99" s="3381" t="s">
        <v>3277</v>
      </c>
      <c r="B99" s="3372">
        <f>估价对象房地状况!C21</f>
        <v>0</v>
      </c>
      <c r="C99" s="2044"/>
      <c r="D99" s="3368">
        <f t="shared" si="31"/>
        <v>0</v>
      </c>
      <c r="E99" s="3385"/>
      <c r="F99" s="1814"/>
      <c r="G99" s="3375"/>
      <c r="H99" s="3423" t="str">
        <f t="shared" si="32"/>
        <v>——</v>
      </c>
      <c r="I99" s="3369">
        <v>0.06</v>
      </c>
      <c r="J99" s="3347">
        <f t="shared" si="28"/>
        <v>0</v>
      </c>
      <c r="K99" s="3347">
        <f t="shared" si="29"/>
        <v>0</v>
      </c>
      <c r="L99" s="3347">
        <v>0</v>
      </c>
      <c r="M99" s="3347">
        <f t="shared" si="30"/>
        <v>0</v>
      </c>
      <c r="N99" s="3347">
        <f t="shared" si="30"/>
        <v>0</v>
      </c>
    </row>
    <row r="100" spans="1:14" ht="30">
      <c r="A100" s="3381" t="s">
        <v>3278</v>
      </c>
      <c r="B100" s="3372">
        <f>估价对象房地状况!C22</f>
        <v>0</v>
      </c>
      <c r="C100" s="2044"/>
      <c r="D100" s="3368">
        <f t="shared" si="31"/>
        <v>0</v>
      </c>
      <c r="E100" s="3385"/>
      <c r="F100" s="1814"/>
      <c r="G100" s="3375"/>
      <c r="H100" s="3423" t="str">
        <f t="shared" si="32"/>
        <v>——</v>
      </c>
      <c r="I100" s="3369">
        <v>0.09</v>
      </c>
      <c r="J100" s="3347">
        <f t="shared" si="28"/>
        <v>0</v>
      </c>
      <c r="K100" s="3347">
        <f t="shared" si="29"/>
        <v>0</v>
      </c>
      <c r="L100" s="3347">
        <v>0</v>
      </c>
      <c r="M100" s="3347">
        <f t="shared" si="30"/>
        <v>0</v>
      </c>
      <c r="N100" s="3347">
        <f t="shared" si="30"/>
        <v>0</v>
      </c>
    </row>
    <row r="101" spans="1:14" ht="31" thickBot="1">
      <c r="A101" s="3382" t="s">
        <v>3279</v>
      </c>
      <c r="B101" s="3389">
        <f>估价对象房地状况!C20</f>
        <v>0</v>
      </c>
      <c r="C101" s="2044"/>
      <c r="D101" s="3368">
        <f t="shared" si="31"/>
        <v>0</v>
      </c>
      <c r="E101" s="3386"/>
      <c r="F101" s="1814"/>
      <c r="G101" s="3375"/>
      <c r="H101" s="3423" t="str">
        <f t="shared" si="32"/>
        <v>——</v>
      </c>
      <c r="I101" s="3370">
        <v>7.0000000000000007E-2</v>
      </c>
      <c r="J101" s="3347">
        <f t="shared" si="28"/>
        <v>0</v>
      </c>
      <c r="K101" s="3347">
        <f t="shared" si="29"/>
        <v>0</v>
      </c>
      <c r="L101" s="3347">
        <v>0</v>
      </c>
      <c r="M101" s="3347">
        <f t="shared" si="30"/>
        <v>0</v>
      </c>
      <c r="N101" s="3347">
        <f t="shared" si="30"/>
        <v>0</v>
      </c>
    </row>
    <row r="103" spans="1:14" ht="14">
      <c r="A103" s="3655" t="s">
        <v>3294</v>
      </c>
      <c r="B103" s="3655"/>
      <c r="C103" s="3655"/>
      <c r="D103" s="3655"/>
      <c r="E103" s="3655"/>
      <c r="F103" s="3655"/>
      <c r="G103" s="3655"/>
      <c r="H103" s="3655"/>
      <c r="I103" s="3655"/>
      <c r="J103" s="3655"/>
      <c r="K103" s="3392"/>
      <c r="L103" s="3392"/>
      <c r="M103" s="3392"/>
      <c r="N103" s="3392"/>
    </row>
    <row r="104" spans="1:14" ht="14">
      <c r="A104" s="3656" t="s">
        <v>3295</v>
      </c>
      <c r="B104" s="3656" t="s">
        <v>3296</v>
      </c>
      <c r="C104" s="3393" t="s">
        <v>3297</v>
      </c>
      <c r="D104" s="3394"/>
      <c r="E104" s="3394"/>
      <c r="F104" s="3394"/>
      <c r="G104" s="3394"/>
      <c r="H104" s="3394"/>
      <c r="I104" s="3394"/>
      <c r="J104" s="3395"/>
      <c r="K104" s="3396"/>
      <c r="L104" s="3396"/>
      <c r="M104" s="3396"/>
      <c r="N104" s="3396"/>
    </row>
    <row r="105" spans="1:14" ht="14">
      <c r="A105" s="3656"/>
      <c r="B105" s="3656"/>
      <c r="C105" s="3397" t="s">
        <v>3298</v>
      </c>
      <c r="D105" s="3397" t="s">
        <v>3299</v>
      </c>
      <c r="E105" s="3397" t="s">
        <v>3300</v>
      </c>
      <c r="F105" s="3397" t="s">
        <v>3301</v>
      </c>
      <c r="G105" s="3397" t="s">
        <v>3302</v>
      </c>
      <c r="H105" s="3397" t="s">
        <v>3303</v>
      </c>
      <c r="I105" s="3397" t="s">
        <v>3304</v>
      </c>
      <c r="J105" s="3397" t="s">
        <v>3305</v>
      </c>
      <c r="K105" s="3397" t="s">
        <v>3306</v>
      </c>
      <c r="L105" s="3397" t="s">
        <v>3307</v>
      </c>
      <c r="M105" s="3397" t="s">
        <v>3308</v>
      </c>
      <c r="N105" s="3397" t="s">
        <v>3309</v>
      </c>
    </row>
    <row r="106" spans="1:14">
      <c r="A106" s="3642" t="s">
        <v>3310</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643"/>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643"/>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643"/>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643"/>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ht="14">
      <c r="A111" s="3643"/>
      <c r="B111" s="3397" t="s">
        <v>3268</v>
      </c>
      <c r="C111" s="3398">
        <f>$I$3</f>
        <v>0</v>
      </c>
      <c r="D111" s="3398">
        <f t="shared" ref="D111:M111" si="33">$I$3</f>
        <v>0</v>
      </c>
      <c r="E111" s="3398">
        <f t="shared" si="33"/>
        <v>0</v>
      </c>
      <c r="F111" s="3398">
        <f t="shared" si="33"/>
        <v>0</v>
      </c>
      <c r="G111" s="3398">
        <f t="shared" si="33"/>
        <v>0</v>
      </c>
      <c r="H111" s="3398">
        <f t="shared" si="33"/>
        <v>0</v>
      </c>
      <c r="I111" s="3398">
        <f t="shared" si="33"/>
        <v>0</v>
      </c>
      <c r="J111" s="3398">
        <f t="shared" si="33"/>
        <v>0</v>
      </c>
      <c r="K111" s="3398">
        <f t="shared" si="33"/>
        <v>0</v>
      </c>
      <c r="L111" s="3398">
        <f t="shared" si="33"/>
        <v>0</v>
      </c>
      <c r="M111" s="3398">
        <f t="shared" si="33"/>
        <v>0</v>
      </c>
      <c r="N111" s="3398">
        <f>$I$3</f>
        <v>0</v>
      </c>
    </row>
    <row r="112" spans="1:14">
      <c r="A112" s="3644"/>
      <c r="B112" s="3397">
        <v>6</v>
      </c>
      <c r="C112" s="3390">
        <f>(-0.5556*(C111^2)-0.2719*C111+8944)*(10^(-4))</f>
        <v>0.89440000000000008</v>
      </c>
      <c r="D112" s="3390">
        <f>(-0.5556*(D111^2)-0.2719*D111+8944)*(10^(-4))</f>
        <v>0.89440000000000008</v>
      </c>
      <c r="E112" s="3390">
        <f>(-0.7912*(E111^2)-11.3794*E111+8482)*(10^(-4))</f>
        <v>0.84820000000000007</v>
      </c>
      <c r="F112" s="3390">
        <f t="shared" ref="F112:I112" si="34">(-0.7912*(F111^2)-11.3794*F111+8482)*(10^(-4))</f>
        <v>0.84820000000000007</v>
      </c>
      <c r="G112" s="3390">
        <f t="shared" si="34"/>
        <v>0.84820000000000007</v>
      </c>
      <c r="H112" s="3390">
        <f t="shared" si="34"/>
        <v>0.84820000000000007</v>
      </c>
      <c r="I112" s="3390">
        <f t="shared" si="34"/>
        <v>0.84820000000000007</v>
      </c>
      <c r="J112" s="3390">
        <f>(-0.989*(J111^2)-63.78*J111+7771)*(10^(-4))</f>
        <v>0.77710000000000001</v>
      </c>
      <c r="K112" s="3390">
        <f t="shared" ref="K112:N112" si="35">(-0.989*(K111^2)-63.78*K111+7771)*(10^(-4))</f>
        <v>0.77710000000000001</v>
      </c>
      <c r="L112" s="3390">
        <f t="shared" si="35"/>
        <v>0.77710000000000001</v>
      </c>
      <c r="M112" s="3390">
        <f t="shared" si="35"/>
        <v>0.77710000000000001</v>
      </c>
      <c r="N112" s="3390">
        <f t="shared" si="35"/>
        <v>0.77710000000000001</v>
      </c>
    </row>
    <row r="113" spans="1:14" ht="14">
      <c r="A113" s="3645" t="s">
        <v>3311</v>
      </c>
      <c r="B113" s="3645"/>
      <c r="C113" s="3645"/>
      <c r="D113" s="3645"/>
      <c r="E113" s="3645"/>
      <c r="F113" s="3645"/>
      <c r="G113" s="3645"/>
      <c r="H113" s="3645"/>
      <c r="I113" s="3645"/>
      <c r="J113" s="3645"/>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4" thickBot="1">
      <c r="A115" s="3400"/>
      <c r="B115" s="3400"/>
      <c r="C115" s="3400"/>
      <c r="D115" s="3400"/>
      <c r="E115" s="3400"/>
      <c r="F115" s="3400"/>
      <c r="G115" s="3400"/>
      <c r="H115" s="3400"/>
      <c r="I115" s="3400"/>
      <c r="J115" s="3400"/>
      <c r="K115" s="3359"/>
      <c r="L115" s="3400"/>
      <c r="M115" s="3400"/>
      <c r="N115" s="3400"/>
    </row>
    <row r="116" spans="1:14" ht="30" thickBot="1">
      <c r="A116" s="3401" t="s">
        <v>3312</v>
      </c>
      <c r="B116" s="3418">
        <f>G3</f>
        <v>1</v>
      </c>
      <c r="C116" s="3402" t="s">
        <v>3313</v>
      </c>
      <c r="D116" s="3403">
        <f>SUMPRODUCT((A118:A122=F116)*(B117:M117=H116)*B118:M122)</f>
        <v>0.57150000000000001</v>
      </c>
      <c r="E116" s="2000" t="s">
        <v>3314</v>
      </c>
      <c r="F116" s="3404" t="str">
        <f>E2</f>
        <v>工业</v>
      </c>
      <c r="G116" s="2000" t="s">
        <v>3315</v>
      </c>
      <c r="H116" s="3404" t="str">
        <f>G2</f>
        <v>九级</v>
      </c>
      <c r="I116" s="2000"/>
      <c r="J116" s="3405"/>
      <c r="K116" s="3405"/>
      <c r="L116" s="3405"/>
      <c r="M116" s="3405"/>
      <c r="N116" s="3400"/>
    </row>
    <row r="117" spans="1:14" ht="15">
      <c r="A117" s="3406"/>
      <c r="B117" s="3407" t="s">
        <v>3316</v>
      </c>
      <c r="C117" s="3407" t="s">
        <v>3317</v>
      </c>
      <c r="D117" s="3407" t="s">
        <v>3318</v>
      </c>
      <c r="E117" s="3408" t="s">
        <v>3319</v>
      </c>
      <c r="F117" s="3408" t="s">
        <v>3320</v>
      </c>
      <c r="G117" s="3408" t="s">
        <v>3321</v>
      </c>
      <c r="H117" s="3409" t="s">
        <v>3322</v>
      </c>
      <c r="I117" s="3409" t="s">
        <v>3323</v>
      </c>
      <c r="J117" s="3410" t="s">
        <v>3324</v>
      </c>
      <c r="K117" s="3410" t="s">
        <v>3325</v>
      </c>
      <c r="L117" s="3410" t="s">
        <v>3326</v>
      </c>
      <c r="M117" s="3411" t="s">
        <v>3327</v>
      </c>
      <c r="N117" s="3400"/>
    </row>
    <row r="118" spans="1:14" ht="15">
      <c r="A118" s="3412" t="s">
        <v>3328</v>
      </c>
      <c r="B118" s="3390">
        <f>ROUND(0.9968-0.011*B116,4)</f>
        <v>0.98580000000000001</v>
      </c>
      <c r="C118" s="3390">
        <f>B118</f>
        <v>0.98580000000000001</v>
      </c>
      <c r="D118" s="3390">
        <f>ROUND(0.949-0.014*B116,4)</f>
        <v>0.93500000000000005</v>
      </c>
      <c r="E118" s="3390">
        <f>D118</f>
        <v>0.93500000000000005</v>
      </c>
      <c r="F118" s="3390">
        <f>E118</f>
        <v>0.93500000000000005</v>
      </c>
      <c r="G118" s="3390">
        <f>F118</f>
        <v>0.93500000000000005</v>
      </c>
      <c r="H118" s="3390">
        <f>G118</f>
        <v>0.93500000000000005</v>
      </c>
      <c r="I118" s="3390">
        <f>ROUND(0.8486-0.018*B116,4)</f>
        <v>0.8306</v>
      </c>
      <c r="J118" s="3390">
        <f t="shared" ref="J118:M122" si="36">I118</f>
        <v>0.8306</v>
      </c>
      <c r="K118" s="3390">
        <f t="shared" si="36"/>
        <v>0.8306</v>
      </c>
      <c r="L118" s="3390">
        <f t="shared" si="36"/>
        <v>0.8306</v>
      </c>
      <c r="M118" s="3413">
        <f t="shared" si="36"/>
        <v>0.8306</v>
      </c>
      <c r="N118" s="3400"/>
    </row>
    <row r="119" spans="1:14" ht="15">
      <c r="A119" s="3412" t="s">
        <v>3329</v>
      </c>
      <c r="B119" s="3390">
        <f>ROUND(0.993-0.0112*B116,4)</f>
        <v>0.98180000000000001</v>
      </c>
      <c r="C119" s="3390">
        <f>B119</f>
        <v>0.98180000000000001</v>
      </c>
      <c r="D119" s="3390">
        <f>ROUND(0.9415-0.0142*B116,4)</f>
        <v>0.92730000000000001</v>
      </c>
      <c r="E119" s="3390">
        <f t="shared" ref="E119:H120" si="37">D119</f>
        <v>0.92730000000000001</v>
      </c>
      <c r="F119" s="3390">
        <f t="shared" si="37"/>
        <v>0.92730000000000001</v>
      </c>
      <c r="G119" s="3390">
        <f t="shared" si="37"/>
        <v>0.92730000000000001</v>
      </c>
      <c r="H119" s="3390">
        <f t="shared" si="37"/>
        <v>0.92730000000000001</v>
      </c>
      <c r="I119" s="3390">
        <f>ROUND(0.838-0.0182*B116,4)</f>
        <v>0.81979999999999997</v>
      </c>
      <c r="J119" s="3390">
        <f t="shared" si="36"/>
        <v>0.81979999999999997</v>
      </c>
      <c r="K119" s="3390">
        <f t="shared" si="36"/>
        <v>0.81979999999999997</v>
      </c>
      <c r="L119" s="3390">
        <f t="shared" si="36"/>
        <v>0.81979999999999997</v>
      </c>
      <c r="M119" s="3413">
        <f t="shared" si="36"/>
        <v>0.81979999999999997</v>
      </c>
      <c r="N119" s="3400"/>
    </row>
    <row r="120" spans="1:14" ht="15">
      <c r="A120" s="3412" t="s">
        <v>3330</v>
      </c>
      <c r="B120" s="3390">
        <f>ROUND(0.9448-0.0115*B116,4)</f>
        <v>0.93330000000000002</v>
      </c>
      <c r="C120" s="3390">
        <f>B120</f>
        <v>0.93330000000000002</v>
      </c>
      <c r="D120" s="3390">
        <f>ROUND(0.937-0.0145*B116,4)</f>
        <v>0.92249999999999999</v>
      </c>
      <c r="E120" s="3390">
        <f t="shared" si="37"/>
        <v>0.92249999999999999</v>
      </c>
      <c r="F120" s="3390">
        <f t="shared" si="37"/>
        <v>0.92249999999999999</v>
      </c>
      <c r="G120" s="3390">
        <f t="shared" si="37"/>
        <v>0.92249999999999999</v>
      </c>
      <c r="H120" s="3390">
        <f t="shared" si="37"/>
        <v>0.92249999999999999</v>
      </c>
      <c r="I120" s="3390">
        <f>ROUND(0.7965-0.0185*B116,4)</f>
        <v>0.77800000000000002</v>
      </c>
      <c r="J120" s="3390">
        <f t="shared" si="36"/>
        <v>0.77800000000000002</v>
      </c>
      <c r="K120" s="3390">
        <f t="shared" si="36"/>
        <v>0.77800000000000002</v>
      </c>
      <c r="L120" s="3390">
        <f t="shared" si="36"/>
        <v>0.77800000000000002</v>
      </c>
      <c r="M120" s="3413">
        <f t="shared" si="36"/>
        <v>0.77800000000000002</v>
      </c>
      <c r="N120" s="3400"/>
    </row>
    <row r="121" spans="1:14" ht="16" thickBot="1">
      <c r="A121" s="3414" t="s">
        <v>3331</v>
      </c>
      <c r="B121" s="3415">
        <f>ROUND(0.7836-0.012*B116,4)</f>
        <v>0.77159999999999995</v>
      </c>
      <c r="C121" s="3415">
        <f>B121</f>
        <v>0.77159999999999995</v>
      </c>
      <c r="D121" s="3415">
        <f>ROUND(0.753-0.015*B116,4)</f>
        <v>0.73799999999999999</v>
      </c>
      <c r="E121" s="3415">
        <f>D121</f>
        <v>0.73799999999999999</v>
      </c>
      <c r="F121" s="3415">
        <f>E121</f>
        <v>0.73799999999999999</v>
      </c>
      <c r="G121" s="3415">
        <f>ROUND(0.6612-0.018*B116,4)</f>
        <v>0.64319999999999999</v>
      </c>
      <c r="H121" s="3415">
        <f>G121</f>
        <v>0.64319999999999999</v>
      </c>
      <c r="I121" s="3415">
        <f>ROUND(0.5905-0.019*B116,4)</f>
        <v>0.57150000000000001</v>
      </c>
      <c r="J121" s="3415">
        <f t="shared" si="36"/>
        <v>0.57150000000000001</v>
      </c>
      <c r="K121" s="3415">
        <f t="shared" si="36"/>
        <v>0.57150000000000001</v>
      </c>
      <c r="L121" s="3415">
        <f t="shared" si="36"/>
        <v>0.57150000000000001</v>
      </c>
      <c r="M121" s="3416">
        <f t="shared" si="36"/>
        <v>0.57150000000000001</v>
      </c>
      <c r="N121" s="3400"/>
    </row>
    <row r="122" spans="1:14" ht="15">
      <c r="A122" s="3417" t="s">
        <v>2606</v>
      </c>
      <c r="B122" s="3390">
        <f>ROUND(0.9404-0.0106*B116,4)</f>
        <v>0.92979999999999996</v>
      </c>
      <c r="C122" s="3390">
        <f>B122</f>
        <v>0.92979999999999996</v>
      </c>
      <c r="D122" s="3390">
        <f>ROUND(0.8955-0.0135*B116,4)</f>
        <v>0.88200000000000001</v>
      </c>
      <c r="E122" s="3390">
        <f t="shared" ref="E122:H122" si="38">D122</f>
        <v>0.88200000000000001</v>
      </c>
      <c r="F122" s="3390">
        <f t="shared" si="38"/>
        <v>0.88200000000000001</v>
      </c>
      <c r="G122" s="3390">
        <f t="shared" si="38"/>
        <v>0.88200000000000001</v>
      </c>
      <c r="H122" s="3390">
        <f t="shared" si="38"/>
        <v>0.88200000000000001</v>
      </c>
      <c r="I122" s="3390">
        <f>ROUND(0.7632-0.0166*B116,4)</f>
        <v>0.74660000000000004</v>
      </c>
      <c r="J122" s="3390">
        <f t="shared" si="36"/>
        <v>0.74660000000000004</v>
      </c>
      <c r="K122" s="3390">
        <f t="shared" si="36"/>
        <v>0.74660000000000004</v>
      </c>
      <c r="L122" s="3390">
        <f t="shared" si="36"/>
        <v>0.74660000000000004</v>
      </c>
      <c r="M122" s="3413">
        <f t="shared" si="36"/>
        <v>0.74660000000000004</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I35" sqref="I35"/>
    </sheetView>
  </sheetViews>
  <sheetFormatPr baseColWidth="10" defaultColWidth="9" defaultRowHeight="13"/>
  <cols>
    <col min="1" max="1" width="9" style="258" customWidth="1"/>
    <col min="2" max="2" width="20.6640625" style="655" customWidth="1"/>
    <col min="3" max="3" width="11.83203125" style="655" customWidth="1"/>
    <col min="4" max="4" width="40.5" style="258" customWidth="1"/>
    <col min="5" max="5" width="15.6640625" style="258" customWidth="1"/>
    <col min="6" max="6" width="10.6640625" style="258" customWidth="1"/>
    <col min="7" max="7" width="4.83203125" style="258" customWidth="1"/>
    <col min="8" max="8" width="8.5" style="258" customWidth="1"/>
    <col min="9" max="9" width="21.1640625" style="258" customWidth="1"/>
    <col min="10" max="10" width="12.1640625" style="258" customWidth="1"/>
    <col min="11" max="11" width="45.1640625" style="1468" customWidth="1"/>
    <col min="12" max="12" width="16.33203125" style="258" customWidth="1"/>
    <col min="13" max="13" width="13" style="258" customWidth="1"/>
    <col min="14" max="14" width="13.6640625" style="1384" customWidth="1"/>
    <col min="15" max="15" width="5.1640625" style="1384" customWidth="1"/>
    <col min="16" max="16" width="25.6640625" style="1384" customWidth="1"/>
    <col min="17" max="17" width="13.6640625" style="1384" customWidth="1"/>
    <col min="18" max="18" width="20.5" style="1384" customWidth="1"/>
    <col min="19" max="19" width="13.1640625" style="1384" customWidth="1"/>
    <col min="20" max="37" width="9" style="1384"/>
    <col min="38" max="16384" width="9" style="258"/>
  </cols>
  <sheetData>
    <row r="1" spans="1:37" s="293" customFormat="1" ht="20">
      <c r="A1" s="1375" t="s">
        <v>877</v>
      </c>
      <c r="B1" s="713"/>
      <c r="C1" s="1379" t="s">
        <v>3</v>
      </c>
      <c r="D1" s="1362" t="s">
        <v>43</v>
      </c>
      <c r="E1" s="1363" t="s">
        <v>678</v>
      </c>
      <c r="F1" s="1062">
        <f ca="1">J53</f>
        <v>34.53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8432</v>
      </c>
      <c r="C2" s="1387" t="s">
        <v>805</v>
      </c>
      <c r="D2" s="1387"/>
      <c r="E2" s="1388"/>
      <c r="F2" s="1389"/>
      <c r="G2" s="2706"/>
      <c r="H2" s="2695"/>
      <c r="I2" s="2695"/>
      <c r="J2" s="2695"/>
      <c r="K2" s="2696"/>
      <c r="L2" s="2695"/>
      <c r="M2" s="2695"/>
    </row>
    <row r="3" spans="1:37" ht="18" customHeight="1" thickBot="1">
      <c r="A3" s="1390" t="s">
        <v>806</v>
      </c>
      <c r="B3" s="1391">
        <f ca="1">IF(ISERROR(B2*10000/F43),0,ROUND(B2*10000/F43,0))</f>
        <v>3276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719</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719</v>
      </c>
      <c r="D6" s="155" t="s">
        <v>2109</v>
      </c>
      <c r="E6" s="302" t="s">
        <v>696</v>
      </c>
      <c r="F6" s="303">
        <f ca="1">INDIRECT("'数据-取费表'!u"&amp;$G$1)</f>
        <v>0.85</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25739.82</v>
      </c>
      <c r="G7" s="1384"/>
      <c r="H7" s="304"/>
      <c r="I7" s="3664"/>
      <c r="J7" s="306"/>
      <c r="K7" s="307"/>
      <c r="L7" s="302" t="s">
        <v>697</v>
      </c>
      <c r="M7" s="303">
        <f ca="1">F7</f>
        <v>25739.82</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6688</v>
      </c>
      <c r="D13" s="1081" t="s">
        <v>705</v>
      </c>
      <c r="E13" s="1081" t="s">
        <v>706</v>
      </c>
      <c r="F13" s="1082">
        <f ca="1">INDIRECT("'数据-取费表'!y"&amp;$G$1)</f>
        <v>0.89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5148</v>
      </c>
      <c r="D14" s="1345" t="s">
        <v>708</v>
      </c>
      <c r="E14" s="1342"/>
      <c r="F14" s="319"/>
      <c r="G14" s="1384"/>
      <c r="H14" s="982" t="s">
        <v>398</v>
      </c>
      <c r="I14" s="302" t="s">
        <v>709</v>
      </c>
      <c r="J14" s="21">
        <f ca="1">C29</f>
        <v>7515</v>
      </c>
      <c r="K14" s="12"/>
      <c r="L14" s="807"/>
      <c r="M14" s="808"/>
    </row>
    <row r="15" spans="1:37" s="1397" customFormat="1" ht="18" customHeight="1" thickBot="1">
      <c r="A15" s="982" t="s">
        <v>399</v>
      </c>
      <c r="B15" s="302" t="s">
        <v>710</v>
      </c>
      <c r="C15" s="21">
        <f ca="1">ROUND(C14*F15,0)</f>
        <v>154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161</v>
      </c>
      <c r="K16" s="1087" t="s">
        <v>715</v>
      </c>
      <c r="L16" s="1088"/>
      <c r="M16" s="1072"/>
    </row>
    <row r="17" spans="1:37" s="1397" customFormat="1" ht="18" customHeight="1">
      <c r="A17" s="982" t="s">
        <v>681</v>
      </c>
      <c r="B17" s="302" t="s">
        <v>716</v>
      </c>
      <c r="C17" s="21">
        <f ca="1">ROUND(F17*(F43+INDIRECT("'数据-取费表'!S"&amp;$G$1))/10000,0)</f>
        <v>515</v>
      </c>
      <c r="D17" s="302" t="s">
        <v>717</v>
      </c>
      <c r="E17" s="302" t="s">
        <v>718</v>
      </c>
      <c r="F17" s="23">
        <f>'数据-取费表'!B35</f>
        <v>200</v>
      </c>
      <c r="G17" s="1396"/>
      <c r="H17" s="982" t="s">
        <v>398</v>
      </c>
      <c r="I17" s="302" t="s">
        <v>719</v>
      </c>
      <c r="J17" s="2316">
        <f ca="1">ROUND(IF(AND(项目基本情况!B11="自然人",项目基本情况!B10="北京市"),J6*M17/(1+'数据-取费表'!C42),J18+J19+J20),2)</f>
        <v>11.13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5894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177</v>
      </c>
      <c r="D20" s="323" t="s">
        <v>729</v>
      </c>
      <c r="E20" s="302" t="s">
        <v>712</v>
      </c>
      <c r="F20" s="322">
        <f>'数据-取费表'!B37</f>
        <v>0.03</v>
      </c>
      <c r="G20" s="1396"/>
      <c r="H20" s="982" t="s">
        <v>680</v>
      </c>
      <c r="I20" s="155" t="s">
        <v>730</v>
      </c>
      <c r="J20" s="22">
        <f ca="1">ROUND(M20*M21/10000,2)</f>
        <v>11.13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74231.63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150.30000000000001</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188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-161</v>
      </c>
      <c r="K25" s="1095" t="s">
        <v>753</v>
      </c>
      <c r="L25" s="1096"/>
      <c r="M25" s="1097"/>
    </row>
    <row r="26" spans="1:37" ht="15">
      <c r="A26" s="982" t="s">
        <v>397</v>
      </c>
      <c r="B26" s="302" t="s">
        <v>754</v>
      </c>
      <c r="C26" s="21">
        <f ca="1">ROUND((C19+C20)*F26,0)</f>
        <v>607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7515</v>
      </c>
      <c r="D29" s="1092"/>
      <c r="E29" s="1090"/>
      <c r="F29" s="1093"/>
      <c r="G29" s="1396"/>
      <c r="H29" s="334" t="s">
        <v>396</v>
      </c>
      <c r="I29" s="335" t="s">
        <v>768</v>
      </c>
      <c r="J29" s="336">
        <f ca="1">ROUND(J26/(1+F40)^F41,0)</f>
        <v>0</v>
      </c>
      <c r="K29" s="337" t="s">
        <v>769</v>
      </c>
      <c r="L29" s="338"/>
      <c r="M29" s="339">
        <f ca="1">INDIRECT("'数据-取费表'!k"&amp;$G$1)</f>
        <v>25739.82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130.96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37.659999999999997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82.17</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11.13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74231.63</v>
      </c>
      <c r="G35" s="1384"/>
      <c r="H35" s="2697"/>
      <c r="I35" s="1398"/>
      <c r="J35" s="1399"/>
      <c r="K35" s="2701"/>
      <c r="L35" s="2700"/>
      <c r="M35" s="2700"/>
    </row>
    <row r="36" spans="1:18" ht="18" customHeight="1">
      <c r="A36" s="1102" t="s">
        <v>402</v>
      </c>
      <c r="B36" s="302" t="s">
        <v>738</v>
      </c>
      <c r="C36" s="21">
        <f ca="1">ROUND(C29*F36,2)</f>
        <v>150.30000000000001</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10.029999999999999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7.19</v>
      </c>
      <c r="D38" s="1092" t="s">
        <v>748</v>
      </c>
      <c r="E38" s="1090" t="s">
        <v>744</v>
      </c>
      <c r="F38" s="1086">
        <f ca="1">INDIRECT("'数据-取费表'!Am"&amp;$G$1)</f>
        <v>0.01</v>
      </c>
      <c r="G38" s="1384"/>
      <c r="H38" s="2700"/>
      <c r="I38" s="1398"/>
      <c r="J38" s="1399"/>
      <c r="K38" s="2704"/>
      <c r="L38" s="2700"/>
      <c r="M38" s="2700"/>
    </row>
    <row r="39" spans="1:18" ht="24.5" customHeight="1" thickTop="1">
      <c r="A39" s="1079" t="s">
        <v>394</v>
      </c>
      <c r="B39" s="1094" t="s">
        <v>772</v>
      </c>
      <c r="C39" s="310">
        <f ca="1">C5-C30</f>
        <v>421</v>
      </c>
      <c r="D39" s="1095" t="s">
        <v>773</v>
      </c>
      <c r="E39" s="1096"/>
      <c r="F39" s="1097"/>
      <c r="G39" s="1384"/>
      <c r="H39" s="2700"/>
      <c r="I39" s="1398"/>
      <c r="J39" s="1399"/>
      <c r="K39" s="2704"/>
      <c r="L39" s="2700"/>
      <c r="M39" s="2700"/>
    </row>
    <row r="40" spans="1:18" ht="18" customHeight="1">
      <c r="A40" s="299" t="s">
        <v>395</v>
      </c>
      <c r="B40" s="300" t="s">
        <v>774</v>
      </c>
      <c r="C40" s="301">
        <f ca="1">ROUND(C39*(1-((1+F42)/(1+F40))^F41)/(F40-F42),0)</f>
        <v>8277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3216</v>
      </c>
      <c r="D43" s="337" t="s">
        <v>777</v>
      </c>
      <c r="E43" s="338" t="s">
        <v>778</v>
      </c>
      <c r="F43" s="339">
        <f ca="1">INDIRECT("'数据-取费表'!k"&amp;$G$1)</f>
        <v>25739.82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6" thickBot="1">
      <c r="A46" s="1404" t="s">
        <v>809</v>
      </c>
      <c r="C46" s="1405">
        <f ca="1">C68-C40</f>
        <v>-10897</v>
      </c>
      <c r="D46" s="1406" t="str">
        <f>C2</f>
        <v>万元</v>
      </c>
      <c r="E46" s="1400"/>
      <c r="F46" s="1400"/>
      <c r="I46" s="1407" t="s">
        <v>810</v>
      </c>
      <c r="J46" s="1408"/>
      <c r="K46" s="1409"/>
      <c r="L46" s="1410">
        <f ca="1">IF(M47="住宅",0,IF(L48&gt;J51,L60,J60))</f>
        <v>155</v>
      </c>
      <c r="O46" s="1411" t="s">
        <v>811</v>
      </c>
      <c r="P46" s="1412" t="s">
        <v>812</v>
      </c>
      <c r="Q46" s="1413" t="s">
        <v>813</v>
      </c>
      <c r="R46" s="1413" t="s">
        <v>814</v>
      </c>
    </row>
    <row r="47" spans="1:18" s="1384" customFormat="1" ht="16"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8277</v>
      </c>
      <c r="R47" s="1420" t="s">
        <v>818</v>
      </c>
    </row>
    <row r="48" spans="1:18" s="1384" customFormat="1" ht="50" thickBot="1">
      <c r="A48" s="1110" t="s">
        <v>438</v>
      </c>
      <c r="B48" s="300" t="s">
        <v>692</v>
      </c>
      <c r="C48" s="1359">
        <f ca="1">C49+C53+C55</f>
        <v>0</v>
      </c>
      <c r="D48" s="1112"/>
      <c r="E48" s="1113"/>
      <c r="F48" s="962"/>
      <c r="G48" s="722"/>
      <c r="H48" s="723"/>
      <c r="I48" s="1421" t="s">
        <v>819</v>
      </c>
      <c r="J48" s="1422" t="s">
        <v>3402</v>
      </c>
      <c r="K48" s="1423" t="s">
        <v>820</v>
      </c>
      <c r="L48" s="1424">
        <f ca="1">INDIRECT("'数据-取费表'!f"&amp;$G$1)</f>
        <v>34.53</v>
      </c>
      <c r="O48" s="1418" t="s">
        <v>404</v>
      </c>
      <c r="P48" s="1419" t="s">
        <v>821</v>
      </c>
      <c r="Q48" s="1420">
        <f ca="1">J60</f>
        <v>155</v>
      </c>
      <c r="R48" s="1420" t="s">
        <v>822</v>
      </c>
    </row>
    <row r="49" spans="1:18" s="1384" customFormat="1" ht="16"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7515</v>
      </c>
      <c r="R49" s="1420" t="s">
        <v>818</v>
      </c>
    </row>
    <row r="50" spans="1:18" s="1384" customFormat="1" ht="15" thickBot="1">
      <c r="A50" s="976"/>
      <c r="B50" s="979"/>
      <c r="C50" s="1118"/>
      <c r="D50" s="953"/>
      <c r="E50" s="1056" t="s">
        <v>697</v>
      </c>
      <c r="F50" s="1057">
        <f ca="1">F7</f>
        <v>25739.82</v>
      </c>
      <c r="H50" s="723"/>
      <c r="I50" s="1421" t="s">
        <v>826</v>
      </c>
      <c r="J50" s="1429">
        <f>SUMPRODUCT((I63:I65=J47)*(J62:L62=J48)*(J63:L65))</f>
        <v>70</v>
      </c>
      <c r="K50" s="1423" t="s">
        <v>827</v>
      </c>
      <c r="L50" s="1427"/>
      <c r="M50" s="1430"/>
      <c r="O50" s="1428" t="s">
        <v>406</v>
      </c>
      <c r="P50" s="1419" t="s">
        <v>828</v>
      </c>
      <c r="Q50" s="1431">
        <f ca="1">J58</f>
        <v>0.40500000000000003</v>
      </c>
      <c r="R50" s="1420"/>
    </row>
    <row r="51" spans="1:18" s="1384" customFormat="1" ht="15" thickBot="1">
      <c r="A51" s="977"/>
      <c r="B51" s="979"/>
      <c r="C51" s="980"/>
      <c r="D51" s="953"/>
      <c r="E51" s="981" t="s">
        <v>698</v>
      </c>
      <c r="F51" s="303">
        <f ca="1">F8</f>
        <v>365</v>
      </c>
      <c r="I51" s="1432" t="s">
        <v>829</v>
      </c>
      <c r="J51" s="1433">
        <f>IF(J49="",J50,J49+J50-YEAR('数据-取费表'!B2))</f>
        <v>62</v>
      </c>
      <c r="K51" s="1434" t="s">
        <v>830</v>
      </c>
      <c r="L51" s="1435">
        <f ca="1">ROUND(-PV(INDIRECT("'数据-取费表'!h"&amp;$G$1),J51,(C39-C13*C76),0),0)</f>
        <v>-2905</v>
      </c>
      <c r="M51" s="1436"/>
      <c r="O51" s="1428" t="s">
        <v>407</v>
      </c>
      <c r="P51" s="1419" t="s">
        <v>831</v>
      </c>
      <c r="Q51" s="1431">
        <f>J52</f>
        <v>0.09</v>
      </c>
      <c r="R51" s="1420"/>
    </row>
    <row r="52" spans="1:18" s="1384" customFormat="1" ht="16" thickBot="1">
      <c r="A52" s="977"/>
      <c r="B52" s="979"/>
      <c r="C52" s="980"/>
      <c r="D52" s="953"/>
      <c r="E52" s="981" t="s">
        <v>699</v>
      </c>
      <c r="F52" s="1054"/>
      <c r="I52" s="1437" t="s">
        <v>832</v>
      </c>
      <c r="J52" s="1438">
        <v>0.09</v>
      </c>
      <c r="K52" s="1437" t="s">
        <v>833</v>
      </c>
      <c r="L52" s="1438"/>
      <c r="O52" s="1428" t="s">
        <v>408</v>
      </c>
      <c r="P52" s="1419" t="s">
        <v>834</v>
      </c>
      <c r="Q52" s="1420">
        <f ca="1">J53</f>
        <v>34.53</v>
      </c>
      <c r="R52" s="1420" t="s">
        <v>835</v>
      </c>
    </row>
    <row r="53" spans="1:18" s="1384" customFormat="1" ht="31"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34.53</v>
      </c>
      <c r="K53" s="3661" t="s">
        <v>837</v>
      </c>
      <c r="L53" s="3662"/>
      <c r="O53" s="1418" t="s">
        <v>409</v>
      </c>
      <c r="P53" s="1419" t="s">
        <v>838</v>
      </c>
      <c r="Q53" s="1420">
        <f ca="1">Q47+Q48</f>
        <v>8432</v>
      </c>
      <c r="R53" s="1420" t="s">
        <v>410</v>
      </c>
    </row>
    <row r="54" spans="1:18" s="1384" customFormat="1" ht="1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6" thickBot="1">
      <c r="A55" s="1083" t="s">
        <v>437</v>
      </c>
      <c r="B55" s="1369" t="s">
        <v>703</v>
      </c>
      <c r="C55" s="1084"/>
      <c r="D55" s="1366"/>
      <c r="E55" s="1374"/>
      <c r="F55" s="1440"/>
      <c r="I55" s="1443" t="s">
        <v>840</v>
      </c>
      <c r="J55" s="1444">
        <f ca="1">ROUND(IF(J47="钢混",J57/J50,1-(1-2%)*(J50-J57)/J50),3)</f>
        <v>0.40500000000000003</v>
      </c>
      <c r="K55" s="1445" t="s">
        <v>841</v>
      </c>
      <c r="L55" s="1446" t="s">
        <v>3404</v>
      </c>
      <c r="O55" s="1411" t="s">
        <v>811</v>
      </c>
      <c r="P55" s="1412" t="s">
        <v>812</v>
      </c>
      <c r="Q55" s="1413" t="s">
        <v>813</v>
      </c>
      <c r="R55" s="1413" t="s">
        <v>814</v>
      </c>
    </row>
    <row r="56" spans="1:18" s="1384" customFormat="1" ht="32" thickTop="1" thickBot="1">
      <c r="A56" s="957">
        <v>2</v>
      </c>
      <c r="B56" s="958" t="s">
        <v>704</v>
      </c>
      <c r="C56" s="232">
        <f ca="1">C13</f>
        <v>6688</v>
      </c>
      <c r="D56" s="1447"/>
      <c r="E56" s="1448"/>
      <c r="F56" s="1440"/>
      <c r="I56" s="1449" t="s">
        <v>842</v>
      </c>
      <c r="J56" s="1450" t="s">
        <v>3403</v>
      </c>
      <c r="K56" s="1421" t="s">
        <v>843</v>
      </c>
      <c r="L56" s="1424" t="str">
        <f ca="1">IF(L48&lt;J51,"——",L48-J53)</f>
        <v>——</v>
      </c>
      <c r="O56" s="1418" t="s">
        <v>403</v>
      </c>
      <c r="P56" s="1419" t="s">
        <v>817</v>
      </c>
      <c r="Q56" s="1420">
        <f ca="1">C40+J29</f>
        <v>8277</v>
      </c>
      <c r="R56" s="1420" t="s">
        <v>818</v>
      </c>
    </row>
    <row r="57" spans="1:18" s="1384" customFormat="1" ht="31" thickBot="1">
      <c r="A57" s="1451"/>
      <c r="B57" s="950" t="s">
        <v>767</v>
      </c>
      <c r="C57" s="238">
        <f ca="1">C29</f>
        <v>7515</v>
      </c>
      <c r="D57" s="1452"/>
      <c r="E57" s="1453"/>
      <c r="F57" s="1454"/>
      <c r="I57" s="1455" t="s">
        <v>844</v>
      </c>
      <c r="J57" s="1456">
        <f ca="1">IF(OR(M47="住宅",J51&lt;L48,J56="是"),"——",J51-L48)</f>
        <v>27.47</v>
      </c>
      <c r="K57" s="1421" t="s">
        <v>845</v>
      </c>
      <c r="L57" s="1424" t="str">
        <f ca="1">IF(L48&lt;J51,"——",IF(L55="比较法",L49,IF(L55="基准地价",L50,L51)))</f>
        <v>——</v>
      </c>
      <c r="O57" s="1418" t="s">
        <v>404</v>
      </c>
      <c r="P57" s="1419" t="s">
        <v>846</v>
      </c>
      <c r="Q57" s="1420">
        <f ca="1">L60</f>
        <v>0</v>
      </c>
      <c r="R57" s="1420" t="s">
        <v>847</v>
      </c>
    </row>
    <row r="58" spans="1:18" s="1384" customFormat="1" ht="31" thickBot="1">
      <c r="A58" s="315" t="s">
        <v>393</v>
      </c>
      <c r="B58" s="958" t="s">
        <v>714</v>
      </c>
      <c r="C58" s="316">
        <f ca="1">ROUND(C59+C64+C65+C66,0)</f>
        <v>171</v>
      </c>
      <c r="D58" s="960" t="s">
        <v>715</v>
      </c>
      <c r="E58" s="961"/>
      <c r="F58" s="962"/>
      <c r="I58" s="1455" t="s">
        <v>848</v>
      </c>
      <c r="J58" s="1457">
        <f ca="1">IF(J55&lt;0.4,0.4,J55)</f>
        <v>0.40500000000000003</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31"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155</v>
      </c>
      <c r="K60" s="1460" t="s">
        <v>854</v>
      </c>
      <c r="L60" s="1459">
        <f ca="1">IF(OR(M47="住宅",L48&lt;J51),0,ROUND(L57*(L58/L59-1),0))</f>
        <v>0</v>
      </c>
      <c r="O60" s="1428" t="s">
        <v>407</v>
      </c>
      <c r="P60" s="1419" t="s">
        <v>855</v>
      </c>
      <c r="Q60" s="1420" t="e">
        <f ca="1">L58</f>
        <v>#DIV/0!</v>
      </c>
      <c r="R60" s="1420" t="s">
        <v>856</v>
      </c>
    </row>
    <row r="61" spans="1:18" s="1384" customFormat="1" ht="16"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6" thickBot="1">
      <c r="A62" s="982" t="s">
        <v>784</v>
      </c>
      <c r="B62" s="949" t="s">
        <v>785</v>
      </c>
      <c r="C62" s="22">
        <f ca="1">IF(项目基本情况!B11="自然人","——",ROUND(F62*F63/10000,2))</f>
        <v>11.13</v>
      </c>
      <c r="D62" s="965" t="s">
        <v>786</v>
      </c>
      <c r="E62" s="950" t="s">
        <v>787</v>
      </c>
      <c r="F62" s="325">
        <f t="shared" si="0"/>
        <v>1.5</v>
      </c>
      <c r="I62" s="1462" t="s">
        <v>858</v>
      </c>
      <c r="J62" s="1463" t="s">
        <v>859</v>
      </c>
      <c r="K62" s="1463" t="s">
        <v>860</v>
      </c>
      <c r="L62" s="1463" t="s">
        <v>861</v>
      </c>
      <c r="M62" s="1464" t="s">
        <v>862</v>
      </c>
      <c r="O62" s="1418" t="s">
        <v>409</v>
      </c>
      <c r="P62" s="1419" t="s">
        <v>863</v>
      </c>
      <c r="Q62" s="1420">
        <f ca="1">Q56+Q57</f>
        <v>8277</v>
      </c>
      <c r="R62" s="1420" t="s">
        <v>410</v>
      </c>
    </row>
    <row r="63" spans="1:18" s="1384" customFormat="1" ht="15" thickBot="1">
      <c r="A63" s="326"/>
      <c r="B63" s="956"/>
      <c r="C63" s="26"/>
      <c r="D63" s="966"/>
      <c r="E63" s="950" t="s">
        <v>788</v>
      </c>
      <c r="F63" s="303">
        <f t="shared" ca="1" si="0"/>
        <v>74231.63</v>
      </c>
      <c r="I63" s="1462" t="s">
        <v>864</v>
      </c>
      <c r="J63" s="1463">
        <v>70</v>
      </c>
      <c r="K63" s="1463">
        <v>50</v>
      </c>
      <c r="L63" s="1463">
        <v>80</v>
      </c>
      <c r="M63" s="1465">
        <v>0.02</v>
      </c>
      <c r="O63" s="1403" t="s">
        <v>865</v>
      </c>
      <c r="P63" s="1381"/>
      <c r="Q63" s="1381"/>
      <c r="R63" s="1381"/>
    </row>
    <row r="64" spans="1:18" s="1384" customFormat="1" ht="16" thickBot="1">
      <c r="A64" s="982" t="s">
        <v>789</v>
      </c>
      <c r="B64" s="950" t="s">
        <v>790</v>
      </c>
      <c r="C64" s="21">
        <f ca="1">ROUND(C57*F64,2)</f>
        <v>150.30000000000001</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6" thickBot="1">
      <c r="A65" s="982" t="s">
        <v>792</v>
      </c>
      <c r="B65" s="950" t="s">
        <v>742</v>
      </c>
      <c r="C65" s="21">
        <f ca="1">ROUND(C56*F65,2)</f>
        <v>10.029999999999999</v>
      </c>
      <c r="D65" s="964" t="s">
        <v>743</v>
      </c>
      <c r="E65" s="950" t="s">
        <v>744</v>
      </c>
      <c r="F65" s="330">
        <f t="shared" ca="1" si="0"/>
        <v>1.5E-3</v>
      </c>
      <c r="I65" s="1462" t="s">
        <v>867</v>
      </c>
      <c r="J65" s="1463">
        <v>40</v>
      </c>
      <c r="K65" s="1463">
        <v>30</v>
      </c>
      <c r="L65" s="1463">
        <v>50</v>
      </c>
      <c r="M65" s="1465">
        <v>0.02</v>
      </c>
      <c r="O65" s="1418" t="s">
        <v>403</v>
      </c>
      <c r="P65" s="1419" t="s">
        <v>868</v>
      </c>
      <c r="Q65" s="1420">
        <f ca="1">C40+J29</f>
        <v>8277</v>
      </c>
      <c r="R65" s="1420" t="s">
        <v>818</v>
      </c>
    </row>
    <row r="66" spans="1:18" s="1384" customFormat="1" ht="17"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8" thickBot="1">
      <c r="A67" s="957" t="s">
        <v>394</v>
      </c>
      <c r="B67" s="967" t="s">
        <v>752</v>
      </c>
      <c r="C67" s="316">
        <f ca="1">C48-C58</f>
        <v>-171</v>
      </c>
      <c r="D67" s="963" t="s">
        <v>753</v>
      </c>
      <c r="E67" s="968"/>
      <c r="F67" s="969"/>
      <c r="O67" s="1428" t="s">
        <v>405</v>
      </c>
      <c r="P67" s="1419" t="s">
        <v>850</v>
      </c>
      <c r="Q67" s="1466">
        <f ca="1">L51</f>
        <v>-2905</v>
      </c>
      <c r="R67" s="1420" t="s">
        <v>870</v>
      </c>
    </row>
    <row r="68" spans="1:18" s="1384" customFormat="1" ht="16" thickBot="1">
      <c r="A68" s="947" t="s">
        <v>395</v>
      </c>
      <c r="B68" s="948" t="s">
        <v>774</v>
      </c>
      <c r="C68" s="301">
        <f ca="1">ROUND(C67*(1-((1+F70)/(1+F68))^F69)/(F68-F70),0)</f>
        <v>-2620</v>
      </c>
      <c r="D68" s="965" t="s">
        <v>758</v>
      </c>
      <c r="E68" s="950" t="s">
        <v>759</v>
      </c>
      <c r="F68" s="312">
        <f ca="1">F40</f>
        <v>5.5E-2</v>
      </c>
      <c r="O68" s="1428" t="s">
        <v>406</v>
      </c>
      <c r="P68" s="1467" t="s">
        <v>871</v>
      </c>
      <c r="Q68" s="1420">
        <f ca="1">ROUND(Q69-Q70*Q71,0)</f>
        <v>-147</v>
      </c>
      <c r="R68" s="1420" t="s">
        <v>414</v>
      </c>
    </row>
    <row r="69" spans="1:18" s="1384" customFormat="1" ht="16" thickBot="1">
      <c r="A69" s="951"/>
      <c r="B69" s="952"/>
      <c r="C69" s="306"/>
      <c r="D69" s="970" t="s">
        <v>762</v>
      </c>
      <c r="E69" s="950" t="s">
        <v>763</v>
      </c>
      <c r="F69" s="333">
        <f ca="1">F41</f>
        <v>34.53</v>
      </c>
      <c r="O69" s="1428" t="s">
        <v>411</v>
      </c>
      <c r="P69" s="1467" t="s">
        <v>872</v>
      </c>
      <c r="Q69" s="1420">
        <f ca="1">C39</f>
        <v>421</v>
      </c>
      <c r="R69" s="1420" t="s">
        <v>818</v>
      </c>
    </row>
    <row r="70" spans="1:18" s="1384" customFormat="1" ht="16" thickBot="1">
      <c r="A70" s="954"/>
      <c r="B70" s="955"/>
      <c r="C70" s="310"/>
      <c r="D70" s="966"/>
      <c r="E70" s="950" t="s">
        <v>766</v>
      </c>
      <c r="F70" s="1054"/>
      <c r="O70" s="1428" t="s">
        <v>412</v>
      </c>
      <c r="P70" s="1467" t="s">
        <v>873</v>
      </c>
      <c r="Q70" s="1420">
        <f ca="1">C13</f>
        <v>6688</v>
      </c>
      <c r="R70" s="1420" t="s">
        <v>818</v>
      </c>
    </row>
    <row r="71" spans="1:18" s="1384" customFormat="1" ht="15" thickBot="1">
      <c r="A71" s="971" t="s">
        <v>396</v>
      </c>
      <c r="B71" s="972" t="s">
        <v>776</v>
      </c>
      <c r="C71" s="336">
        <f ca="1">ROUND(C68*10000/F71,0)</f>
        <v>-1018</v>
      </c>
      <c r="D71" s="973" t="s">
        <v>777</v>
      </c>
      <c r="E71" s="974" t="s">
        <v>778</v>
      </c>
      <c r="F71" s="339">
        <f ca="1">F43</f>
        <v>25739.82</v>
      </c>
      <c r="O71" s="1428" t="s">
        <v>413</v>
      </c>
      <c r="P71" s="1467" t="s">
        <v>874</v>
      </c>
      <c r="Q71" s="1431">
        <f ca="1">C76</f>
        <v>8.5000000000000006E-2</v>
      </c>
      <c r="R71" s="1420"/>
    </row>
    <row r="72" spans="1:18" s="1384" customFormat="1" ht="1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6"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5" thickBot="1">
      <c r="A75" s="1384"/>
      <c r="B75" s="340" t="s">
        <v>795</v>
      </c>
      <c r="C75" s="341">
        <f ca="1">ROUND(C13*C76,0)</f>
        <v>568</v>
      </c>
      <c r="D75" s="1384"/>
      <c r="E75" s="1384"/>
      <c r="F75" s="1384"/>
      <c r="K75" s="1402"/>
      <c r="L75" s="1384"/>
      <c r="O75" s="1418" t="s">
        <v>409</v>
      </c>
      <c r="P75" s="1419" t="s">
        <v>838</v>
      </c>
      <c r="Q75" s="1420">
        <f ca="1">Q65+Q66</f>
        <v>8277</v>
      </c>
      <c r="R75" s="1420" t="s">
        <v>410</v>
      </c>
    </row>
    <row r="76" spans="1:18" ht="15">
      <c r="B76" s="342" t="s">
        <v>796</v>
      </c>
      <c r="C76" s="343">
        <f ca="1">INDIRECT("'数据-取费表'!j"&amp;$G$1)</f>
        <v>8.5000000000000006E-2</v>
      </c>
      <c r="I76" s="1384"/>
      <c r="J76" s="1384"/>
      <c r="K76" s="1402"/>
      <c r="L76" s="1384"/>
    </row>
    <row r="77" spans="1:18" ht="14">
      <c r="B77" s="344" t="s">
        <v>797</v>
      </c>
      <c r="C77" s="345"/>
      <c r="I77" s="1384"/>
      <c r="J77" s="1384"/>
      <c r="K77" s="1402"/>
      <c r="L77" s="1384"/>
    </row>
    <row r="78" spans="1:18" ht="14">
      <c r="B78" s="270" t="s">
        <v>798</v>
      </c>
      <c r="C78" s="346"/>
    </row>
    <row r="79" spans="1:18" ht="14">
      <c r="B79" s="340" t="s">
        <v>799</v>
      </c>
      <c r="C79" s="274">
        <f ca="1">1-C80</f>
        <v>-0.34899999999999998</v>
      </c>
    </row>
    <row r="80" spans="1:18" ht="14">
      <c r="B80" s="340" t="s">
        <v>800</v>
      </c>
      <c r="C80" s="274">
        <f ca="1">ROUND(C75/C39,3)</f>
        <v>1.349</v>
      </c>
    </row>
    <row r="81" spans="2:3" ht="14">
      <c r="B81" s="270" t="s">
        <v>801</v>
      </c>
      <c r="C81" s="238"/>
    </row>
    <row r="82" spans="2:3" ht="14">
      <c r="B82" s="273" t="s">
        <v>802</v>
      </c>
      <c r="C82" s="275">
        <f ca="1">1-C83</f>
        <v>0.19199999999999995</v>
      </c>
    </row>
    <row r="83" spans="2:3" ht="14">
      <c r="B83" s="273" t="s">
        <v>803</v>
      </c>
      <c r="C83" s="274">
        <f ca="1">ROUND(C13/C40,3)</f>
        <v>0.80800000000000005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baseColWidth="10" defaultColWidth="9" defaultRowHeight="13"/>
  <cols>
    <col min="1" max="1" width="9" style="258" customWidth="1"/>
    <col min="2" max="2" width="20.6640625" style="655" customWidth="1"/>
    <col min="3" max="3" width="11.83203125" style="655" customWidth="1"/>
    <col min="4" max="4" width="40.5" style="258" customWidth="1"/>
    <col min="5" max="5" width="15.6640625" style="258" customWidth="1"/>
    <col min="6" max="6" width="10.6640625" style="258" customWidth="1"/>
    <col min="7" max="7" width="4.83203125" style="258" customWidth="1"/>
    <col min="8" max="8" width="8.5" style="258" customWidth="1"/>
    <col min="9" max="9" width="21.1640625" style="258" customWidth="1"/>
    <col min="10" max="10" width="12.1640625" style="258" customWidth="1"/>
    <col min="11" max="11" width="40.1640625" style="1468" customWidth="1"/>
    <col min="12" max="12" width="16.33203125" style="258" customWidth="1"/>
    <col min="13" max="13" width="13" style="258" customWidth="1"/>
    <col min="14" max="14" width="13.6640625" style="1384" customWidth="1"/>
    <col min="15" max="15" width="5.1640625" style="1384" customWidth="1"/>
    <col min="16" max="16" width="25.6640625" style="1384" customWidth="1"/>
    <col min="17" max="17" width="13.6640625" style="1384" customWidth="1"/>
    <col min="18" max="18" width="20.5" style="1384" customWidth="1"/>
    <col min="19" max="19" width="13.1640625" style="1384" customWidth="1"/>
    <col min="20" max="37" width="9" style="1384"/>
    <col min="38" max="16384" width="9" style="258"/>
  </cols>
  <sheetData>
    <row r="1" spans="1:37" s="293" customFormat="1" ht="20">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0</v>
      </c>
      <c r="D6" s="155" t="s">
        <v>2106</v>
      </c>
      <c r="E6" s="302" t="s">
        <v>696</v>
      </c>
      <c r="F6" s="303">
        <f ca="1">INDIRECT("'数据-取费表'!u"&amp;$G$1)</f>
        <v>0</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5"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3352</v>
      </c>
      <c r="B45" s="1400"/>
      <c r="C45" s="1472" t="e">
        <f ca="1">ROUND((C68-C40)/10000,4)</f>
        <v>#DIV/0!</v>
      </c>
      <c r="D45" s="3434" t="s">
        <v>3353</v>
      </c>
      <c r="E45" s="1400"/>
      <c r="F45" s="1400"/>
      <c r="O45" s="1403" t="s">
        <v>808</v>
      </c>
      <c r="P45" s="1461"/>
      <c r="Q45" s="1461"/>
      <c r="R45" s="1461"/>
    </row>
    <row r="46" spans="1:18" s="1384" customFormat="1" ht="16"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6"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50"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6"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6"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6"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6"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31"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31"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31"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6"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6"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6"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6"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7"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8"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6" thickBot="1">
      <c r="A69" s="951"/>
      <c r="B69" s="952"/>
      <c r="C69" s="306"/>
      <c r="D69" s="970" t="s">
        <v>762</v>
      </c>
      <c r="E69" s="950" t="s">
        <v>763</v>
      </c>
      <c r="F69" s="333">
        <f ca="1">F41</f>
        <v>0</v>
      </c>
      <c r="O69" s="1428" t="s">
        <v>411</v>
      </c>
      <c r="P69" s="1467" t="s">
        <v>872</v>
      </c>
      <c r="Q69" s="1420">
        <f ca="1">C39</f>
        <v>0</v>
      </c>
      <c r="R69" s="1420" t="s">
        <v>818</v>
      </c>
    </row>
    <row r="70" spans="1:18" s="1384" customFormat="1" ht="16" thickBot="1">
      <c r="A70" s="954"/>
      <c r="B70" s="955"/>
      <c r="C70" s="310"/>
      <c r="D70" s="966"/>
      <c r="E70" s="950" t="s">
        <v>766</v>
      </c>
      <c r="F70" s="1054"/>
      <c r="O70" s="1428" t="s">
        <v>412</v>
      </c>
      <c r="P70" s="1467" t="s">
        <v>873</v>
      </c>
      <c r="Q70" s="1420">
        <f ca="1">C13</f>
        <v>0</v>
      </c>
      <c r="R70" s="1420" t="s">
        <v>818</v>
      </c>
    </row>
    <row r="71" spans="1:18" s="1384" customFormat="1" ht="1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5" thickBot="1">
      <c r="B72" s="726"/>
      <c r="C72" s="726"/>
      <c r="O72" s="1428" t="s">
        <v>407</v>
      </c>
      <c r="P72" s="1419" t="s">
        <v>852</v>
      </c>
      <c r="Q72" s="1431">
        <f>L52</f>
        <v>0</v>
      </c>
      <c r="R72" s="1420"/>
    </row>
    <row r="73" spans="1:18" ht="16" thickBot="1">
      <c r="A73" s="1384"/>
      <c r="B73" s="726"/>
      <c r="C73" s="726"/>
      <c r="D73" s="1384"/>
      <c r="E73" s="1384"/>
      <c r="F73" s="1384"/>
      <c r="O73" s="1428" t="s">
        <v>408</v>
      </c>
      <c r="P73" s="1419" t="s">
        <v>855</v>
      </c>
      <c r="Q73" s="1420" t="e">
        <f ca="1">L58</f>
        <v>#DIV/0!</v>
      </c>
      <c r="R73" s="1420" t="s">
        <v>856</v>
      </c>
    </row>
    <row r="74" spans="1:18" ht="16"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ht="15">
      <c r="B76" s="342" t="s">
        <v>796</v>
      </c>
      <c r="C76" s="343">
        <f ca="1">INDIRECT("'数据-取费表'!j"&amp;$G$1)</f>
        <v>0</v>
      </c>
      <c r="I76" s="1384"/>
      <c r="J76" s="1384"/>
      <c r="K76" s="1402"/>
      <c r="L76" s="1384"/>
    </row>
    <row r="77" spans="1:18" ht="14">
      <c r="B77" s="344" t="s">
        <v>797</v>
      </c>
      <c r="C77" s="345"/>
      <c r="I77" s="1384"/>
      <c r="J77" s="1384"/>
      <c r="K77" s="1402"/>
      <c r="L77" s="1384"/>
    </row>
    <row r="78" spans="1:18" ht="14">
      <c r="B78" s="270" t="s">
        <v>798</v>
      </c>
      <c r="C78" s="346"/>
    </row>
    <row r="79" spans="1:18" ht="14">
      <c r="B79" s="340" t="s">
        <v>799</v>
      </c>
      <c r="C79" s="274" t="e">
        <f ca="1">1-C80</f>
        <v>#DIV/0!</v>
      </c>
    </row>
    <row r="80" spans="1:18" ht="14">
      <c r="B80" s="340" t="s">
        <v>800</v>
      </c>
      <c r="C80" s="274" t="e">
        <f ca="1">ROUND(C75/C39,3)</f>
        <v>#DIV/0!</v>
      </c>
    </row>
    <row r="81" spans="2:3" ht="14">
      <c r="B81" s="270" t="s">
        <v>801</v>
      </c>
      <c r="C81" s="238"/>
    </row>
    <row r="82" spans="2:3" ht="14">
      <c r="B82" s="273" t="s">
        <v>802</v>
      </c>
      <c r="C82" s="275" t="e">
        <f ca="1">1-C83</f>
        <v>#DIV/0!</v>
      </c>
    </row>
    <row r="83" spans="2:3" ht="14">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baseColWidth="10" defaultColWidth="8.83203125" defaultRowHeight="13.25" customHeight="1"/>
  <cols>
    <col min="1" max="1" width="9.5" style="2842" customWidth="1"/>
    <col min="2" max="2" width="8.83203125" style="2842"/>
    <col min="3" max="5" width="12.83203125" style="2842" customWidth="1"/>
    <col min="6" max="6" width="47.5" style="2842" customWidth="1"/>
    <col min="7" max="7" width="13" style="3001" customWidth="1"/>
    <col min="8" max="8" width="8.83203125" style="2836"/>
    <col min="9" max="9" width="8.83203125" style="2837"/>
    <col min="10" max="10" width="5.6640625" style="3002" customWidth="1"/>
    <col min="11" max="11" width="11.6640625" style="3002" customWidth="1"/>
    <col min="12" max="13" width="10.6640625" style="3002" customWidth="1"/>
    <col min="14" max="14" width="10" style="3002" customWidth="1"/>
    <col min="15" max="16" width="10.5" style="3002" bestFit="1" customWidth="1"/>
    <col min="17" max="17" width="10" style="3002" customWidth="1"/>
    <col min="18" max="18" width="10.1640625" style="3002" customWidth="1"/>
    <col min="19" max="19" width="10" style="3002" customWidth="1"/>
    <col min="20" max="20" width="26.1640625" style="3002" customWidth="1"/>
    <col min="21" max="21" width="8.83203125" style="3002"/>
    <col min="22" max="22" width="8.83203125" style="2837"/>
    <col min="23" max="256" width="8.83203125" style="2842"/>
    <col min="257" max="257" width="9.5" style="2842" customWidth="1"/>
    <col min="258" max="258" width="8.83203125" style="2842"/>
    <col min="259" max="261" width="12.83203125" style="2842" customWidth="1"/>
    <col min="262" max="262" width="47.5" style="2842" customWidth="1"/>
    <col min="263" max="263" width="13" style="2842" customWidth="1"/>
    <col min="264" max="265" width="8.83203125" style="2842"/>
    <col min="266" max="266" width="5.6640625" style="2842" customWidth="1"/>
    <col min="267" max="267" width="11.6640625" style="2842" customWidth="1"/>
    <col min="268" max="269" width="10.6640625" style="2842" customWidth="1"/>
    <col min="270" max="270" width="10" style="2842" customWidth="1"/>
    <col min="271" max="272" width="10.5" style="2842" bestFit="1" customWidth="1"/>
    <col min="273" max="273" width="10" style="2842" customWidth="1"/>
    <col min="274" max="274" width="10.1640625" style="2842" customWidth="1"/>
    <col min="275" max="275" width="10" style="2842" customWidth="1"/>
    <col min="276" max="276" width="26.1640625" style="2842" customWidth="1"/>
    <col min="277" max="512" width="8.83203125" style="2842"/>
    <col min="513" max="513" width="9.5" style="2842" customWidth="1"/>
    <col min="514" max="514" width="8.83203125" style="2842"/>
    <col min="515" max="517" width="12.83203125" style="2842" customWidth="1"/>
    <col min="518" max="518" width="47.5" style="2842" customWidth="1"/>
    <col min="519" max="519" width="13" style="2842" customWidth="1"/>
    <col min="520" max="521" width="8.83203125" style="2842"/>
    <col min="522" max="522" width="5.6640625" style="2842" customWidth="1"/>
    <col min="523" max="523" width="11.6640625" style="2842" customWidth="1"/>
    <col min="524" max="525" width="10.6640625" style="2842" customWidth="1"/>
    <col min="526" max="526" width="10" style="2842" customWidth="1"/>
    <col min="527" max="528" width="10.5" style="2842" bestFit="1" customWidth="1"/>
    <col min="529" max="529" width="10" style="2842" customWidth="1"/>
    <col min="530" max="530" width="10.1640625" style="2842" customWidth="1"/>
    <col min="531" max="531" width="10" style="2842" customWidth="1"/>
    <col min="532" max="532" width="26.1640625" style="2842" customWidth="1"/>
    <col min="533" max="768" width="8.83203125" style="2842"/>
    <col min="769" max="769" width="9.5" style="2842" customWidth="1"/>
    <col min="770" max="770" width="8.83203125" style="2842"/>
    <col min="771" max="773" width="12.83203125" style="2842" customWidth="1"/>
    <col min="774" max="774" width="47.5" style="2842" customWidth="1"/>
    <col min="775" max="775" width="13" style="2842" customWidth="1"/>
    <col min="776" max="777" width="8.83203125" style="2842"/>
    <col min="778" max="778" width="5.6640625" style="2842" customWidth="1"/>
    <col min="779" max="779" width="11.6640625" style="2842" customWidth="1"/>
    <col min="780" max="781" width="10.6640625" style="2842" customWidth="1"/>
    <col min="782" max="782" width="10" style="2842" customWidth="1"/>
    <col min="783" max="784" width="10.5" style="2842" bestFit="1" customWidth="1"/>
    <col min="785" max="785" width="10" style="2842" customWidth="1"/>
    <col min="786" max="786" width="10.1640625" style="2842" customWidth="1"/>
    <col min="787" max="787" width="10" style="2842" customWidth="1"/>
    <col min="788" max="788" width="26.1640625" style="2842" customWidth="1"/>
    <col min="789" max="1024" width="8.83203125" style="2842"/>
    <col min="1025" max="1025" width="9.5" style="2842" customWidth="1"/>
    <col min="1026" max="1026" width="8.83203125" style="2842"/>
    <col min="1027" max="1029" width="12.83203125" style="2842" customWidth="1"/>
    <col min="1030" max="1030" width="47.5" style="2842" customWidth="1"/>
    <col min="1031" max="1031" width="13" style="2842" customWidth="1"/>
    <col min="1032" max="1033" width="8.83203125" style="2842"/>
    <col min="1034" max="1034" width="5.6640625" style="2842" customWidth="1"/>
    <col min="1035" max="1035" width="11.6640625" style="2842" customWidth="1"/>
    <col min="1036" max="1037" width="10.6640625" style="2842" customWidth="1"/>
    <col min="1038" max="1038" width="10" style="2842" customWidth="1"/>
    <col min="1039" max="1040" width="10.5" style="2842" bestFit="1" customWidth="1"/>
    <col min="1041" max="1041" width="10" style="2842" customWidth="1"/>
    <col min="1042" max="1042" width="10.1640625" style="2842" customWidth="1"/>
    <col min="1043" max="1043" width="10" style="2842" customWidth="1"/>
    <col min="1044" max="1044" width="26.1640625" style="2842" customWidth="1"/>
    <col min="1045" max="1280" width="8.83203125" style="2842"/>
    <col min="1281" max="1281" width="9.5" style="2842" customWidth="1"/>
    <col min="1282" max="1282" width="8.83203125" style="2842"/>
    <col min="1283" max="1285" width="12.83203125" style="2842" customWidth="1"/>
    <col min="1286" max="1286" width="47.5" style="2842" customWidth="1"/>
    <col min="1287" max="1287" width="13" style="2842" customWidth="1"/>
    <col min="1288" max="1289" width="8.83203125" style="2842"/>
    <col min="1290" max="1290" width="5.6640625" style="2842" customWidth="1"/>
    <col min="1291" max="1291" width="11.6640625" style="2842" customWidth="1"/>
    <col min="1292" max="1293" width="10.6640625" style="2842" customWidth="1"/>
    <col min="1294" max="1294" width="10" style="2842" customWidth="1"/>
    <col min="1295" max="1296" width="10.5" style="2842" bestFit="1" customWidth="1"/>
    <col min="1297" max="1297" width="10" style="2842" customWidth="1"/>
    <col min="1298" max="1298" width="10.1640625" style="2842" customWidth="1"/>
    <col min="1299" max="1299" width="10" style="2842" customWidth="1"/>
    <col min="1300" max="1300" width="26.1640625" style="2842" customWidth="1"/>
    <col min="1301" max="1536" width="8.83203125" style="2842"/>
    <col min="1537" max="1537" width="9.5" style="2842" customWidth="1"/>
    <col min="1538" max="1538" width="8.83203125" style="2842"/>
    <col min="1539" max="1541" width="12.83203125" style="2842" customWidth="1"/>
    <col min="1542" max="1542" width="47.5" style="2842" customWidth="1"/>
    <col min="1543" max="1543" width="13" style="2842" customWidth="1"/>
    <col min="1544" max="1545" width="8.83203125" style="2842"/>
    <col min="1546" max="1546" width="5.6640625" style="2842" customWidth="1"/>
    <col min="1547" max="1547" width="11.6640625" style="2842" customWidth="1"/>
    <col min="1548" max="1549" width="10.6640625" style="2842" customWidth="1"/>
    <col min="1550" max="1550" width="10" style="2842" customWidth="1"/>
    <col min="1551" max="1552" width="10.5" style="2842" bestFit="1" customWidth="1"/>
    <col min="1553" max="1553" width="10" style="2842" customWidth="1"/>
    <col min="1554" max="1554" width="10.1640625" style="2842" customWidth="1"/>
    <col min="1555" max="1555" width="10" style="2842" customWidth="1"/>
    <col min="1556" max="1556" width="26.1640625" style="2842" customWidth="1"/>
    <col min="1557" max="1792" width="8.83203125" style="2842"/>
    <col min="1793" max="1793" width="9.5" style="2842" customWidth="1"/>
    <col min="1794" max="1794" width="8.83203125" style="2842"/>
    <col min="1795" max="1797" width="12.83203125" style="2842" customWidth="1"/>
    <col min="1798" max="1798" width="47.5" style="2842" customWidth="1"/>
    <col min="1799" max="1799" width="13" style="2842" customWidth="1"/>
    <col min="1800" max="1801" width="8.83203125" style="2842"/>
    <col min="1802" max="1802" width="5.6640625" style="2842" customWidth="1"/>
    <col min="1803" max="1803" width="11.6640625" style="2842" customWidth="1"/>
    <col min="1804" max="1805" width="10.6640625" style="2842" customWidth="1"/>
    <col min="1806" max="1806" width="10" style="2842" customWidth="1"/>
    <col min="1807" max="1808" width="10.5" style="2842" bestFit="1" customWidth="1"/>
    <col min="1809" max="1809" width="10" style="2842" customWidth="1"/>
    <col min="1810" max="1810" width="10.1640625" style="2842" customWidth="1"/>
    <col min="1811" max="1811" width="10" style="2842" customWidth="1"/>
    <col min="1812" max="1812" width="26.1640625" style="2842" customWidth="1"/>
    <col min="1813" max="2048" width="8.83203125" style="2842"/>
    <col min="2049" max="2049" width="9.5" style="2842" customWidth="1"/>
    <col min="2050" max="2050" width="8.83203125" style="2842"/>
    <col min="2051" max="2053" width="12.83203125" style="2842" customWidth="1"/>
    <col min="2054" max="2054" width="47.5" style="2842" customWidth="1"/>
    <col min="2055" max="2055" width="13" style="2842" customWidth="1"/>
    <col min="2056" max="2057" width="8.83203125" style="2842"/>
    <col min="2058" max="2058" width="5.6640625" style="2842" customWidth="1"/>
    <col min="2059" max="2059" width="11.6640625" style="2842" customWidth="1"/>
    <col min="2060" max="2061" width="10.6640625" style="2842" customWidth="1"/>
    <col min="2062" max="2062" width="10" style="2842" customWidth="1"/>
    <col min="2063" max="2064" width="10.5" style="2842" bestFit="1" customWidth="1"/>
    <col min="2065" max="2065" width="10" style="2842" customWidth="1"/>
    <col min="2066" max="2066" width="10.1640625" style="2842" customWidth="1"/>
    <col min="2067" max="2067" width="10" style="2842" customWidth="1"/>
    <col min="2068" max="2068" width="26.1640625" style="2842" customWidth="1"/>
    <col min="2069" max="2304" width="8.83203125" style="2842"/>
    <col min="2305" max="2305" width="9.5" style="2842" customWidth="1"/>
    <col min="2306" max="2306" width="8.83203125" style="2842"/>
    <col min="2307" max="2309" width="12.83203125" style="2842" customWidth="1"/>
    <col min="2310" max="2310" width="47.5" style="2842" customWidth="1"/>
    <col min="2311" max="2311" width="13" style="2842" customWidth="1"/>
    <col min="2312" max="2313" width="8.83203125" style="2842"/>
    <col min="2314" max="2314" width="5.6640625" style="2842" customWidth="1"/>
    <col min="2315" max="2315" width="11.6640625" style="2842" customWidth="1"/>
    <col min="2316" max="2317" width="10.6640625" style="2842" customWidth="1"/>
    <col min="2318" max="2318" width="10" style="2842" customWidth="1"/>
    <col min="2319" max="2320" width="10.5" style="2842" bestFit="1" customWidth="1"/>
    <col min="2321" max="2321" width="10" style="2842" customWidth="1"/>
    <col min="2322" max="2322" width="10.1640625" style="2842" customWidth="1"/>
    <col min="2323" max="2323" width="10" style="2842" customWidth="1"/>
    <col min="2324" max="2324" width="26.1640625" style="2842" customWidth="1"/>
    <col min="2325" max="2560" width="8.83203125" style="2842"/>
    <col min="2561" max="2561" width="9.5" style="2842" customWidth="1"/>
    <col min="2562" max="2562" width="8.83203125" style="2842"/>
    <col min="2563" max="2565" width="12.83203125" style="2842" customWidth="1"/>
    <col min="2566" max="2566" width="47.5" style="2842" customWidth="1"/>
    <col min="2567" max="2567" width="13" style="2842" customWidth="1"/>
    <col min="2568" max="2569" width="8.83203125" style="2842"/>
    <col min="2570" max="2570" width="5.6640625" style="2842" customWidth="1"/>
    <col min="2571" max="2571" width="11.6640625" style="2842" customWidth="1"/>
    <col min="2572" max="2573" width="10.6640625" style="2842" customWidth="1"/>
    <col min="2574" max="2574" width="10" style="2842" customWidth="1"/>
    <col min="2575" max="2576" width="10.5" style="2842" bestFit="1" customWidth="1"/>
    <col min="2577" max="2577" width="10" style="2842" customWidth="1"/>
    <col min="2578" max="2578" width="10.1640625" style="2842" customWidth="1"/>
    <col min="2579" max="2579" width="10" style="2842" customWidth="1"/>
    <col min="2580" max="2580" width="26.1640625" style="2842" customWidth="1"/>
    <col min="2581" max="2816" width="8.83203125" style="2842"/>
    <col min="2817" max="2817" width="9.5" style="2842" customWidth="1"/>
    <col min="2818" max="2818" width="8.83203125" style="2842"/>
    <col min="2819" max="2821" width="12.83203125" style="2842" customWidth="1"/>
    <col min="2822" max="2822" width="47.5" style="2842" customWidth="1"/>
    <col min="2823" max="2823" width="13" style="2842" customWidth="1"/>
    <col min="2824" max="2825" width="8.83203125" style="2842"/>
    <col min="2826" max="2826" width="5.6640625" style="2842" customWidth="1"/>
    <col min="2827" max="2827" width="11.6640625" style="2842" customWidth="1"/>
    <col min="2828" max="2829" width="10.6640625" style="2842" customWidth="1"/>
    <col min="2830" max="2830" width="10" style="2842" customWidth="1"/>
    <col min="2831" max="2832" width="10.5" style="2842" bestFit="1" customWidth="1"/>
    <col min="2833" max="2833" width="10" style="2842" customWidth="1"/>
    <col min="2834" max="2834" width="10.1640625" style="2842" customWidth="1"/>
    <col min="2835" max="2835" width="10" style="2842" customWidth="1"/>
    <col min="2836" max="2836" width="26.1640625" style="2842" customWidth="1"/>
    <col min="2837" max="3072" width="8.83203125" style="2842"/>
    <col min="3073" max="3073" width="9.5" style="2842" customWidth="1"/>
    <col min="3074" max="3074" width="8.83203125" style="2842"/>
    <col min="3075" max="3077" width="12.83203125" style="2842" customWidth="1"/>
    <col min="3078" max="3078" width="47.5" style="2842" customWidth="1"/>
    <col min="3079" max="3079" width="13" style="2842" customWidth="1"/>
    <col min="3080" max="3081" width="8.83203125" style="2842"/>
    <col min="3082" max="3082" width="5.6640625" style="2842" customWidth="1"/>
    <col min="3083" max="3083" width="11.6640625" style="2842" customWidth="1"/>
    <col min="3084" max="3085" width="10.6640625" style="2842" customWidth="1"/>
    <col min="3086" max="3086" width="10" style="2842" customWidth="1"/>
    <col min="3087" max="3088" width="10.5" style="2842" bestFit="1" customWidth="1"/>
    <col min="3089" max="3089" width="10" style="2842" customWidth="1"/>
    <col min="3090" max="3090" width="10.1640625" style="2842" customWidth="1"/>
    <col min="3091" max="3091" width="10" style="2842" customWidth="1"/>
    <col min="3092" max="3092" width="26.1640625" style="2842" customWidth="1"/>
    <col min="3093" max="3328" width="8.83203125" style="2842"/>
    <col min="3329" max="3329" width="9.5" style="2842" customWidth="1"/>
    <col min="3330" max="3330" width="8.83203125" style="2842"/>
    <col min="3331" max="3333" width="12.83203125" style="2842" customWidth="1"/>
    <col min="3334" max="3334" width="47.5" style="2842" customWidth="1"/>
    <col min="3335" max="3335" width="13" style="2842" customWidth="1"/>
    <col min="3336" max="3337" width="8.83203125" style="2842"/>
    <col min="3338" max="3338" width="5.6640625" style="2842" customWidth="1"/>
    <col min="3339" max="3339" width="11.6640625" style="2842" customWidth="1"/>
    <col min="3340" max="3341" width="10.6640625" style="2842" customWidth="1"/>
    <col min="3342" max="3342" width="10" style="2842" customWidth="1"/>
    <col min="3343" max="3344" width="10.5" style="2842" bestFit="1" customWidth="1"/>
    <col min="3345" max="3345" width="10" style="2842" customWidth="1"/>
    <col min="3346" max="3346" width="10.1640625" style="2842" customWidth="1"/>
    <col min="3347" max="3347" width="10" style="2842" customWidth="1"/>
    <col min="3348" max="3348" width="26.1640625" style="2842" customWidth="1"/>
    <col min="3349" max="3584" width="8.83203125" style="2842"/>
    <col min="3585" max="3585" width="9.5" style="2842" customWidth="1"/>
    <col min="3586" max="3586" width="8.83203125" style="2842"/>
    <col min="3587" max="3589" width="12.83203125" style="2842" customWidth="1"/>
    <col min="3590" max="3590" width="47.5" style="2842" customWidth="1"/>
    <col min="3591" max="3591" width="13" style="2842" customWidth="1"/>
    <col min="3592" max="3593" width="8.83203125" style="2842"/>
    <col min="3594" max="3594" width="5.6640625" style="2842" customWidth="1"/>
    <col min="3595" max="3595" width="11.6640625" style="2842" customWidth="1"/>
    <col min="3596" max="3597" width="10.6640625" style="2842" customWidth="1"/>
    <col min="3598" max="3598" width="10" style="2842" customWidth="1"/>
    <col min="3599" max="3600" width="10.5" style="2842" bestFit="1" customWidth="1"/>
    <col min="3601" max="3601" width="10" style="2842" customWidth="1"/>
    <col min="3602" max="3602" width="10.1640625" style="2842" customWidth="1"/>
    <col min="3603" max="3603" width="10" style="2842" customWidth="1"/>
    <col min="3604" max="3604" width="26.1640625" style="2842" customWidth="1"/>
    <col min="3605" max="3840" width="8.83203125" style="2842"/>
    <col min="3841" max="3841" width="9.5" style="2842" customWidth="1"/>
    <col min="3842" max="3842" width="8.83203125" style="2842"/>
    <col min="3843" max="3845" width="12.83203125" style="2842" customWidth="1"/>
    <col min="3846" max="3846" width="47.5" style="2842" customWidth="1"/>
    <col min="3847" max="3847" width="13" style="2842" customWidth="1"/>
    <col min="3848" max="3849" width="8.83203125" style="2842"/>
    <col min="3850" max="3850" width="5.6640625" style="2842" customWidth="1"/>
    <col min="3851" max="3851" width="11.6640625" style="2842" customWidth="1"/>
    <col min="3852" max="3853" width="10.6640625" style="2842" customWidth="1"/>
    <col min="3854" max="3854" width="10" style="2842" customWidth="1"/>
    <col min="3855" max="3856" width="10.5" style="2842" bestFit="1" customWidth="1"/>
    <col min="3857" max="3857" width="10" style="2842" customWidth="1"/>
    <col min="3858" max="3858" width="10.1640625" style="2842" customWidth="1"/>
    <col min="3859" max="3859" width="10" style="2842" customWidth="1"/>
    <col min="3860" max="3860" width="26.1640625" style="2842" customWidth="1"/>
    <col min="3861" max="4096" width="8.83203125" style="2842"/>
    <col min="4097" max="4097" width="9.5" style="2842" customWidth="1"/>
    <col min="4098" max="4098" width="8.83203125" style="2842"/>
    <col min="4099" max="4101" width="12.83203125" style="2842" customWidth="1"/>
    <col min="4102" max="4102" width="47.5" style="2842" customWidth="1"/>
    <col min="4103" max="4103" width="13" style="2842" customWidth="1"/>
    <col min="4104" max="4105" width="8.83203125" style="2842"/>
    <col min="4106" max="4106" width="5.6640625" style="2842" customWidth="1"/>
    <col min="4107" max="4107" width="11.6640625" style="2842" customWidth="1"/>
    <col min="4108" max="4109" width="10.6640625" style="2842" customWidth="1"/>
    <col min="4110" max="4110" width="10" style="2842" customWidth="1"/>
    <col min="4111" max="4112" width="10.5" style="2842" bestFit="1" customWidth="1"/>
    <col min="4113" max="4113" width="10" style="2842" customWidth="1"/>
    <col min="4114" max="4114" width="10.1640625" style="2842" customWidth="1"/>
    <col min="4115" max="4115" width="10" style="2842" customWidth="1"/>
    <col min="4116" max="4116" width="26.1640625" style="2842" customWidth="1"/>
    <col min="4117" max="4352" width="8.83203125" style="2842"/>
    <col min="4353" max="4353" width="9.5" style="2842" customWidth="1"/>
    <col min="4354" max="4354" width="8.83203125" style="2842"/>
    <col min="4355" max="4357" width="12.83203125" style="2842" customWidth="1"/>
    <col min="4358" max="4358" width="47.5" style="2842" customWidth="1"/>
    <col min="4359" max="4359" width="13" style="2842" customWidth="1"/>
    <col min="4360" max="4361" width="8.83203125" style="2842"/>
    <col min="4362" max="4362" width="5.6640625" style="2842" customWidth="1"/>
    <col min="4363" max="4363" width="11.6640625" style="2842" customWidth="1"/>
    <col min="4364" max="4365" width="10.6640625" style="2842" customWidth="1"/>
    <col min="4366" max="4366" width="10" style="2842" customWidth="1"/>
    <col min="4367" max="4368" width="10.5" style="2842" bestFit="1" customWidth="1"/>
    <col min="4369" max="4369" width="10" style="2842" customWidth="1"/>
    <col min="4370" max="4370" width="10.1640625" style="2842" customWidth="1"/>
    <col min="4371" max="4371" width="10" style="2842" customWidth="1"/>
    <col min="4372" max="4372" width="26.1640625" style="2842" customWidth="1"/>
    <col min="4373" max="4608" width="8.83203125" style="2842"/>
    <col min="4609" max="4609" width="9.5" style="2842" customWidth="1"/>
    <col min="4610" max="4610" width="8.83203125" style="2842"/>
    <col min="4611" max="4613" width="12.83203125" style="2842" customWidth="1"/>
    <col min="4614" max="4614" width="47.5" style="2842" customWidth="1"/>
    <col min="4615" max="4615" width="13" style="2842" customWidth="1"/>
    <col min="4616" max="4617" width="8.83203125" style="2842"/>
    <col min="4618" max="4618" width="5.6640625" style="2842" customWidth="1"/>
    <col min="4619" max="4619" width="11.6640625" style="2842" customWidth="1"/>
    <col min="4620" max="4621" width="10.6640625" style="2842" customWidth="1"/>
    <col min="4622" max="4622" width="10" style="2842" customWidth="1"/>
    <col min="4623" max="4624" width="10.5" style="2842" bestFit="1" customWidth="1"/>
    <col min="4625" max="4625" width="10" style="2842" customWidth="1"/>
    <col min="4626" max="4626" width="10.1640625" style="2842" customWidth="1"/>
    <col min="4627" max="4627" width="10" style="2842" customWidth="1"/>
    <col min="4628" max="4628" width="26.1640625" style="2842" customWidth="1"/>
    <col min="4629" max="4864" width="8.83203125" style="2842"/>
    <col min="4865" max="4865" width="9.5" style="2842" customWidth="1"/>
    <col min="4866" max="4866" width="8.83203125" style="2842"/>
    <col min="4867" max="4869" width="12.83203125" style="2842" customWidth="1"/>
    <col min="4870" max="4870" width="47.5" style="2842" customWidth="1"/>
    <col min="4871" max="4871" width="13" style="2842" customWidth="1"/>
    <col min="4872" max="4873" width="8.83203125" style="2842"/>
    <col min="4874" max="4874" width="5.6640625" style="2842" customWidth="1"/>
    <col min="4875" max="4875" width="11.6640625" style="2842" customWidth="1"/>
    <col min="4876" max="4877" width="10.6640625" style="2842" customWidth="1"/>
    <col min="4878" max="4878" width="10" style="2842" customWidth="1"/>
    <col min="4879" max="4880" width="10.5" style="2842" bestFit="1" customWidth="1"/>
    <col min="4881" max="4881" width="10" style="2842" customWidth="1"/>
    <col min="4882" max="4882" width="10.1640625" style="2842" customWidth="1"/>
    <col min="4883" max="4883" width="10" style="2842" customWidth="1"/>
    <col min="4884" max="4884" width="26.1640625" style="2842" customWidth="1"/>
    <col min="4885" max="5120" width="8.83203125" style="2842"/>
    <col min="5121" max="5121" width="9.5" style="2842" customWidth="1"/>
    <col min="5122" max="5122" width="8.83203125" style="2842"/>
    <col min="5123" max="5125" width="12.83203125" style="2842" customWidth="1"/>
    <col min="5126" max="5126" width="47.5" style="2842" customWidth="1"/>
    <col min="5127" max="5127" width="13" style="2842" customWidth="1"/>
    <col min="5128" max="5129" width="8.83203125" style="2842"/>
    <col min="5130" max="5130" width="5.6640625" style="2842" customWidth="1"/>
    <col min="5131" max="5131" width="11.6640625" style="2842" customWidth="1"/>
    <col min="5132" max="5133" width="10.6640625" style="2842" customWidth="1"/>
    <col min="5134" max="5134" width="10" style="2842" customWidth="1"/>
    <col min="5135" max="5136" width="10.5" style="2842" bestFit="1" customWidth="1"/>
    <col min="5137" max="5137" width="10" style="2842" customWidth="1"/>
    <col min="5138" max="5138" width="10.1640625" style="2842" customWidth="1"/>
    <col min="5139" max="5139" width="10" style="2842" customWidth="1"/>
    <col min="5140" max="5140" width="26.1640625" style="2842" customWidth="1"/>
    <col min="5141" max="5376" width="8.83203125" style="2842"/>
    <col min="5377" max="5377" width="9.5" style="2842" customWidth="1"/>
    <col min="5378" max="5378" width="8.83203125" style="2842"/>
    <col min="5379" max="5381" width="12.83203125" style="2842" customWidth="1"/>
    <col min="5382" max="5382" width="47.5" style="2842" customWidth="1"/>
    <col min="5383" max="5383" width="13" style="2842" customWidth="1"/>
    <col min="5384" max="5385" width="8.83203125" style="2842"/>
    <col min="5386" max="5386" width="5.6640625" style="2842" customWidth="1"/>
    <col min="5387" max="5387" width="11.6640625" style="2842" customWidth="1"/>
    <col min="5388" max="5389" width="10.6640625" style="2842" customWidth="1"/>
    <col min="5390" max="5390" width="10" style="2842" customWidth="1"/>
    <col min="5391" max="5392" width="10.5" style="2842" bestFit="1" customWidth="1"/>
    <col min="5393" max="5393" width="10" style="2842" customWidth="1"/>
    <col min="5394" max="5394" width="10.1640625" style="2842" customWidth="1"/>
    <col min="5395" max="5395" width="10" style="2842" customWidth="1"/>
    <col min="5396" max="5396" width="26.1640625" style="2842" customWidth="1"/>
    <col min="5397" max="5632" width="8.83203125" style="2842"/>
    <col min="5633" max="5633" width="9.5" style="2842" customWidth="1"/>
    <col min="5634" max="5634" width="8.83203125" style="2842"/>
    <col min="5635" max="5637" width="12.83203125" style="2842" customWidth="1"/>
    <col min="5638" max="5638" width="47.5" style="2842" customWidth="1"/>
    <col min="5639" max="5639" width="13" style="2842" customWidth="1"/>
    <col min="5640" max="5641" width="8.83203125" style="2842"/>
    <col min="5642" max="5642" width="5.6640625" style="2842" customWidth="1"/>
    <col min="5643" max="5643" width="11.6640625" style="2842" customWidth="1"/>
    <col min="5644" max="5645" width="10.6640625" style="2842" customWidth="1"/>
    <col min="5646" max="5646" width="10" style="2842" customWidth="1"/>
    <col min="5647" max="5648" width="10.5" style="2842" bestFit="1" customWidth="1"/>
    <col min="5649" max="5649" width="10" style="2842" customWidth="1"/>
    <col min="5650" max="5650" width="10.1640625" style="2842" customWidth="1"/>
    <col min="5651" max="5651" width="10" style="2842" customWidth="1"/>
    <col min="5652" max="5652" width="26.1640625" style="2842" customWidth="1"/>
    <col min="5653" max="5888" width="8.83203125" style="2842"/>
    <col min="5889" max="5889" width="9.5" style="2842" customWidth="1"/>
    <col min="5890" max="5890" width="8.83203125" style="2842"/>
    <col min="5891" max="5893" width="12.83203125" style="2842" customWidth="1"/>
    <col min="5894" max="5894" width="47.5" style="2842" customWidth="1"/>
    <col min="5895" max="5895" width="13" style="2842" customWidth="1"/>
    <col min="5896" max="5897" width="8.83203125" style="2842"/>
    <col min="5898" max="5898" width="5.6640625" style="2842" customWidth="1"/>
    <col min="5899" max="5899" width="11.6640625" style="2842" customWidth="1"/>
    <col min="5900" max="5901" width="10.6640625" style="2842" customWidth="1"/>
    <col min="5902" max="5902" width="10" style="2842" customWidth="1"/>
    <col min="5903" max="5904" width="10.5" style="2842" bestFit="1" customWidth="1"/>
    <col min="5905" max="5905" width="10" style="2842" customWidth="1"/>
    <col min="5906" max="5906" width="10.1640625" style="2842" customWidth="1"/>
    <col min="5907" max="5907" width="10" style="2842" customWidth="1"/>
    <col min="5908" max="5908" width="26.1640625" style="2842" customWidth="1"/>
    <col min="5909" max="6144" width="8.83203125" style="2842"/>
    <col min="6145" max="6145" width="9.5" style="2842" customWidth="1"/>
    <col min="6146" max="6146" width="8.83203125" style="2842"/>
    <col min="6147" max="6149" width="12.83203125" style="2842" customWidth="1"/>
    <col min="6150" max="6150" width="47.5" style="2842" customWidth="1"/>
    <col min="6151" max="6151" width="13" style="2842" customWidth="1"/>
    <col min="6152" max="6153" width="8.83203125" style="2842"/>
    <col min="6154" max="6154" width="5.6640625" style="2842" customWidth="1"/>
    <col min="6155" max="6155" width="11.6640625" style="2842" customWidth="1"/>
    <col min="6156" max="6157" width="10.6640625" style="2842" customWidth="1"/>
    <col min="6158" max="6158" width="10" style="2842" customWidth="1"/>
    <col min="6159" max="6160" width="10.5" style="2842" bestFit="1" customWidth="1"/>
    <col min="6161" max="6161" width="10" style="2842" customWidth="1"/>
    <col min="6162" max="6162" width="10.1640625" style="2842" customWidth="1"/>
    <col min="6163" max="6163" width="10" style="2842" customWidth="1"/>
    <col min="6164" max="6164" width="26.1640625" style="2842" customWidth="1"/>
    <col min="6165" max="6400" width="8.83203125" style="2842"/>
    <col min="6401" max="6401" width="9.5" style="2842" customWidth="1"/>
    <col min="6402" max="6402" width="8.83203125" style="2842"/>
    <col min="6403" max="6405" width="12.83203125" style="2842" customWidth="1"/>
    <col min="6406" max="6406" width="47.5" style="2842" customWidth="1"/>
    <col min="6407" max="6407" width="13" style="2842" customWidth="1"/>
    <col min="6408" max="6409" width="8.83203125" style="2842"/>
    <col min="6410" max="6410" width="5.6640625" style="2842" customWidth="1"/>
    <col min="6411" max="6411" width="11.6640625" style="2842" customWidth="1"/>
    <col min="6412" max="6413" width="10.6640625" style="2842" customWidth="1"/>
    <col min="6414" max="6414" width="10" style="2842" customWidth="1"/>
    <col min="6415" max="6416" width="10.5" style="2842" bestFit="1" customWidth="1"/>
    <col min="6417" max="6417" width="10" style="2842" customWidth="1"/>
    <col min="6418" max="6418" width="10.1640625" style="2842" customWidth="1"/>
    <col min="6419" max="6419" width="10" style="2842" customWidth="1"/>
    <col min="6420" max="6420" width="26.1640625" style="2842" customWidth="1"/>
    <col min="6421" max="6656" width="8.83203125" style="2842"/>
    <col min="6657" max="6657" width="9.5" style="2842" customWidth="1"/>
    <col min="6658" max="6658" width="8.83203125" style="2842"/>
    <col min="6659" max="6661" width="12.83203125" style="2842" customWidth="1"/>
    <col min="6662" max="6662" width="47.5" style="2842" customWidth="1"/>
    <col min="6663" max="6663" width="13" style="2842" customWidth="1"/>
    <col min="6664" max="6665" width="8.83203125" style="2842"/>
    <col min="6666" max="6666" width="5.6640625" style="2842" customWidth="1"/>
    <col min="6667" max="6667" width="11.6640625" style="2842" customWidth="1"/>
    <col min="6668" max="6669" width="10.6640625" style="2842" customWidth="1"/>
    <col min="6670" max="6670" width="10" style="2842" customWidth="1"/>
    <col min="6671" max="6672" width="10.5" style="2842" bestFit="1" customWidth="1"/>
    <col min="6673" max="6673" width="10" style="2842" customWidth="1"/>
    <col min="6674" max="6674" width="10.1640625" style="2842" customWidth="1"/>
    <col min="6675" max="6675" width="10" style="2842" customWidth="1"/>
    <col min="6676" max="6676" width="26.1640625" style="2842" customWidth="1"/>
    <col min="6677" max="6912" width="8.83203125" style="2842"/>
    <col min="6913" max="6913" width="9.5" style="2842" customWidth="1"/>
    <col min="6914" max="6914" width="8.83203125" style="2842"/>
    <col min="6915" max="6917" width="12.83203125" style="2842" customWidth="1"/>
    <col min="6918" max="6918" width="47.5" style="2842" customWidth="1"/>
    <col min="6919" max="6919" width="13" style="2842" customWidth="1"/>
    <col min="6920" max="6921" width="8.83203125" style="2842"/>
    <col min="6922" max="6922" width="5.6640625" style="2842" customWidth="1"/>
    <col min="6923" max="6923" width="11.6640625" style="2842" customWidth="1"/>
    <col min="6924" max="6925" width="10.6640625" style="2842" customWidth="1"/>
    <col min="6926" max="6926" width="10" style="2842" customWidth="1"/>
    <col min="6927" max="6928" width="10.5" style="2842" bestFit="1" customWidth="1"/>
    <col min="6929" max="6929" width="10" style="2842" customWidth="1"/>
    <col min="6930" max="6930" width="10.1640625" style="2842" customWidth="1"/>
    <col min="6931" max="6931" width="10" style="2842" customWidth="1"/>
    <col min="6932" max="6932" width="26.1640625" style="2842" customWidth="1"/>
    <col min="6933" max="7168" width="8.83203125" style="2842"/>
    <col min="7169" max="7169" width="9.5" style="2842" customWidth="1"/>
    <col min="7170" max="7170" width="8.83203125" style="2842"/>
    <col min="7171" max="7173" width="12.83203125" style="2842" customWidth="1"/>
    <col min="7174" max="7174" width="47.5" style="2842" customWidth="1"/>
    <col min="7175" max="7175" width="13" style="2842" customWidth="1"/>
    <col min="7176" max="7177" width="8.83203125" style="2842"/>
    <col min="7178" max="7178" width="5.6640625" style="2842" customWidth="1"/>
    <col min="7179" max="7179" width="11.6640625" style="2842" customWidth="1"/>
    <col min="7180" max="7181" width="10.6640625" style="2842" customWidth="1"/>
    <col min="7182" max="7182" width="10" style="2842" customWidth="1"/>
    <col min="7183" max="7184" width="10.5" style="2842" bestFit="1" customWidth="1"/>
    <col min="7185" max="7185" width="10" style="2842" customWidth="1"/>
    <col min="7186" max="7186" width="10.1640625" style="2842" customWidth="1"/>
    <col min="7187" max="7187" width="10" style="2842" customWidth="1"/>
    <col min="7188" max="7188" width="26.1640625" style="2842" customWidth="1"/>
    <col min="7189" max="7424" width="8.83203125" style="2842"/>
    <col min="7425" max="7425" width="9.5" style="2842" customWidth="1"/>
    <col min="7426" max="7426" width="8.83203125" style="2842"/>
    <col min="7427" max="7429" width="12.83203125" style="2842" customWidth="1"/>
    <col min="7430" max="7430" width="47.5" style="2842" customWidth="1"/>
    <col min="7431" max="7431" width="13" style="2842" customWidth="1"/>
    <col min="7432" max="7433" width="8.83203125" style="2842"/>
    <col min="7434" max="7434" width="5.6640625" style="2842" customWidth="1"/>
    <col min="7435" max="7435" width="11.6640625" style="2842" customWidth="1"/>
    <col min="7436" max="7437" width="10.6640625" style="2842" customWidth="1"/>
    <col min="7438" max="7438" width="10" style="2842" customWidth="1"/>
    <col min="7439" max="7440" width="10.5" style="2842" bestFit="1" customWidth="1"/>
    <col min="7441" max="7441" width="10" style="2842" customWidth="1"/>
    <col min="7442" max="7442" width="10.1640625" style="2842" customWidth="1"/>
    <col min="7443" max="7443" width="10" style="2842" customWidth="1"/>
    <col min="7444" max="7444" width="26.1640625" style="2842" customWidth="1"/>
    <col min="7445" max="7680" width="8.83203125" style="2842"/>
    <col min="7681" max="7681" width="9.5" style="2842" customWidth="1"/>
    <col min="7682" max="7682" width="8.83203125" style="2842"/>
    <col min="7683" max="7685" width="12.83203125" style="2842" customWidth="1"/>
    <col min="7686" max="7686" width="47.5" style="2842" customWidth="1"/>
    <col min="7687" max="7687" width="13" style="2842" customWidth="1"/>
    <col min="7688" max="7689" width="8.83203125" style="2842"/>
    <col min="7690" max="7690" width="5.6640625" style="2842" customWidth="1"/>
    <col min="7691" max="7691" width="11.6640625" style="2842" customWidth="1"/>
    <col min="7692" max="7693" width="10.6640625" style="2842" customWidth="1"/>
    <col min="7694" max="7694" width="10" style="2842" customWidth="1"/>
    <col min="7695" max="7696" width="10.5" style="2842" bestFit="1" customWidth="1"/>
    <col min="7697" max="7697" width="10" style="2842" customWidth="1"/>
    <col min="7698" max="7698" width="10.1640625" style="2842" customWidth="1"/>
    <col min="7699" max="7699" width="10" style="2842" customWidth="1"/>
    <col min="7700" max="7700" width="26.1640625" style="2842" customWidth="1"/>
    <col min="7701" max="7936" width="8.83203125" style="2842"/>
    <col min="7937" max="7937" width="9.5" style="2842" customWidth="1"/>
    <col min="7938" max="7938" width="8.83203125" style="2842"/>
    <col min="7939" max="7941" width="12.83203125" style="2842" customWidth="1"/>
    <col min="7942" max="7942" width="47.5" style="2842" customWidth="1"/>
    <col min="7943" max="7943" width="13" style="2842" customWidth="1"/>
    <col min="7944" max="7945" width="8.83203125" style="2842"/>
    <col min="7946" max="7946" width="5.6640625" style="2842" customWidth="1"/>
    <col min="7947" max="7947" width="11.6640625" style="2842" customWidth="1"/>
    <col min="7948" max="7949" width="10.6640625" style="2842" customWidth="1"/>
    <col min="7950" max="7950" width="10" style="2842" customWidth="1"/>
    <col min="7951" max="7952" width="10.5" style="2842" bestFit="1" customWidth="1"/>
    <col min="7953" max="7953" width="10" style="2842" customWidth="1"/>
    <col min="7954" max="7954" width="10.1640625" style="2842" customWidth="1"/>
    <col min="7955" max="7955" width="10" style="2842" customWidth="1"/>
    <col min="7956" max="7956" width="26.1640625" style="2842" customWidth="1"/>
    <col min="7957" max="8192" width="8.83203125" style="2842"/>
    <col min="8193" max="8193" width="9.5" style="2842" customWidth="1"/>
    <col min="8194" max="8194" width="8.83203125" style="2842"/>
    <col min="8195" max="8197" width="12.83203125" style="2842" customWidth="1"/>
    <col min="8198" max="8198" width="47.5" style="2842" customWidth="1"/>
    <col min="8199" max="8199" width="13" style="2842" customWidth="1"/>
    <col min="8200" max="8201" width="8.83203125" style="2842"/>
    <col min="8202" max="8202" width="5.6640625" style="2842" customWidth="1"/>
    <col min="8203" max="8203" width="11.6640625" style="2842" customWidth="1"/>
    <col min="8204" max="8205" width="10.6640625" style="2842" customWidth="1"/>
    <col min="8206" max="8206" width="10" style="2842" customWidth="1"/>
    <col min="8207" max="8208" width="10.5" style="2842" bestFit="1" customWidth="1"/>
    <col min="8209" max="8209" width="10" style="2842" customWidth="1"/>
    <col min="8210" max="8210" width="10.1640625" style="2842" customWidth="1"/>
    <col min="8211" max="8211" width="10" style="2842" customWidth="1"/>
    <col min="8212" max="8212" width="26.1640625" style="2842" customWidth="1"/>
    <col min="8213" max="8448" width="8.83203125" style="2842"/>
    <col min="8449" max="8449" width="9.5" style="2842" customWidth="1"/>
    <col min="8450" max="8450" width="8.83203125" style="2842"/>
    <col min="8451" max="8453" width="12.83203125" style="2842" customWidth="1"/>
    <col min="8454" max="8454" width="47.5" style="2842" customWidth="1"/>
    <col min="8455" max="8455" width="13" style="2842" customWidth="1"/>
    <col min="8456" max="8457" width="8.83203125" style="2842"/>
    <col min="8458" max="8458" width="5.6640625" style="2842" customWidth="1"/>
    <col min="8459" max="8459" width="11.6640625" style="2842" customWidth="1"/>
    <col min="8460" max="8461" width="10.6640625" style="2842" customWidth="1"/>
    <col min="8462" max="8462" width="10" style="2842" customWidth="1"/>
    <col min="8463" max="8464" width="10.5" style="2842" bestFit="1" customWidth="1"/>
    <col min="8465" max="8465" width="10" style="2842" customWidth="1"/>
    <col min="8466" max="8466" width="10.1640625" style="2842" customWidth="1"/>
    <col min="8467" max="8467" width="10" style="2842" customWidth="1"/>
    <col min="8468" max="8468" width="26.1640625" style="2842" customWidth="1"/>
    <col min="8469" max="8704" width="8.83203125" style="2842"/>
    <col min="8705" max="8705" width="9.5" style="2842" customWidth="1"/>
    <col min="8706" max="8706" width="8.83203125" style="2842"/>
    <col min="8707" max="8709" width="12.83203125" style="2842" customWidth="1"/>
    <col min="8710" max="8710" width="47.5" style="2842" customWidth="1"/>
    <col min="8711" max="8711" width="13" style="2842" customWidth="1"/>
    <col min="8712" max="8713" width="8.83203125" style="2842"/>
    <col min="8714" max="8714" width="5.6640625" style="2842" customWidth="1"/>
    <col min="8715" max="8715" width="11.6640625" style="2842" customWidth="1"/>
    <col min="8716" max="8717" width="10.6640625" style="2842" customWidth="1"/>
    <col min="8718" max="8718" width="10" style="2842" customWidth="1"/>
    <col min="8719" max="8720" width="10.5" style="2842" bestFit="1" customWidth="1"/>
    <col min="8721" max="8721" width="10" style="2842" customWidth="1"/>
    <col min="8722" max="8722" width="10.1640625" style="2842" customWidth="1"/>
    <col min="8723" max="8723" width="10" style="2842" customWidth="1"/>
    <col min="8724" max="8724" width="26.1640625" style="2842" customWidth="1"/>
    <col min="8725" max="8960" width="8.83203125" style="2842"/>
    <col min="8961" max="8961" width="9.5" style="2842" customWidth="1"/>
    <col min="8962" max="8962" width="8.83203125" style="2842"/>
    <col min="8963" max="8965" width="12.83203125" style="2842" customWidth="1"/>
    <col min="8966" max="8966" width="47.5" style="2842" customWidth="1"/>
    <col min="8967" max="8967" width="13" style="2842" customWidth="1"/>
    <col min="8968" max="8969" width="8.83203125" style="2842"/>
    <col min="8970" max="8970" width="5.6640625" style="2842" customWidth="1"/>
    <col min="8971" max="8971" width="11.6640625" style="2842" customWidth="1"/>
    <col min="8972" max="8973" width="10.6640625" style="2842" customWidth="1"/>
    <col min="8974" max="8974" width="10" style="2842" customWidth="1"/>
    <col min="8975" max="8976" width="10.5" style="2842" bestFit="1" customWidth="1"/>
    <col min="8977" max="8977" width="10" style="2842" customWidth="1"/>
    <col min="8978" max="8978" width="10.1640625" style="2842" customWidth="1"/>
    <col min="8979" max="8979" width="10" style="2842" customWidth="1"/>
    <col min="8980" max="8980" width="26.1640625" style="2842" customWidth="1"/>
    <col min="8981" max="9216" width="8.83203125" style="2842"/>
    <col min="9217" max="9217" width="9.5" style="2842" customWidth="1"/>
    <col min="9218" max="9218" width="8.83203125" style="2842"/>
    <col min="9219" max="9221" width="12.83203125" style="2842" customWidth="1"/>
    <col min="9222" max="9222" width="47.5" style="2842" customWidth="1"/>
    <col min="9223" max="9223" width="13" style="2842" customWidth="1"/>
    <col min="9224" max="9225" width="8.83203125" style="2842"/>
    <col min="9226" max="9226" width="5.6640625" style="2842" customWidth="1"/>
    <col min="9227" max="9227" width="11.6640625" style="2842" customWidth="1"/>
    <col min="9228" max="9229" width="10.6640625" style="2842" customWidth="1"/>
    <col min="9230" max="9230" width="10" style="2842" customWidth="1"/>
    <col min="9231" max="9232" width="10.5" style="2842" bestFit="1" customWidth="1"/>
    <col min="9233" max="9233" width="10" style="2842" customWidth="1"/>
    <col min="9234" max="9234" width="10.1640625" style="2842" customWidth="1"/>
    <col min="9235" max="9235" width="10" style="2842" customWidth="1"/>
    <col min="9236" max="9236" width="26.1640625" style="2842" customWidth="1"/>
    <col min="9237" max="9472" width="8.83203125" style="2842"/>
    <col min="9473" max="9473" width="9.5" style="2842" customWidth="1"/>
    <col min="9474" max="9474" width="8.83203125" style="2842"/>
    <col min="9475" max="9477" width="12.83203125" style="2842" customWidth="1"/>
    <col min="9478" max="9478" width="47.5" style="2842" customWidth="1"/>
    <col min="9479" max="9479" width="13" style="2842" customWidth="1"/>
    <col min="9480" max="9481" width="8.83203125" style="2842"/>
    <col min="9482" max="9482" width="5.6640625" style="2842" customWidth="1"/>
    <col min="9483" max="9483" width="11.6640625" style="2842" customWidth="1"/>
    <col min="9484" max="9485" width="10.6640625" style="2842" customWidth="1"/>
    <col min="9486" max="9486" width="10" style="2842" customWidth="1"/>
    <col min="9487" max="9488" width="10.5" style="2842" bestFit="1" customWidth="1"/>
    <col min="9489" max="9489" width="10" style="2842" customWidth="1"/>
    <col min="9490" max="9490" width="10.1640625" style="2842" customWidth="1"/>
    <col min="9491" max="9491" width="10" style="2842" customWidth="1"/>
    <col min="9492" max="9492" width="26.1640625" style="2842" customWidth="1"/>
    <col min="9493" max="9728" width="8.83203125" style="2842"/>
    <col min="9729" max="9729" width="9.5" style="2842" customWidth="1"/>
    <col min="9730" max="9730" width="8.83203125" style="2842"/>
    <col min="9731" max="9733" width="12.83203125" style="2842" customWidth="1"/>
    <col min="9734" max="9734" width="47.5" style="2842" customWidth="1"/>
    <col min="9735" max="9735" width="13" style="2842" customWidth="1"/>
    <col min="9736" max="9737" width="8.83203125" style="2842"/>
    <col min="9738" max="9738" width="5.6640625" style="2842" customWidth="1"/>
    <col min="9739" max="9739" width="11.6640625" style="2842" customWidth="1"/>
    <col min="9740" max="9741" width="10.6640625" style="2842" customWidth="1"/>
    <col min="9742" max="9742" width="10" style="2842" customWidth="1"/>
    <col min="9743" max="9744" width="10.5" style="2842" bestFit="1" customWidth="1"/>
    <col min="9745" max="9745" width="10" style="2842" customWidth="1"/>
    <col min="9746" max="9746" width="10.1640625" style="2842" customWidth="1"/>
    <col min="9747" max="9747" width="10" style="2842" customWidth="1"/>
    <col min="9748" max="9748" width="26.1640625" style="2842" customWidth="1"/>
    <col min="9749" max="9984" width="8.83203125" style="2842"/>
    <col min="9985" max="9985" width="9.5" style="2842" customWidth="1"/>
    <col min="9986" max="9986" width="8.83203125" style="2842"/>
    <col min="9987" max="9989" width="12.83203125" style="2842" customWidth="1"/>
    <col min="9990" max="9990" width="47.5" style="2842" customWidth="1"/>
    <col min="9991" max="9991" width="13" style="2842" customWidth="1"/>
    <col min="9992" max="9993" width="8.83203125" style="2842"/>
    <col min="9994" max="9994" width="5.6640625" style="2842" customWidth="1"/>
    <col min="9995" max="9995" width="11.6640625" style="2842" customWidth="1"/>
    <col min="9996" max="9997" width="10.6640625" style="2842" customWidth="1"/>
    <col min="9998" max="9998" width="10" style="2842" customWidth="1"/>
    <col min="9999" max="10000" width="10.5" style="2842" bestFit="1" customWidth="1"/>
    <col min="10001" max="10001" width="10" style="2842" customWidth="1"/>
    <col min="10002" max="10002" width="10.1640625" style="2842" customWidth="1"/>
    <col min="10003" max="10003" width="10" style="2842" customWidth="1"/>
    <col min="10004" max="10004" width="26.1640625" style="2842" customWidth="1"/>
    <col min="10005" max="10240" width="8.83203125" style="2842"/>
    <col min="10241" max="10241" width="9.5" style="2842" customWidth="1"/>
    <col min="10242" max="10242" width="8.83203125" style="2842"/>
    <col min="10243" max="10245" width="12.83203125" style="2842" customWidth="1"/>
    <col min="10246" max="10246" width="47.5" style="2842" customWidth="1"/>
    <col min="10247" max="10247" width="13" style="2842" customWidth="1"/>
    <col min="10248" max="10249" width="8.83203125" style="2842"/>
    <col min="10250" max="10250" width="5.6640625" style="2842" customWidth="1"/>
    <col min="10251" max="10251" width="11.6640625" style="2842" customWidth="1"/>
    <col min="10252" max="10253" width="10.6640625" style="2842" customWidth="1"/>
    <col min="10254" max="10254" width="10" style="2842" customWidth="1"/>
    <col min="10255" max="10256" width="10.5" style="2842" bestFit="1" customWidth="1"/>
    <col min="10257" max="10257" width="10" style="2842" customWidth="1"/>
    <col min="10258" max="10258" width="10.1640625" style="2842" customWidth="1"/>
    <col min="10259" max="10259" width="10" style="2842" customWidth="1"/>
    <col min="10260" max="10260" width="26.1640625" style="2842" customWidth="1"/>
    <col min="10261" max="10496" width="8.83203125" style="2842"/>
    <col min="10497" max="10497" width="9.5" style="2842" customWidth="1"/>
    <col min="10498" max="10498" width="8.83203125" style="2842"/>
    <col min="10499" max="10501" width="12.83203125" style="2842" customWidth="1"/>
    <col min="10502" max="10502" width="47.5" style="2842" customWidth="1"/>
    <col min="10503" max="10503" width="13" style="2842" customWidth="1"/>
    <col min="10504" max="10505" width="8.83203125" style="2842"/>
    <col min="10506" max="10506" width="5.6640625" style="2842" customWidth="1"/>
    <col min="10507" max="10507" width="11.6640625" style="2842" customWidth="1"/>
    <col min="10508" max="10509" width="10.6640625" style="2842" customWidth="1"/>
    <col min="10510" max="10510" width="10" style="2842" customWidth="1"/>
    <col min="10511" max="10512" width="10.5" style="2842" bestFit="1" customWidth="1"/>
    <col min="10513" max="10513" width="10" style="2842" customWidth="1"/>
    <col min="10514" max="10514" width="10.1640625" style="2842" customWidth="1"/>
    <col min="10515" max="10515" width="10" style="2842" customWidth="1"/>
    <col min="10516" max="10516" width="26.1640625" style="2842" customWidth="1"/>
    <col min="10517" max="10752" width="8.83203125" style="2842"/>
    <col min="10753" max="10753" width="9.5" style="2842" customWidth="1"/>
    <col min="10754" max="10754" width="8.83203125" style="2842"/>
    <col min="10755" max="10757" width="12.83203125" style="2842" customWidth="1"/>
    <col min="10758" max="10758" width="47.5" style="2842" customWidth="1"/>
    <col min="10759" max="10759" width="13" style="2842" customWidth="1"/>
    <col min="10760" max="10761" width="8.83203125" style="2842"/>
    <col min="10762" max="10762" width="5.6640625" style="2842" customWidth="1"/>
    <col min="10763" max="10763" width="11.6640625" style="2842" customWidth="1"/>
    <col min="10764" max="10765" width="10.6640625" style="2842" customWidth="1"/>
    <col min="10766" max="10766" width="10" style="2842" customWidth="1"/>
    <col min="10767" max="10768" width="10.5" style="2842" bestFit="1" customWidth="1"/>
    <col min="10769" max="10769" width="10" style="2842" customWidth="1"/>
    <col min="10770" max="10770" width="10.1640625" style="2842" customWidth="1"/>
    <col min="10771" max="10771" width="10" style="2842" customWidth="1"/>
    <col min="10772" max="10772" width="26.1640625" style="2842" customWidth="1"/>
    <col min="10773" max="11008" width="8.83203125" style="2842"/>
    <col min="11009" max="11009" width="9.5" style="2842" customWidth="1"/>
    <col min="11010" max="11010" width="8.83203125" style="2842"/>
    <col min="11011" max="11013" width="12.83203125" style="2842" customWidth="1"/>
    <col min="11014" max="11014" width="47.5" style="2842" customWidth="1"/>
    <col min="11015" max="11015" width="13" style="2842" customWidth="1"/>
    <col min="11016" max="11017" width="8.83203125" style="2842"/>
    <col min="11018" max="11018" width="5.6640625" style="2842" customWidth="1"/>
    <col min="11019" max="11019" width="11.6640625" style="2842" customWidth="1"/>
    <col min="11020" max="11021" width="10.6640625" style="2842" customWidth="1"/>
    <col min="11022" max="11022" width="10" style="2842" customWidth="1"/>
    <col min="11023" max="11024" width="10.5" style="2842" bestFit="1" customWidth="1"/>
    <col min="11025" max="11025" width="10" style="2842" customWidth="1"/>
    <col min="11026" max="11026" width="10.1640625" style="2842" customWidth="1"/>
    <col min="11027" max="11027" width="10" style="2842" customWidth="1"/>
    <col min="11028" max="11028" width="26.1640625" style="2842" customWidth="1"/>
    <col min="11029" max="11264" width="8.83203125" style="2842"/>
    <col min="11265" max="11265" width="9.5" style="2842" customWidth="1"/>
    <col min="11266" max="11266" width="8.83203125" style="2842"/>
    <col min="11267" max="11269" width="12.83203125" style="2842" customWidth="1"/>
    <col min="11270" max="11270" width="47.5" style="2842" customWidth="1"/>
    <col min="11271" max="11271" width="13" style="2842" customWidth="1"/>
    <col min="11272" max="11273" width="8.83203125" style="2842"/>
    <col min="11274" max="11274" width="5.6640625" style="2842" customWidth="1"/>
    <col min="11275" max="11275" width="11.6640625" style="2842" customWidth="1"/>
    <col min="11276" max="11277" width="10.6640625" style="2842" customWidth="1"/>
    <col min="11278" max="11278" width="10" style="2842" customWidth="1"/>
    <col min="11279" max="11280" width="10.5" style="2842" bestFit="1" customWidth="1"/>
    <col min="11281" max="11281" width="10" style="2842" customWidth="1"/>
    <col min="11282" max="11282" width="10.1640625" style="2842" customWidth="1"/>
    <col min="11283" max="11283" width="10" style="2842" customWidth="1"/>
    <col min="11284" max="11284" width="26.1640625" style="2842" customWidth="1"/>
    <col min="11285" max="11520" width="8.83203125" style="2842"/>
    <col min="11521" max="11521" width="9.5" style="2842" customWidth="1"/>
    <col min="11522" max="11522" width="8.83203125" style="2842"/>
    <col min="11523" max="11525" width="12.83203125" style="2842" customWidth="1"/>
    <col min="11526" max="11526" width="47.5" style="2842" customWidth="1"/>
    <col min="11527" max="11527" width="13" style="2842" customWidth="1"/>
    <col min="11528" max="11529" width="8.83203125" style="2842"/>
    <col min="11530" max="11530" width="5.6640625" style="2842" customWidth="1"/>
    <col min="11531" max="11531" width="11.6640625" style="2842" customWidth="1"/>
    <col min="11532" max="11533" width="10.6640625" style="2842" customWidth="1"/>
    <col min="11534" max="11534" width="10" style="2842" customWidth="1"/>
    <col min="11535" max="11536" width="10.5" style="2842" bestFit="1" customWidth="1"/>
    <col min="11537" max="11537" width="10" style="2842" customWidth="1"/>
    <col min="11538" max="11538" width="10.1640625" style="2842" customWidth="1"/>
    <col min="11539" max="11539" width="10" style="2842" customWidth="1"/>
    <col min="11540" max="11540" width="26.1640625" style="2842" customWidth="1"/>
    <col min="11541" max="11776" width="8.83203125" style="2842"/>
    <col min="11777" max="11777" width="9.5" style="2842" customWidth="1"/>
    <col min="11778" max="11778" width="8.83203125" style="2842"/>
    <col min="11779" max="11781" width="12.83203125" style="2842" customWidth="1"/>
    <col min="11782" max="11782" width="47.5" style="2842" customWidth="1"/>
    <col min="11783" max="11783" width="13" style="2842" customWidth="1"/>
    <col min="11784" max="11785" width="8.83203125" style="2842"/>
    <col min="11786" max="11786" width="5.6640625" style="2842" customWidth="1"/>
    <col min="11787" max="11787" width="11.6640625" style="2842" customWidth="1"/>
    <col min="11788" max="11789" width="10.6640625" style="2842" customWidth="1"/>
    <col min="11790" max="11790" width="10" style="2842" customWidth="1"/>
    <col min="11791" max="11792" width="10.5" style="2842" bestFit="1" customWidth="1"/>
    <col min="11793" max="11793" width="10" style="2842" customWidth="1"/>
    <col min="11794" max="11794" width="10.1640625" style="2842" customWidth="1"/>
    <col min="11795" max="11795" width="10" style="2842" customWidth="1"/>
    <col min="11796" max="11796" width="26.1640625" style="2842" customWidth="1"/>
    <col min="11797" max="12032" width="8.83203125" style="2842"/>
    <col min="12033" max="12033" width="9.5" style="2842" customWidth="1"/>
    <col min="12034" max="12034" width="8.83203125" style="2842"/>
    <col min="12035" max="12037" width="12.83203125" style="2842" customWidth="1"/>
    <col min="12038" max="12038" width="47.5" style="2842" customWidth="1"/>
    <col min="12039" max="12039" width="13" style="2842" customWidth="1"/>
    <col min="12040" max="12041" width="8.83203125" style="2842"/>
    <col min="12042" max="12042" width="5.6640625" style="2842" customWidth="1"/>
    <col min="12043" max="12043" width="11.6640625" style="2842" customWidth="1"/>
    <col min="12044" max="12045" width="10.6640625" style="2842" customWidth="1"/>
    <col min="12046" max="12046" width="10" style="2842" customWidth="1"/>
    <col min="12047" max="12048" width="10.5" style="2842" bestFit="1" customWidth="1"/>
    <col min="12049" max="12049" width="10" style="2842" customWidth="1"/>
    <col min="12050" max="12050" width="10.1640625" style="2842" customWidth="1"/>
    <col min="12051" max="12051" width="10" style="2842" customWidth="1"/>
    <col min="12052" max="12052" width="26.1640625" style="2842" customWidth="1"/>
    <col min="12053" max="12288" width="8.83203125" style="2842"/>
    <col min="12289" max="12289" width="9.5" style="2842" customWidth="1"/>
    <col min="12290" max="12290" width="8.83203125" style="2842"/>
    <col min="12291" max="12293" width="12.83203125" style="2842" customWidth="1"/>
    <col min="12294" max="12294" width="47.5" style="2842" customWidth="1"/>
    <col min="12295" max="12295" width="13" style="2842" customWidth="1"/>
    <col min="12296" max="12297" width="8.83203125" style="2842"/>
    <col min="12298" max="12298" width="5.6640625" style="2842" customWidth="1"/>
    <col min="12299" max="12299" width="11.6640625" style="2842" customWidth="1"/>
    <col min="12300" max="12301" width="10.6640625" style="2842" customWidth="1"/>
    <col min="12302" max="12302" width="10" style="2842" customWidth="1"/>
    <col min="12303" max="12304" width="10.5" style="2842" bestFit="1" customWidth="1"/>
    <col min="12305" max="12305" width="10" style="2842" customWidth="1"/>
    <col min="12306" max="12306" width="10.1640625" style="2842" customWidth="1"/>
    <col min="12307" max="12307" width="10" style="2842" customWidth="1"/>
    <col min="12308" max="12308" width="26.1640625" style="2842" customWidth="1"/>
    <col min="12309" max="12544" width="8.83203125" style="2842"/>
    <col min="12545" max="12545" width="9.5" style="2842" customWidth="1"/>
    <col min="12546" max="12546" width="8.83203125" style="2842"/>
    <col min="12547" max="12549" width="12.83203125" style="2842" customWidth="1"/>
    <col min="12550" max="12550" width="47.5" style="2842" customWidth="1"/>
    <col min="12551" max="12551" width="13" style="2842" customWidth="1"/>
    <col min="12552" max="12553" width="8.83203125" style="2842"/>
    <col min="12554" max="12554" width="5.6640625" style="2842" customWidth="1"/>
    <col min="12555" max="12555" width="11.6640625" style="2842" customWidth="1"/>
    <col min="12556" max="12557" width="10.6640625" style="2842" customWidth="1"/>
    <col min="12558" max="12558" width="10" style="2842" customWidth="1"/>
    <col min="12559" max="12560" width="10.5" style="2842" bestFit="1" customWidth="1"/>
    <col min="12561" max="12561" width="10" style="2842" customWidth="1"/>
    <col min="12562" max="12562" width="10.1640625" style="2842" customWidth="1"/>
    <col min="12563" max="12563" width="10" style="2842" customWidth="1"/>
    <col min="12564" max="12564" width="26.1640625" style="2842" customWidth="1"/>
    <col min="12565" max="12800" width="8.83203125" style="2842"/>
    <col min="12801" max="12801" width="9.5" style="2842" customWidth="1"/>
    <col min="12802" max="12802" width="8.83203125" style="2842"/>
    <col min="12803" max="12805" width="12.83203125" style="2842" customWidth="1"/>
    <col min="12806" max="12806" width="47.5" style="2842" customWidth="1"/>
    <col min="12807" max="12807" width="13" style="2842" customWidth="1"/>
    <col min="12808" max="12809" width="8.83203125" style="2842"/>
    <col min="12810" max="12810" width="5.6640625" style="2842" customWidth="1"/>
    <col min="12811" max="12811" width="11.6640625" style="2842" customWidth="1"/>
    <col min="12812" max="12813" width="10.6640625" style="2842" customWidth="1"/>
    <col min="12814" max="12814" width="10" style="2842" customWidth="1"/>
    <col min="12815" max="12816" width="10.5" style="2842" bestFit="1" customWidth="1"/>
    <col min="12817" max="12817" width="10" style="2842" customWidth="1"/>
    <col min="12818" max="12818" width="10.1640625" style="2842" customWidth="1"/>
    <col min="12819" max="12819" width="10" style="2842" customWidth="1"/>
    <col min="12820" max="12820" width="26.1640625" style="2842" customWidth="1"/>
    <col min="12821" max="13056" width="8.83203125" style="2842"/>
    <col min="13057" max="13057" width="9.5" style="2842" customWidth="1"/>
    <col min="13058" max="13058" width="8.83203125" style="2842"/>
    <col min="13059" max="13061" width="12.83203125" style="2842" customWidth="1"/>
    <col min="13062" max="13062" width="47.5" style="2842" customWidth="1"/>
    <col min="13063" max="13063" width="13" style="2842" customWidth="1"/>
    <col min="13064" max="13065" width="8.83203125" style="2842"/>
    <col min="13066" max="13066" width="5.6640625" style="2842" customWidth="1"/>
    <col min="13067" max="13067" width="11.6640625" style="2842" customWidth="1"/>
    <col min="13068" max="13069" width="10.6640625" style="2842" customWidth="1"/>
    <col min="13070" max="13070" width="10" style="2842" customWidth="1"/>
    <col min="13071" max="13072" width="10.5" style="2842" bestFit="1" customWidth="1"/>
    <col min="13073" max="13073" width="10" style="2842" customWidth="1"/>
    <col min="13074" max="13074" width="10.1640625" style="2842" customWidth="1"/>
    <col min="13075" max="13075" width="10" style="2842" customWidth="1"/>
    <col min="13076" max="13076" width="26.1640625" style="2842" customWidth="1"/>
    <col min="13077" max="13312" width="8.83203125" style="2842"/>
    <col min="13313" max="13313" width="9.5" style="2842" customWidth="1"/>
    <col min="13314" max="13314" width="8.83203125" style="2842"/>
    <col min="13315" max="13317" width="12.83203125" style="2842" customWidth="1"/>
    <col min="13318" max="13318" width="47.5" style="2842" customWidth="1"/>
    <col min="13319" max="13319" width="13" style="2842" customWidth="1"/>
    <col min="13320" max="13321" width="8.83203125" style="2842"/>
    <col min="13322" max="13322" width="5.6640625" style="2842" customWidth="1"/>
    <col min="13323" max="13323" width="11.6640625" style="2842" customWidth="1"/>
    <col min="13324" max="13325" width="10.6640625" style="2842" customWidth="1"/>
    <col min="13326" max="13326" width="10" style="2842" customWidth="1"/>
    <col min="13327" max="13328" width="10.5" style="2842" bestFit="1" customWidth="1"/>
    <col min="13329" max="13329" width="10" style="2842" customWidth="1"/>
    <col min="13330" max="13330" width="10.1640625" style="2842" customWidth="1"/>
    <col min="13331" max="13331" width="10" style="2842" customWidth="1"/>
    <col min="13332" max="13332" width="26.1640625" style="2842" customWidth="1"/>
    <col min="13333" max="13568" width="8.83203125" style="2842"/>
    <col min="13569" max="13569" width="9.5" style="2842" customWidth="1"/>
    <col min="13570" max="13570" width="8.83203125" style="2842"/>
    <col min="13571" max="13573" width="12.83203125" style="2842" customWidth="1"/>
    <col min="13574" max="13574" width="47.5" style="2842" customWidth="1"/>
    <col min="13575" max="13575" width="13" style="2842" customWidth="1"/>
    <col min="13576" max="13577" width="8.83203125" style="2842"/>
    <col min="13578" max="13578" width="5.6640625" style="2842" customWidth="1"/>
    <col min="13579" max="13579" width="11.6640625" style="2842" customWidth="1"/>
    <col min="13580" max="13581" width="10.6640625" style="2842" customWidth="1"/>
    <col min="13582" max="13582" width="10" style="2842" customWidth="1"/>
    <col min="13583" max="13584" width="10.5" style="2842" bestFit="1" customWidth="1"/>
    <col min="13585" max="13585" width="10" style="2842" customWidth="1"/>
    <col min="13586" max="13586" width="10.1640625" style="2842" customWidth="1"/>
    <col min="13587" max="13587" width="10" style="2842" customWidth="1"/>
    <col min="13588" max="13588" width="26.1640625" style="2842" customWidth="1"/>
    <col min="13589" max="13824" width="8.83203125" style="2842"/>
    <col min="13825" max="13825" width="9.5" style="2842" customWidth="1"/>
    <col min="13826" max="13826" width="8.83203125" style="2842"/>
    <col min="13827" max="13829" width="12.83203125" style="2842" customWidth="1"/>
    <col min="13830" max="13830" width="47.5" style="2842" customWidth="1"/>
    <col min="13831" max="13831" width="13" style="2842" customWidth="1"/>
    <col min="13832" max="13833" width="8.83203125" style="2842"/>
    <col min="13834" max="13834" width="5.6640625" style="2842" customWidth="1"/>
    <col min="13835" max="13835" width="11.6640625" style="2842" customWidth="1"/>
    <col min="13836" max="13837" width="10.6640625" style="2842" customWidth="1"/>
    <col min="13838" max="13838" width="10" style="2842" customWidth="1"/>
    <col min="13839" max="13840" width="10.5" style="2842" bestFit="1" customWidth="1"/>
    <col min="13841" max="13841" width="10" style="2842" customWidth="1"/>
    <col min="13842" max="13842" width="10.1640625" style="2842" customWidth="1"/>
    <col min="13843" max="13843" width="10" style="2842" customWidth="1"/>
    <col min="13844" max="13844" width="26.1640625" style="2842" customWidth="1"/>
    <col min="13845" max="14080" width="8.83203125" style="2842"/>
    <col min="14081" max="14081" width="9.5" style="2842" customWidth="1"/>
    <col min="14082" max="14082" width="8.83203125" style="2842"/>
    <col min="14083" max="14085" width="12.83203125" style="2842" customWidth="1"/>
    <col min="14086" max="14086" width="47.5" style="2842" customWidth="1"/>
    <col min="14087" max="14087" width="13" style="2842" customWidth="1"/>
    <col min="14088" max="14089" width="8.83203125" style="2842"/>
    <col min="14090" max="14090" width="5.6640625" style="2842" customWidth="1"/>
    <col min="14091" max="14091" width="11.6640625" style="2842" customWidth="1"/>
    <col min="14092" max="14093" width="10.6640625" style="2842" customWidth="1"/>
    <col min="14094" max="14094" width="10" style="2842" customWidth="1"/>
    <col min="14095" max="14096" width="10.5" style="2842" bestFit="1" customWidth="1"/>
    <col min="14097" max="14097" width="10" style="2842" customWidth="1"/>
    <col min="14098" max="14098" width="10.1640625" style="2842" customWidth="1"/>
    <col min="14099" max="14099" width="10" style="2842" customWidth="1"/>
    <col min="14100" max="14100" width="26.1640625" style="2842" customWidth="1"/>
    <col min="14101" max="14336" width="8.83203125" style="2842"/>
    <col min="14337" max="14337" width="9.5" style="2842" customWidth="1"/>
    <col min="14338" max="14338" width="8.83203125" style="2842"/>
    <col min="14339" max="14341" width="12.83203125" style="2842" customWidth="1"/>
    <col min="14342" max="14342" width="47.5" style="2842" customWidth="1"/>
    <col min="14343" max="14343" width="13" style="2842" customWidth="1"/>
    <col min="14344" max="14345" width="8.83203125" style="2842"/>
    <col min="14346" max="14346" width="5.6640625" style="2842" customWidth="1"/>
    <col min="14347" max="14347" width="11.6640625" style="2842" customWidth="1"/>
    <col min="14348" max="14349" width="10.6640625" style="2842" customWidth="1"/>
    <col min="14350" max="14350" width="10" style="2842" customWidth="1"/>
    <col min="14351" max="14352" width="10.5" style="2842" bestFit="1" customWidth="1"/>
    <col min="14353" max="14353" width="10" style="2842" customWidth="1"/>
    <col min="14354" max="14354" width="10.1640625" style="2842" customWidth="1"/>
    <col min="14355" max="14355" width="10" style="2842" customWidth="1"/>
    <col min="14356" max="14356" width="26.1640625" style="2842" customWidth="1"/>
    <col min="14357" max="14592" width="8.83203125" style="2842"/>
    <col min="14593" max="14593" width="9.5" style="2842" customWidth="1"/>
    <col min="14594" max="14594" width="8.83203125" style="2842"/>
    <col min="14595" max="14597" width="12.83203125" style="2842" customWidth="1"/>
    <col min="14598" max="14598" width="47.5" style="2842" customWidth="1"/>
    <col min="14599" max="14599" width="13" style="2842" customWidth="1"/>
    <col min="14600" max="14601" width="8.83203125" style="2842"/>
    <col min="14602" max="14602" width="5.6640625" style="2842" customWidth="1"/>
    <col min="14603" max="14603" width="11.6640625" style="2842" customWidth="1"/>
    <col min="14604" max="14605" width="10.6640625" style="2842" customWidth="1"/>
    <col min="14606" max="14606" width="10" style="2842" customWidth="1"/>
    <col min="14607" max="14608" width="10.5" style="2842" bestFit="1" customWidth="1"/>
    <col min="14609" max="14609" width="10" style="2842" customWidth="1"/>
    <col min="14610" max="14610" width="10.1640625" style="2842" customWidth="1"/>
    <col min="14611" max="14611" width="10" style="2842" customWidth="1"/>
    <col min="14612" max="14612" width="26.1640625" style="2842" customWidth="1"/>
    <col min="14613" max="14848" width="8.83203125" style="2842"/>
    <col min="14849" max="14849" width="9.5" style="2842" customWidth="1"/>
    <col min="14850" max="14850" width="8.83203125" style="2842"/>
    <col min="14851" max="14853" width="12.83203125" style="2842" customWidth="1"/>
    <col min="14854" max="14854" width="47.5" style="2842" customWidth="1"/>
    <col min="14855" max="14855" width="13" style="2842" customWidth="1"/>
    <col min="14856" max="14857" width="8.83203125" style="2842"/>
    <col min="14858" max="14858" width="5.6640625" style="2842" customWidth="1"/>
    <col min="14859" max="14859" width="11.6640625" style="2842" customWidth="1"/>
    <col min="14860" max="14861" width="10.6640625" style="2842" customWidth="1"/>
    <col min="14862" max="14862" width="10" style="2842" customWidth="1"/>
    <col min="14863" max="14864" width="10.5" style="2842" bestFit="1" customWidth="1"/>
    <col min="14865" max="14865" width="10" style="2842" customWidth="1"/>
    <col min="14866" max="14866" width="10.1640625" style="2842" customWidth="1"/>
    <col min="14867" max="14867" width="10" style="2842" customWidth="1"/>
    <col min="14868" max="14868" width="26.1640625" style="2842" customWidth="1"/>
    <col min="14869" max="15104" width="8.83203125" style="2842"/>
    <col min="15105" max="15105" width="9.5" style="2842" customWidth="1"/>
    <col min="15106" max="15106" width="8.83203125" style="2842"/>
    <col min="15107" max="15109" width="12.83203125" style="2842" customWidth="1"/>
    <col min="15110" max="15110" width="47.5" style="2842" customWidth="1"/>
    <col min="15111" max="15111" width="13" style="2842" customWidth="1"/>
    <col min="15112" max="15113" width="8.83203125" style="2842"/>
    <col min="15114" max="15114" width="5.6640625" style="2842" customWidth="1"/>
    <col min="15115" max="15115" width="11.6640625" style="2842" customWidth="1"/>
    <col min="15116" max="15117" width="10.6640625" style="2842" customWidth="1"/>
    <col min="15118" max="15118" width="10" style="2842" customWidth="1"/>
    <col min="15119" max="15120" width="10.5" style="2842" bestFit="1" customWidth="1"/>
    <col min="15121" max="15121" width="10" style="2842" customWidth="1"/>
    <col min="15122" max="15122" width="10.1640625" style="2842" customWidth="1"/>
    <col min="15123" max="15123" width="10" style="2842" customWidth="1"/>
    <col min="15124" max="15124" width="26.1640625" style="2842" customWidth="1"/>
    <col min="15125" max="15360" width="8.83203125" style="2842"/>
    <col min="15361" max="15361" width="9.5" style="2842" customWidth="1"/>
    <col min="15362" max="15362" width="8.83203125" style="2842"/>
    <col min="15363" max="15365" width="12.83203125" style="2842" customWidth="1"/>
    <col min="15366" max="15366" width="47.5" style="2842" customWidth="1"/>
    <col min="15367" max="15367" width="13" style="2842" customWidth="1"/>
    <col min="15368" max="15369" width="8.83203125" style="2842"/>
    <col min="15370" max="15370" width="5.6640625" style="2842" customWidth="1"/>
    <col min="15371" max="15371" width="11.6640625" style="2842" customWidth="1"/>
    <col min="15372" max="15373" width="10.6640625" style="2842" customWidth="1"/>
    <col min="15374" max="15374" width="10" style="2842" customWidth="1"/>
    <col min="15375" max="15376" width="10.5" style="2842" bestFit="1" customWidth="1"/>
    <col min="15377" max="15377" width="10" style="2842" customWidth="1"/>
    <col min="15378" max="15378" width="10.1640625" style="2842" customWidth="1"/>
    <col min="15379" max="15379" width="10" style="2842" customWidth="1"/>
    <col min="15380" max="15380" width="26.1640625" style="2842" customWidth="1"/>
    <col min="15381" max="15616" width="8.83203125" style="2842"/>
    <col min="15617" max="15617" width="9.5" style="2842" customWidth="1"/>
    <col min="15618" max="15618" width="8.83203125" style="2842"/>
    <col min="15619" max="15621" width="12.83203125" style="2842" customWidth="1"/>
    <col min="15622" max="15622" width="47.5" style="2842" customWidth="1"/>
    <col min="15623" max="15623" width="13" style="2842" customWidth="1"/>
    <col min="15624" max="15625" width="8.83203125" style="2842"/>
    <col min="15626" max="15626" width="5.6640625" style="2842" customWidth="1"/>
    <col min="15627" max="15627" width="11.6640625" style="2842" customWidth="1"/>
    <col min="15628" max="15629" width="10.6640625" style="2842" customWidth="1"/>
    <col min="15630" max="15630" width="10" style="2842" customWidth="1"/>
    <col min="15631" max="15632" width="10.5" style="2842" bestFit="1" customWidth="1"/>
    <col min="15633" max="15633" width="10" style="2842" customWidth="1"/>
    <col min="15634" max="15634" width="10.1640625" style="2842" customWidth="1"/>
    <col min="15635" max="15635" width="10" style="2842" customWidth="1"/>
    <col min="15636" max="15636" width="26.1640625" style="2842" customWidth="1"/>
    <col min="15637" max="15872" width="8.83203125" style="2842"/>
    <col min="15873" max="15873" width="9.5" style="2842" customWidth="1"/>
    <col min="15874" max="15874" width="8.83203125" style="2842"/>
    <col min="15875" max="15877" width="12.83203125" style="2842" customWidth="1"/>
    <col min="15878" max="15878" width="47.5" style="2842" customWidth="1"/>
    <col min="15879" max="15879" width="13" style="2842" customWidth="1"/>
    <col min="15880" max="15881" width="8.83203125" style="2842"/>
    <col min="15882" max="15882" width="5.6640625" style="2842" customWidth="1"/>
    <col min="15883" max="15883" width="11.6640625" style="2842" customWidth="1"/>
    <col min="15884" max="15885" width="10.6640625" style="2842" customWidth="1"/>
    <col min="15886" max="15886" width="10" style="2842" customWidth="1"/>
    <col min="15887" max="15888" width="10.5" style="2842" bestFit="1" customWidth="1"/>
    <col min="15889" max="15889" width="10" style="2842" customWidth="1"/>
    <col min="15890" max="15890" width="10.1640625" style="2842" customWidth="1"/>
    <col min="15891" max="15891" width="10" style="2842" customWidth="1"/>
    <col min="15892" max="15892" width="26.1640625" style="2842" customWidth="1"/>
    <col min="15893" max="16128" width="8.83203125" style="2842"/>
    <col min="16129" max="16129" width="9.5" style="2842" customWidth="1"/>
    <col min="16130" max="16130" width="8.83203125" style="2842"/>
    <col min="16131" max="16133" width="12.83203125" style="2842" customWidth="1"/>
    <col min="16134" max="16134" width="47.5" style="2842" customWidth="1"/>
    <col min="16135" max="16135" width="13" style="2842" customWidth="1"/>
    <col min="16136" max="16137" width="8.83203125" style="2842"/>
    <col min="16138" max="16138" width="5.6640625" style="2842" customWidth="1"/>
    <col min="16139" max="16139" width="11.6640625" style="2842" customWidth="1"/>
    <col min="16140" max="16141" width="10.6640625" style="2842" customWidth="1"/>
    <col min="16142" max="16142" width="10" style="2842" customWidth="1"/>
    <col min="16143" max="16144" width="10.5" style="2842" bestFit="1" customWidth="1"/>
    <col min="16145" max="16145" width="10" style="2842" customWidth="1"/>
    <col min="16146" max="16146" width="10.1640625" style="2842" customWidth="1"/>
    <col min="16147" max="16147" width="10" style="2842" customWidth="1"/>
    <col min="16148" max="16148" width="26.1640625" style="2842" customWidth="1"/>
    <col min="16149" max="16384" width="8.83203125" style="2842"/>
  </cols>
  <sheetData>
    <row r="1" spans="1:22" ht="21" customHeight="1">
      <c r="A1" s="2831" t="s">
        <v>2429</v>
      </c>
      <c r="B1" s="2832"/>
      <c r="C1" s="2844"/>
      <c r="D1" s="2844"/>
      <c r="E1" s="2833"/>
      <c r="F1" s="2834"/>
      <c r="G1" s="2835"/>
      <c r="J1" s="2838" t="s">
        <v>2308</v>
      </c>
      <c r="K1" s="2839"/>
      <c r="L1" s="2839"/>
      <c r="M1" s="2839"/>
      <c r="N1" s="2839"/>
      <c r="O1" s="2839"/>
      <c r="P1" s="2839"/>
      <c r="Q1" s="2839"/>
      <c r="R1" s="2840"/>
      <c r="S1" s="2841"/>
      <c r="T1" s="2841"/>
      <c r="U1" s="2841"/>
    </row>
    <row r="2" spans="1:22" s="2853" customFormat="1" ht="13.25" customHeight="1">
      <c r="A2" s="1385" t="s">
        <v>2309</v>
      </c>
      <c r="B2" s="2843" t="e">
        <f>IF(D2="——",C40,C40+E2)</f>
        <v>#DIV/0!</v>
      </c>
      <c r="C2" s="2844" t="s">
        <v>2310</v>
      </c>
      <c r="D2" s="3447" t="s">
        <v>3361</v>
      </c>
      <c r="E2" s="3448"/>
      <c r="F2" s="2846"/>
      <c r="G2" s="2847"/>
      <c r="H2" s="2848"/>
      <c r="I2" s="2849"/>
      <c r="J2" s="3666" t="s">
        <v>2311</v>
      </c>
      <c r="K2" s="3667"/>
      <c r="L2" s="2850" t="s">
        <v>2312</v>
      </c>
      <c r="M2" s="2850" t="s">
        <v>2313</v>
      </c>
      <c r="N2" s="2850" t="s">
        <v>2314</v>
      </c>
      <c r="O2" s="2850" t="s">
        <v>2315</v>
      </c>
      <c r="P2" s="2850" t="s">
        <v>2316</v>
      </c>
      <c r="Q2" s="2851" t="s">
        <v>2317</v>
      </c>
      <c r="R2" s="2852" t="s">
        <v>2318</v>
      </c>
      <c r="S2" s="2841"/>
      <c r="T2" s="2841"/>
      <c r="U2" s="2841"/>
      <c r="V2" s="2849"/>
    </row>
    <row r="3" spans="1:22" s="2853" customFormat="1" ht="13.25" customHeight="1">
      <c r="A3" s="2854" t="s">
        <v>2319</v>
      </c>
      <c r="B3" s="2855" t="e">
        <f>ROUND(B2*10000/B4,0)</f>
        <v>#DIV/0!</v>
      </c>
      <c r="C3" s="2844" t="s">
        <v>2320</v>
      </c>
      <c r="D3" s="2844"/>
      <c r="E3" s="2845"/>
      <c r="F3" s="2846"/>
      <c r="G3" s="2847"/>
      <c r="H3" s="2848"/>
      <c r="I3" s="2849"/>
      <c r="J3" s="3668" t="s">
        <v>2321</v>
      </c>
      <c r="K3" s="3669"/>
      <c r="L3" s="2856"/>
      <c r="M3" s="2856"/>
      <c r="N3" s="2856"/>
      <c r="O3" s="2856"/>
      <c r="P3" s="2856"/>
      <c r="Q3" s="2857"/>
      <c r="R3" s="2858">
        <f>SUM(L3:Q3)</f>
        <v>0</v>
      </c>
      <c r="S3" s="2841"/>
      <c r="T3" s="2841"/>
      <c r="U3" s="2841"/>
      <c r="V3" s="2849"/>
    </row>
    <row r="4" spans="1:22" s="2853" customFormat="1" ht="13.25" customHeight="1">
      <c r="A4" s="2859" t="s">
        <v>2322</v>
      </c>
      <c r="B4" s="2860"/>
      <c r="C4" s="2844"/>
      <c r="D4" s="2844"/>
      <c r="E4" s="2845"/>
      <c r="F4" s="2846"/>
      <c r="G4" s="2847"/>
      <c r="H4" s="2848"/>
      <c r="I4" s="2849"/>
      <c r="J4" s="3668" t="s">
        <v>2323</v>
      </c>
      <c r="K4" s="3669"/>
      <c r="L4" s="2861"/>
      <c r="M4" s="2861"/>
      <c r="N4" s="2861"/>
      <c r="O4" s="2861"/>
      <c r="P4" s="2861"/>
      <c r="Q4" s="2862"/>
      <c r="R4" s="2863">
        <f>SUM(L4:Q4)</f>
        <v>0</v>
      </c>
      <c r="S4" s="2841"/>
      <c r="T4" s="2841"/>
      <c r="U4" s="2841"/>
      <c r="V4" s="2849"/>
    </row>
    <row r="5" spans="1:22" s="2853" customFormat="1" ht="13.25" customHeight="1" thickBot="1">
      <c r="A5" s="2864" t="s">
        <v>2324</v>
      </c>
      <c r="B5" s="2865"/>
      <c r="C5" s="2844"/>
      <c r="D5" s="2866"/>
      <c r="E5" s="2846"/>
      <c r="F5" s="2846"/>
      <c r="G5" s="2847"/>
      <c r="H5" s="2848"/>
      <c r="I5" s="2849"/>
      <c r="J5" s="2867" t="s">
        <v>2325</v>
      </c>
      <c r="K5" s="2868"/>
      <c r="L5" s="2868"/>
      <c r="M5" s="2869"/>
      <c r="N5" s="2869"/>
      <c r="O5" s="2869"/>
      <c r="P5" s="2869"/>
      <c r="Q5" s="2869"/>
      <c r="R5" s="2852">
        <f>SUM(R14,R19,R24,R25,R27,R28)</f>
        <v>0</v>
      </c>
      <c r="S5" s="2841"/>
      <c r="T5" s="2841" t="s">
        <v>2326</v>
      </c>
      <c r="U5" s="2841" t="e">
        <f>ROUND(R5*10000/365/R3,1)</f>
        <v>#DIV/0!</v>
      </c>
      <c r="V5" s="2849"/>
    </row>
    <row r="6" spans="1:22" s="2853" customFormat="1" ht="13.25" customHeight="1" thickBot="1">
      <c r="A6" s="3670" t="s">
        <v>2327</v>
      </c>
      <c r="B6" s="3671"/>
      <c r="C6" s="3672"/>
      <c r="D6" s="2870"/>
      <c r="E6" s="2871"/>
      <c r="F6" s="2872"/>
      <c r="G6" s="2873"/>
      <c r="H6" s="2848"/>
      <c r="I6" s="2849"/>
      <c r="J6" s="3673">
        <v>1</v>
      </c>
      <c r="K6" s="3674" t="s">
        <v>2328</v>
      </c>
      <c r="L6" s="2874" t="s">
        <v>2329</v>
      </c>
      <c r="M6" s="2875" t="s">
        <v>2330</v>
      </c>
      <c r="N6" s="2875" t="s">
        <v>2331</v>
      </c>
      <c r="O6" s="2875" t="s">
        <v>2332</v>
      </c>
      <c r="P6" s="2875" t="s">
        <v>2333</v>
      </c>
      <c r="Q6" s="2875" t="s">
        <v>2334</v>
      </c>
      <c r="R6" s="2858" t="s">
        <v>2335</v>
      </c>
      <c r="S6" s="2841"/>
      <c r="T6" s="2841" t="s">
        <v>2336</v>
      </c>
      <c r="U6" s="2841"/>
      <c r="V6" s="2849"/>
    </row>
    <row r="7" spans="1:22" s="2853" customFormat="1" ht="13.25" customHeight="1">
      <c r="A7" s="2876" t="s">
        <v>2337</v>
      </c>
      <c r="B7" s="2877"/>
      <c r="C7" s="2878"/>
      <c r="D7" s="2879">
        <f>SUM(D9,D10,D11,D17,0)</f>
        <v>0</v>
      </c>
      <c r="E7" s="2880" t="e">
        <f>E9+E10+E11+E17</f>
        <v>#DIV/0!</v>
      </c>
      <c r="F7" s="2881"/>
      <c r="G7" s="2882"/>
      <c r="H7" s="2848"/>
      <c r="I7" s="2849"/>
      <c r="J7" s="3673"/>
      <c r="K7" s="3675"/>
      <c r="L7" s="2883" t="s">
        <v>2338</v>
      </c>
      <c r="M7" s="2884"/>
      <c r="N7" s="2860"/>
      <c r="O7" s="2885"/>
      <c r="P7" s="2885"/>
      <c r="Q7" s="2886">
        <v>365</v>
      </c>
      <c r="R7" s="2887">
        <f>ROUND(M7*N7*O7*P7*Q7/10000,0)</f>
        <v>0</v>
      </c>
      <c r="S7" s="2841"/>
      <c r="T7" s="2841" t="s">
        <v>2339</v>
      </c>
      <c r="U7" s="2841"/>
      <c r="V7" s="2849"/>
    </row>
    <row r="8" spans="1:22" s="2853" customFormat="1" ht="13.25" customHeight="1">
      <c r="A8" s="2888" t="s">
        <v>2340</v>
      </c>
      <c r="B8" s="3677" t="s">
        <v>2341</v>
      </c>
      <c r="C8" s="3678"/>
      <c r="D8" s="2889" t="s">
        <v>2342</v>
      </c>
      <c r="E8" s="2890" t="s">
        <v>2343</v>
      </c>
      <c r="F8" s="2891" t="s">
        <v>2344</v>
      </c>
      <c r="G8" s="2892"/>
      <c r="H8" s="2848"/>
      <c r="I8" s="2849"/>
      <c r="J8" s="3673"/>
      <c r="K8" s="3675"/>
      <c r="L8" s="2883" t="s">
        <v>2345</v>
      </c>
      <c r="M8" s="2884"/>
      <c r="N8" s="2860"/>
      <c r="O8" s="2885"/>
      <c r="P8" s="2885"/>
      <c r="Q8" s="2886">
        <v>365</v>
      </c>
      <c r="R8" s="2887">
        <f t="shared" ref="R8:R13" si="0">ROUND(M8*N8*O8*P8*Q8/10000,0)</f>
        <v>0</v>
      </c>
      <c r="S8" s="2841"/>
      <c r="T8" s="2841" t="s">
        <v>2346</v>
      </c>
      <c r="U8" s="2841"/>
      <c r="V8" s="2849"/>
    </row>
    <row r="9" spans="1:22" s="2853" customFormat="1" ht="13.25" customHeight="1">
      <c r="A9" s="2888">
        <v>1</v>
      </c>
      <c r="B9" s="3677" t="s">
        <v>2347</v>
      </c>
      <c r="C9" s="3678"/>
      <c r="D9" s="2889">
        <f>ROUND(D6*E9,0)</f>
        <v>0</v>
      </c>
      <c r="E9" s="2893"/>
      <c r="F9" s="2894" t="s">
        <v>2348</v>
      </c>
      <c r="G9" s="2873"/>
      <c r="H9" s="2848"/>
      <c r="I9" s="2849"/>
      <c r="J9" s="3673"/>
      <c r="K9" s="3675"/>
      <c r="L9" s="2883" t="s">
        <v>2349</v>
      </c>
      <c r="M9" s="2884"/>
      <c r="N9" s="2860"/>
      <c r="O9" s="2885"/>
      <c r="P9" s="2885"/>
      <c r="Q9" s="2886">
        <v>365</v>
      </c>
      <c r="R9" s="2887">
        <f t="shared" si="0"/>
        <v>0</v>
      </c>
      <c r="S9" s="2841"/>
      <c r="T9" s="2841"/>
      <c r="U9" s="2841"/>
      <c r="V9" s="2849"/>
    </row>
    <row r="10" spans="1:22" s="2853" customFormat="1" ht="13.25" customHeight="1">
      <c r="A10" s="2888">
        <v>2</v>
      </c>
      <c r="B10" s="3677" t="s">
        <v>2350</v>
      </c>
      <c r="C10" s="3678"/>
      <c r="D10" s="2889">
        <f>ROUND(D6*E10,0)</f>
        <v>0</v>
      </c>
      <c r="E10" s="2893"/>
      <c r="F10" s="2894" t="s">
        <v>2351</v>
      </c>
      <c r="G10" s="2873"/>
      <c r="H10" s="2848"/>
      <c r="I10" s="2849"/>
      <c r="J10" s="3673"/>
      <c r="K10" s="3675"/>
      <c r="L10" s="2883" t="s">
        <v>2352</v>
      </c>
      <c r="M10" s="2884"/>
      <c r="N10" s="2860"/>
      <c r="O10" s="2885"/>
      <c r="P10" s="2885"/>
      <c r="Q10" s="2886">
        <v>365</v>
      </c>
      <c r="R10" s="2887">
        <f t="shared" si="0"/>
        <v>0</v>
      </c>
      <c r="S10" s="2841"/>
      <c r="T10" s="2841"/>
      <c r="U10" s="2841"/>
      <c r="V10" s="2849"/>
    </row>
    <row r="11" spans="1:22" s="2853" customFormat="1" ht="13.25" customHeight="1">
      <c r="A11" s="2888">
        <v>3</v>
      </c>
      <c r="B11" s="3677" t="s">
        <v>2353</v>
      </c>
      <c r="C11" s="3678"/>
      <c r="D11" s="2889">
        <f>D12+D14+D15+D16</f>
        <v>0</v>
      </c>
      <c r="E11" s="2895" t="e">
        <f>D11/D6</f>
        <v>#DIV/0!</v>
      </c>
      <c r="F11" s="2891"/>
      <c r="G11" s="2892"/>
      <c r="H11" s="2848"/>
      <c r="I11" s="2849"/>
      <c r="J11" s="3673"/>
      <c r="K11" s="3675"/>
      <c r="L11" s="2883" t="s">
        <v>2354</v>
      </c>
      <c r="M11" s="2884"/>
      <c r="N11" s="2860"/>
      <c r="O11" s="2885"/>
      <c r="P11" s="2885"/>
      <c r="Q11" s="2886">
        <v>365</v>
      </c>
      <c r="R11" s="2887">
        <f t="shared" si="0"/>
        <v>0</v>
      </c>
      <c r="S11" s="2841"/>
      <c r="T11" s="2841"/>
      <c r="U11" s="2841"/>
      <c r="V11" s="2849"/>
    </row>
    <row r="12" spans="1:22" s="2853" customFormat="1" ht="13.25" customHeight="1">
      <c r="A12" s="2896" t="s">
        <v>2355</v>
      </c>
      <c r="B12" s="3679" t="s">
        <v>2356</v>
      </c>
      <c r="C12" s="3680"/>
      <c r="D12" s="2897">
        <f>ROUND(D13*1.2%*(1-30%),0)</f>
        <v>0</v>
      </c>
      <c r="E12" s="2898">
        <v>1.2E-2</v>
      </c>
      <c r="F12" s="2891" t="s">
        <v>2357</v>
      </c>
      <c r="G12" s="2892"/>
      <c r="H12" s="2848"/>
      <c r="I12" s="2849"/>
      <c r="J12" s="3673"/>
      <c r="K12" s="3675"/>
      <c r="L12" s="2883" t="s">
        <v>2358</v>
      </c>
      <c r="M12" s="2884"/>
      <c r="N12" s="2860"/>
      <c r="O12" s="2885"/>
      <c r="P12" s="2885"/>
      <c r="Q12" s="2886">
        <v>365</v>
      </c>
      <c r="R12" s="2887">
        <f t="shared" si="0"/>
        <v>0</v>
      </c>
      <c r="S12" s="2841"/>
      <c r="T12" s="2841"/>
      <c r="U12" s="2841"/>
      <c r="V12" s="2849"/>
    </row>
    <row r="13" spans="1:22" s="2853" customFormat="1" ht="13.25" customHeight="1">
      <c r="A13" s="2896"/>
      <c r="B13" s="2899"/>
      <c r="C13" s="2900" t="s">
        <v>2359</v>
      </c>
      <c r="D13" s="2901"/>
      <c r="E13" s="2902"/>
      <c r="F13" s="2891"/>
      <c r="G13" s="2892"/>
      <c r="H13" s="2848"/>
      <c r="I13" s="2849"/>
      <c r="J13" s="3673"/>
      <c r="K13" s="3675"/>
      <c r="L13" s="2883" t="s">
        <v>2360</v>
      </c>
      <c r="M13" s="2884"/>
      <c r="N13" s="2860"/>
      <c r="O13" s="2885"/>
      <c r="P13" s="2885"/>
      <c r="Q13" s="2886">
        <v>365</v>
      </c>
      <c r="R13" s="2887">
        <f t="shared" si="0"/>
        <v>0</v>
      </c>
      <c r="S13" s="2841"/>
      <c r="T13" s="2841"/>
      <c r="U13" s="2841"/>
      <c r="V13" s="2849"/>
    </row>
    <row r="14" spans="1:22" s="2853" customFormat="1" ht="13.25" customHeight="1">
      <c r="A14" s="2896" t="s">
        <v>2361</v>
      </c>
      <c r="B14" s="3679" t="s">
        <v>2362</v>
      </c>
      <c r="C14" s="3680"/>
      <c r="D14" s="2897">
        <f>ROUND(E14*B5/10000,0)</f>
        <v>0</v>
      </c>
      <c r="E14" s="2886"/>
      <c r="F14" s="2891" t="s">
        <v>2363</v>
      </c>
      <c r="G14" s="2892"/>
      <c r="H14" s="2848"/>
      <c r="I14" s="2849"/>
      <c r="J14" s="3673"/>
      <c r="K14" s="3676"/>
      <c r="L14" s="2903" t="s">
        <v>2364</v>
      </c>
      <c r="M14" s="2904">
        <f>SUM(M7:M13)</f>
        <v>0</v>
      </c>
      <c r="N14" s="2904" t="e">
        <f>ROUND((N7*M7+N8*M8+N9*M9+N10*M10+N11*M11+N12*M12+N13*M13)/M14,0)</f>
        <v>#DIV/0!</v>
      </c>
      <c r="O14" s="2905"/>
      <c r="P14" s="2905"/>
      <c r="Q14" s="2906"/>
      <c r="R14" s="2852">
        <f>SUM(R7:R13)</f>
        <v>0</v>
      </c>
      <c r="S14" s="2841"/>
      <c r="T14" s="2841"/>
      <c r="U14" s="2841"/>
      <c r="V14" s="2849"/>
    </row>
    <row r="15" spans="1:22" s="2853" customFormat="1" ht="13.25" customHeight="1">
      <c r="A15" s="2896" t="s">
        <v>2365</v>
      </c>
      <c r="B15" s="3679" t="s">
        <v>2366</v>
      </c>
      <c r="C15" s="3680"/>
      <c r="D15" s="2897">
        <f>ROUND(D6*E15,0)</f>
        <v>0</v>
      </c>
      <c r="E15" s="2898">
        <v>5.5E-2</v>
      </c>
      <c r="F15" s="2891" t="s">
        <v>2367</v>
      </c>
      <c r="G15" s="2873"/>
      <c r="H15" s="2848"/>
      <c r="I15" s="2849"/>
      <c r="J15" s="3673">
        <v>2</v>
      </c>
      <c r="K15" s="3674" t="s">
        <v>2368</v>
      </c>
      <c r="L15" s="2883" t="s">
        <v>2369</v>
      </c>
      <c r="M15" s="2884" t="s">
        <v>2370</v>
      </c>
      <c r="N15" s="2884" t="s">
        <v>2371</v>
      </c>
      <c r="O15" s="2885" t="s">
        <v>2372</v>
      </c>
      <c r="P15" s="2885" t="s">
        <v>2334</v>
      </c>
      <c r="Q15" s="2860" t="s">
        <v>2373</v>
      </c>
      <c r="R15" s="2907" t="s">
        <v>2335</v>
      </c>
      <c r="S15" s="2841"/>
      <c r="T15" s="2841"/>
      <c r="U15" s="2841"/>
      <c r="V15" s="2849"/>
    </row>
    <row r="16" spans="1:22" s="2853" customFormat="1" ht="13.25" customHeight="1">
      <c r="A16" s="2896" t="s">
        <v>2374</v>
      </c>
      <c r="B16" s="3679" t="s">
        <v>2375</v>
      </c>
      <c r="C16" s="3680"/>
      <c r="D16" s="2908">
        <f>D6*E16</f>
        <v>0</v>
      </c>
      <c r="E16" s="2909"/>
      <c r="F16" s="2894" t="s">
        <v>2376</v>
      </c>
      <c r="G16" s="2873"/>
      <c r="H16" s="2848"/>
      <c r="I16" s="2849"/>
      <c r="J16" s="3673"/>
      <c r="K16" s="3675"/>
      <c r="L16" s="2883" t="s">
        <v>2377</v>
      </c>
      <c r="M16" s="2884"/>
      <c r="N16" s="2884"/>
      <c r="O16" s="2885"/>
      <c r="P16" s="2886">
        <v>365</v>
      </c>
      <c r="Q16" s="2860"/>
      <c r="R16" s="2907">
        <f>ROUND(M16*N16*O16*P16/10000,0)</f>
        <v>0</v>
      </c>
      <c r="S16" s="2841"/>
      <c r="T16" s="2841"/>
      <c r="U16" s="2841"/>
      <c r="V16" s="2849"/>
    </row>
    <row r="17" spans="1:22" s="2853" customFormat="1" ht="13.25" customHeight="1" thickBot="1">
      <c r="A17" s="2910">
        <v>4</v>
      </c>
      <c r="B17" s="3681" t="s">
        <v>2378</v>
      </c>
      <c r="C17" s="3682"/>
      <c r="D17" s="2911">
        <f>ROUND(D6*E17,0)</f>
        <v>0</v>
      </c>
      <c r="E17" s="2912"/>
      <c r="F17" s="2913" t="s">
        <v>2379</v>
      </c>
      <c r="G17" s="2873"/>
      <c r="H17" s="2848"/>
      <c r="I17" s="2849"/>
      <c r="J17" s="3673"/>
      <c r="K17" s="3675"/>
      <c r="L17" s="2883" t="s">
        <v>2380</v>
      </c>
      <c r="M17" s="2884"/>
      <c r="N17" s="2884"/>
      <c r="O17" s="2885"/>
      <c r="P17" s="2886">
        <v>365</v>
      </c>
      <c r="Q17" s="2860"/>
      <c r="R17" s="2907">
        <f>ROUND(M17*N17*O17*P17/10000,0)</f>
        <v>0</v>
      </c>
      <c r="S17" s="2841"/>
      <c r="T17" s="2841"/>
      <c r="U17" s="2841"/>
      <c r="V17" s="2849"/>
    </row>
    <row r="18" spans="1:22" s="2853" customFormat="1" ht="13.25" customHeight="1" thickBot="1">
      <c r="A18" s="2876" t="s">
        <v>2381</v>
      </c>
      <c r="B18" s="2877"/>
      <c r="C18" s="2877"/>
      <c r="D18" s="2914">
        <f>ROUND(D6*E18,0)</f>
        <v>0</v>
      </c>
      <c r="E18" s="2915"/>
      <c r="F18" s="2916" t="s">
        <v>2382</v>
      </c>
      <c r="G18" s="2873"/>
      <c r="H18" s="2848"/>
      <c r="I18" s="2849"/>
      <c r="J18" s="3673"/>
      <c r="K18" s="3675"/>
      <c r="L18" s="2883" t="s">
        <v>2383</v>
      </c>
      <c r="M18" s="2884"/>
      <c r="N18" s="2884"/>
      <c r="O18" s="2885"/>
      <c r="P18" s="2886">
        <v>365</v>
      </c>
      <c r="Q18" s="2860"/>
      <c r="R18" s="2907">
        <f>ROUND(M18*N18*O18*P18/10000,0)</f>
        <v>0</v>
      </c>
      <c r="S18" s="2841"/>
      <c r="T18" s="2841"/>
      <c r="U18" s="2841"/>
      <c r="V18" s="2849"/>
    </row>
    <row r="19" spans="1:22" s="2853" customFormat="1" ht="13.25" customHeight="1" thickBot="1">
      <c r="A19" s="2917" t="s">
        <v>2384</v>
      </c>
      <c r="B19" s="2871"/>
      <c r="C19" s="2871"/>
      <c r="D19" s="2871"/>
      <c r="E19" s="2871"/>
      <c r="F19" s="2872"/>
      <c r="G19" s="2892"/>
      <c r="H19" s="2848"/>
      <c r="I19" s="2849"/>
      <c r="J19" s="3673"/>
      <c r="K19" s="3676"/>
      <c r="L19" s="2903" t="s">
        <v>2364</v>
      </c>
      <c r="M19" s="2904"/>
      <c r="N19" s="2904">
        <f>SUM(N16:N18)</f>
        <v>0</v>
      </c>
      <c r="O19" s="2905"/>
      <c r="P19" s="2918" t="s">
        <v>2428</v>
      </c>
      <c r="Q19" s="2885">
        <v>0</v>
      </c>
      <c r="R19" s="2919">
        <f>ROUND(IF(P19="按比例",R14*Q19,SUM(R16:R18)),0)</f>
        <v>0</v>
      </c>
      <c r="S19" s="2841"/>
      <c r="T19" s="2841"/>
      <c r="U19" s="2841"/>
      <c r="V19" s="2849"/>
    </row>
    <row r="20" spans="1:22" s="2853" customFormat="1" ht="13.25" customHeight="1">
      <c r="A20" s="2876"/>
      <c r="B20" s="2877"/>
      <c r="C20" s="2877"/>
      <c r="D20" s="2877"/>
      <c r="E20" s="2877"/>
      <c r="F20" s="2920"/>
      <c r="G20" s="2892"/>
      <c r="H20" s="2848"/>
      <c r="I20" s="2849"/>
      <c r="J20" s="3673">
        <v>3</v>
      </c>
      <c r="K20" s="3674" t="s">
        <v>2385</v>
      </c>
      <c r="L20" s="2883" t="s">
        <v>2386</v>
      </c>
      <c r="M20" s="2884" t="s">
        <v>2387</v>
      </c>
      <c r="N20" s="2921" t="s">
        <v>2388</v>
      </c>
      <c r="O20" s="2885" t="s">
        <v>2389</v>
      </c>
      <c r="P20" s="2886" t="s">
        <v>2390</v>
      </c>
      <c r="Q20" s="2860" t="s">
        <v>2391</v>
      </c>
      <c r="R20" s="2907" t="s">
        <v>2392</v>
      </c>
      <c r="S20" s="2922"/>
      <c r="T20" s="2922"/>
      <c r="U20" s="2922"/>
      <c r="V20" s="2849"/>
    </row>
    <row r="21" spans="1:22" s="2853" customFormat="1" ht="13.25" customHeight="1">
      <c r="A21" s="2876"/>
      <c r="B21" s="2877"/>
      <c r="C21" s="2923" t="s">
        <v>2393</v>
      </c>
      <c r="D21" s="2924" t="s">
        <v>2394</v>
      </c>
      <c r="E21" s="2925" t="s">
        <v>2395</v>
      </c>
      <c r="F21" s="2920"/>
      <c r="G21" s="2892"/>
      <c r="H21" s="2848"/>
      <c r="I21" s="2849"/>
      <c r="J21" s="3673"/>
      <c r="K21" s="3675"/>
      <c r="L21" s="2883" t="s">
        <v>2396</v>
      </c>
      <c r="M21" s="2884"/>
      <c r="N21" s="2884"/>
      <c r="O21" s="2885"/>
      <c r="P21" s="2886">
        <v>365</v>
      </c>
      <c r="Q21" s="2860"/>
      <c r="R21" s="2926">
        <f>ROUND(M21*N21*O21*P21/10000,0)</f>
        <v>0</v>
      </c>
      <c r="S21" s="2922"/>
      <c r="T21" s="2922"/>
      <c r="U21" s="2922"/>
      <c r="V21" s="2849"/>
    </row>
    <row r="22" spans="1:22" s="2853" customFormat="1" ht="13.25" customHeight="1">
      <c r="A22" s="2876"/>
      <c r="B22" s="2877"/>
      <c r="C22" s="2927" t="s">
        <v>2397</v>
      </c>
      <c r="D22" s="2928" t="s">
        <v>2398</v>
      </c>
      <c r="E22" s="2929" t="s">
        <v>2399</v>
      </c>
      <c r="F22" s="2920"/>
      <c r="G22" s="2930"/>
      <c r="H22" s="2848"/>
      <c r="I22" s="2849"/>
      <c r="J22" s="3673"/>
      <c r="K22" s="3675"/>
      <c r="L22" s="2883" t="s">
        <v>2400</v>
      </c>
      <c r="M22" s="2884"/>
      <c r="N22" s="2884"/>
      <c r="O22" s="2885"/>
      <c r="P22" s="2886">
        <v>365</v>
      </c>
      <c r="Q22" s="2860"/>
      <c r="R22" s="2926">
        <f>ROUND(M22*N22*O22*P22/10000,0)</f>
        <v>0</v>
      </c>
      <c r="S22" s="2922"/>
      <c r="T22" s="2922"/>
      <c r="U22" s="2922"/>
      <c r="V22" s="2849"/>
    </row>
    <row r="23" spans="1:22" s="2853" customFormat="1" ht="13.25" customHeight="1">
      <c r="A23" s="2931">
        <v>1</v>
      </c>
      <c r="B23" s="2932" t="s">
        <v>2401</v>
      </c>
      <c r="C23" s="2933">
        <f>D6</f>
        <v>0</v>
      </c>
      <c r="D23" s="2934">
        <f>C23*(1+D24)</f>
        <v>0</v>
      </c>
      <c r="E23" s="2935">
        <f>D23*(1+E24)</f>
        <v>0</v>
      </c>
      <c r="F23" s="2936"/>
      <c r="G23" s="2937"/>
      <c r="H23" s="2848"/>
      <c r="I23" s="2849"/>
      <c r="J23" s="3673"/>
      <c r="K23" s="3675"/>
      <c r="L23" s="2883" t="s">
        <v>2402</v>
      </c>
      <c r="M23" s="2884"/>
      <c r="N23" s="2884"/>
      <c r="O23" s="2885"/>
      <c r="P23" s="2886">
        <v>365</v>
      </c>
      <c r="Q23" s="2860"/>
      <c r="R23" s="2926">
        <f>ROUND(M23*N23*O23*P23/10000,0)</f>
        <v>0</v>
      </c>
      <c r="S23" s="2841"/>
      <c r="T23" s="2841"/>
      <c r="U23" s="2841"/>
      <c r="V23" s="2849"/>
    </row>
    <row r="24" spans="1:22" s="2853" customFormat="1" ht="13.25" customHeight="1">
      <c r="A24" s="2938"/>
      <c r="B24" s="2939" t="s">
        <v>2403</v>
      </c>
      <c r="C24" s="2940"/>
      <c r="D24" s="2941"/>
      <c r="E24" s="2942"/>
      <c r="F24" s="2943"/>
      <c r="G24" s="2937"/>
      <c r="H24" s="2848"/>
      <c r="I24" s="2849"/>
      <c r="J24" s="3673"/>
      <c r="K24" s="3676"/>
      <c r="L24" s="2903" t="s">
        <v>2364</v>
      </c>
      <c r="M24" s="2904">
        <f>SUM(M21:M23)</f>
        <v>0</v>
      </c>
      <c r="N24" s="2904"/>
      <c r="O24" s="2905"/>
      <c r="P24" s="2918" t="s">
        <v>2428</v>
      </c>
      <c r="Q24" s="2885">
        <v>0</v>
      </c>
      <c r="R24" s="2919">
        <f>ROUND(IF(P24="按比例",R14*Q24,SUM(R21:R23)),0)</f>
        <v>0</v>
      </c>
      <c r="S24" s="2841"/>
      <c r="T24" s="2841"/>
      <c r="U24" s="2841"/>
      <c r="V24" s="2849"/>
    </row>
    <row r="25" spans="1:22" s="2950" customFormat="1" ht="13.25" customHeight="1">
      <c r="A25" s="2938"/>
      <c r="B25" s="2939"/>
      <c r="C25" s="2940"/>
      <c r="D25" s="2941"/>
      <c r="E25" s="2942"/>
      <c r="F25" s="2943"/>
      <c r="G25" s="2930"/>
      <c r="H25" s="2848"/>
      <c r="I25" s="2849"/>
      <c r="J25" s="2944">
        <v>4</v>
      </c>
      <c r="K25" s="2945" t="s">
        <v>2404</v>
      </c>
      <c r="L25" s="2946"/>
      <c r="M25" s="2946"/>
      <c r="N25" s="2946"/>
      <c r="O25" s="2946"/>
      <c r="P25" s="2947"/>
      <c r="Q25" s="2948">
        <v>0</v>
      </c>
      <c r="R25" s="2919">
        <f>ROUND(R14*Q25,0)</f>
        <v>0</v>
      </c>
      <c r="S25" s="2841"/>
      <c r="T25" s="2841"/>
      <c r="U25" s="2841"/>
      <c r="V25" s="2949"/>
    </row>
    <row r="26" spans="1:22" s="2950" customFormat="1" ht="13.25" customHeight="1">
      <c r="A26" s="2931">
        <v>2</v>
      </c>
      <c r="B26" s="2932" t="s">
        <v>2405</v>
      </c>
      <c r="C26" s="2933">
        <f>D7</f>
        <v>0</v>
      </c>
      <c r="D26" s="2934">
        <f>D23*D27</f>
        <v>0</v>
      </c>
      <c r="E26" s="2935">
        <f>E23*E27</f>
        <v>0</v>
      </c>
      <c r="F26" s="2936"/>
      <c r="G26" s="2937"/>
      <c r="H26" s="2848"/>
      <c r="I26" s="2849"/>
      <c r="J26" s="3683">
        <v>5</v>
      </c>
      <c r="K26" s="2951" t="s">
        <v>2406</v>
      </c>
      <c r="L26" s="2952"/>
      <c r="M26" s="2953"/>
      <c r="N26" s="2954" t="s">
        <v>2407</v>
      </c>
      <c r="O26" s="2954" t="s">
        <v>2408</v>
      </c>
      <c r="P26" s="2955" t="s">
        <v>2409</v>
      </c>
      <c r="Q26" s="2955" t="s">
        <v>2410</v>
      </c>
      <c r="R26" s="2858" t="s">
        <v>2335</v>
      </c>
      <c r="S26" s="2956"/>
      <c r="T26" s="2956"/>
      <c r="U26" s="2956"/>
      <c r="V26" s="2949"/>
    </row>
    <row r="27" spans="1:22" s="2853" customFormat="1" ht="13.25" customHeight="1">
      <c r="A27" s="2938"/>
      <c r="B27" s="2939" t="s">
        <v>2411</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25" customHeight="1" thickBot="1">
      <c r="A28" s="2938"/>
      <c r="B28" s="2939"/>
      <c r="C28" s="2957"/>
      <c r="D28" s="2941"/>
      <c r="E28" s="2942" t="s">
        <v>2412</v>
      </c>
      <c r="F28" s="2943"/>
      <c r="G28" s="2930"/>
      <c r="H28" s="2958"/>
      <c r="I28" s="2949"/>
      <c r="J28" s="2964">
        <v>6</v>
      </c>
      <c r="K28" s="2965" t="s">
        <v>2413</v>
      </c>
      <c r="L28" s="2966" t="s">
        <v>2414</v>
      </c>
      <c r="M28" s="2967"/>
      <c r="N28" s="2966" t="s">
        <v>2415</v>
      </c>
      <c r="O28" s="2968"/>
      <c r="P28" s="2966" t="s">
        <v>2416</v>
      </c>
      <c r="Q28" s="2969">
        <v>1.4999999999999999E-2</v>
      </c>
      <c r="R28" s="2970"/>
      <c r="S28" s="2922"/>
      <c r="T28" s="2922"/>
      <c r="U28" s="2922"/>
      <c r="V28" s="2949"/>
    </row>
    <row r="29" spans="1:22" s="2950" customFormat="1" ht="13.25" customHeight="1">
      <c r="A29" s="2931">
        <v>3</v>
      </c>
      <c r="B29" s="2932" t="s">
        <v>2417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5" customHeight="1" thickBot="1">
      <c r="A30" s="2938"/>
      <c r="B30" s="2939" t="s">
        <v>2411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5" customHeight="1">
      <c r="A31" s="2938"/>
      <c r="B31" s="2939"/>
      <c r="C31" s="2972"/>
      <c r="D31" s="2971"/>
      <c r="E31" s="2902"/>
      <c r="F31" s="2943"/>
      <c r="G31" s="2930"/>
      <c r="H31" s="2958"/>
      <c r="I31" s="2949"/>
      <c r="J31" s="2838" t="s">
        <v>2418</v>
      </c>
      <c r="K31" s="2839"/>
      <c r="L31" s="2839"/>
      <c r="M31" s="2839"/>
      <c r="N31" s="2839"/>
      <c r="O31" s="2839"/>
      <c r="P31" s="2839"/>
      <c r="Q31" s="2839"/>
      <c r="R31" s="2840"/>
      <c r="S31" s="2922"/>
      <c r="T31" s="2841"/>
      <c r="U31" s="2841"/>
      <c r="V31" s="2949"/>
    </row>
    <row r="32" spans="1:22" s="2950" customFormat="1" ht="13.25" customHeight="1">
      <c r="A32" s="2931">
        <v>4</v>
      </c>
      <c r="B32" s="2932" t="s">
        <v>2419</v>
      </c>
      <c r="C32" s="2933">
        <f>C23-C26-C29</f>
        <v>0</v>
      </c>
      <c r="D32" s="2934">
        <f>D23-D26-D29</f>
        <v>0</v>
      </c>
      <c r="E32" s="2935">
        <f>E23-E26-E29</f>
        <v>0</v>
      </c>
      <c r="F32" s="2936"/>
      <c r="G32" s="2930"/>
      <c r="H32" s="2848"/>
      <c r="I32" s="2849"/>
      <c r="J32" s="3666" t="s">
        <v>2311</v>
      </c>
      <c r="K32" s="3667"/>
      <c r="L32" s="2850" t="s">
        <v>2312</v>
      </c>
      <c r="M32" s="2850" t="s">
        <v>2313</v>
      </c>
      <c r="N32" s="2850" t="s">
        <v>2314</v>
      </c>
      <c r="O32" s="2850" t="s">
        <v>2315</v>
      </c>
      <c r="P32" s="2850" t="s">
        <v>2316</v>
      </c>
      <c r="Q32" s="2851" t="s">
        <v>2317</v>
      </c>
      <c r="R32" s="2973" t="s">
        <v>2318</v>
      </c>
      <c r="S32" s="2922"/>
      <c r="T32" s="2841"/>
      <c r="U32" s="2841"/>
      <c r="V32" s="2949"/>
    </row>
    <row r="33" spans="1:23" s="2853" customFormat="1" ht="13.25" customHeight="1">
      <c r="A33" s="2931"/>
      <c r="B33" s="2932"/>
      <c r="C33" s="2933"/>
      <c r="D33" s="2974"/>
      <c r="E33" s="2975"/>
      <c r="F33" s="2936"/>
      <c r="G33" s="2930"/>
      <c r="H33" s="2958"/>
      <c r="I33" s="2949"/>
      <c r="J33" s="3668" t="s">
        <v>2321</v>
      </c>
      <c r="K33" s="3669"/>
      <c r="L33" s="2856"/>
      <c r="M33" s="2856"/>
      <c r="N33" s="2856"/>
      <c r="O33" s="2856"/>
      <c r="P33" s="2856"/>
      <c r="Q33" s="2857"/>
      <c r="R33" s="2976">
        <f>SUM(L33:Q33)</f>
        <v>0</v>
      </c>
      <c r="S33" s="2922"/>
      <c r="T33" s="2841"/>
      <c r="U33" s="2841"/>
      <c r="V33" s="2849"/>
    </row>
    <row r="34" spans="1:23" s="2853" customFormat="1" ht="13.25" customHeight="1">
      <c r="A34" s="2931">
        <v>5</v>
      </c>
      <c r="B34" s="2932" t="s">
        <v>2420</v>
      </c>
      <c r="C34" s="2977"/>
      <c r="D34" s="2978"/>
      <c r="E34" s="2979"/>
      <c r="F34" s="2936"/>
      <c r="G34" s="2930"/>
      <c r="H34" s="2958"/>
      <c r="I34" s="2949"/>
      <c r="J34" s="3668" t="s">
        <v>2323</v>
      </c>
      <c r="K34" s="3669"/>
      <c r="L34" s="2861"/>
      <c r="M34" s="2861"/>
      <c r="N34" s="2861"/>
      <c r="O34" s="2861"/>
      <c r="P34" s="2861"/>
      <c r="Q34" s="2862"/>
      <c r="R34" s="2980">
        <f>SUM(L34:Q34)</f>
        <v>0</v>
      </c>
      <c r="S34" s="2922"/>
      <c r="T34" s="2841"/>
      <c r="U34" s="2841" t="e">
        <f>ROUND(R35*10000/365/R33,1)</f>
        <v>#DIV/0!</v>
      </c>
      <c r="V34" s="2849"/>
    </row>
    <row r="35" spans="1:23" s="2853" customFormat="1" ht="13.25" customHeight="1">
      <c r="A35" s="2931">
        <v>6</v>
      </c>
      <c r="B35" s="2932" t="s">
        <v>2421</v>
      </c>
      <c r="C35" s="2981"/>
      <c r="D35" s="2982"/>
      <c r="E35" s="2983"/>
      <c r="F35" s="2936"/>
      <c r="G35" s="2984"/>
      <c r="H35" s="2848"/>
      <c r="I35" s="2949"/>
      <c r="J35" s="2867" t="s">
        <v>2325</v>
      </c>
      <c r="K35" s="2868"/>
      <c r="L35" s="2868"/>
      <c r="M35" s="2869"/>
      <c r="N35" s="2869"/>
      <c r="O35" s="2869"/>
      <c r="P35" s="2869"/>
      <c r="Q35" s="2869"/>
      <c r="R35" s="2985">
        <f>R40+R41+R43</f>
        <v>0</v>
      </c>
      <c r="S35" s="2922"/>
      <c r="T35" s="2841" t="s">
        <v>2326</v>
      </c>
      <c r="U35" s="2841"/>
      <c r="V35" s="2849"/>
    </row>
    <row r="36" spans="1:23" s="2853" customFormat="1" ht="13.25" customHeight="1" thickBot="1">
      <c r="A36" s="2931">
        <v>7</v>
      </c>
      <c r="B36" s="2986" t="s">
        <v>2422</v>
      </c>
      <c r="C36" s="2987"/>
      <c r="D36" s="2988"/>
      <c r="E36" s="2989"/>
      <c r="F36" s="2990">
        <f>C36+D36+E36</f>
        <v>0</v>
      </c>
      <c r="G36" s="2930"/>
      <c r="H36" s="2848"/>
      <c r="I36" s="2849"/>
      <c r="J36" s="3673">
        <v>1</v>
      </c>
      <c r="K36" s="3674" t="s">
        <v>2423</v>
      </c>
      <c r="L36" s="2874"/>
      <c r="M36" s="2875"/>
      <c r="N36" s="2875"/>
      <c r="O36" s="2875"/>
      <c r="P36" s="2875"/>
      <c r="Q36" s="2875"/>
      <c r="R36" s="2858" t="s">
        <v>2335</v>
      </c>
      <c r="S36" s="2922"/>
      <c r="T36" s="2841" t="s">
        <v>2336</v>
      </c>
      <c r="U36" s="2841"/>
      <c r="V36" s="2849"/>
    </row>
    <row r="37" spans="1:23" s="2853" customFormat="1" ht="13.2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2339</v>
      </c>
      <c r="U37" s="2841"/>
      <c r="V37" s="2849"/>
    </row>
    <row r="38" spans="1:23" s="2853" customFormat="1" ht="13.2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2346</v>
      </c>
      <c r="U38" s="2841"/>
      <c r="V38" s="2849"/>
    </row>
    <row r="39" spans="1:23" s="2853" customFormat="1" ht="13.25" customHeight="1">
      <c r="A39" s="2931">
        <v>9</v>
      </c>
      <c r="B39" s="2932" t="s">
        <v>2424</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25" customHeight="1">
      <c r="A40" s="2992">
        <v>10</v>
      </c>
      <c r="B40" s="2932" t="s">
        <v>2425</v>
      </c>
      <c r="C40" s="2993" t="e">
        <f>C39+D39+E39</f>
        <v>#DIV/0!</v>
      </c>
      <c r="D40" s="2994"/>
      <c r="E40" s="2994"/>
      <c r="F40" s="2995"/>
      <c r="G40" s="2930"/>
      <c r="H40" s="2848"/>
      <c r="I40" s="2849"/>
      <c r="J40" s="3673"/>
      <c r="K40" s="3676"/>
      <c r="L40" s="2903" t="s">
        <v>2364</v>
      </c>
      <c r="M40" s="2904"/>
      <c r="N40" s="2904"/>
      <c r="O40" s="2905"/>
      <c r="P40" s="2905"/>
      <c r="Q40" s="2906"/>
      <c r="R40" s="2852">
        <f>SUM(R37:R39)</f>
        <v>0</v>
      </c>
      <c r="S40" s="2922"/>
      <c r="T40" s="2841"/>
      <c r="U40" s="2841"/>
      <c r="V40" s="2849"/>
    </row>
    <row r="41" spans="1:23" s="2853" customFormat="1" ht="13.25" customHeight="1" thickBot="1">
      <c r="A41" s="2996">
        <v>11</v>
      </c>
      <c r="B41" s="2997" t="s">
        <v>2426</v>
      </c>
      <c r="C41" s="2997" t="e">
        <f>ROUND(C40*10000/B4,0)</f>
        <v>#DIV/0!</v>
      </c>
      <c r="D41" s="2998"/>
      <c r="E41" s="2998"/>
      <c r="F41" s="2999"/>
      <c r="G41" s="3000"/>
      <c r="H41" s="2848"/>
      <c r="I41" s="2849"/>
      <c r="J41" s="2944">
        <v>2</v>
      </c>
      <c r="K41" s="2945" t="s">
        <v>2404</v>
      </c>
      <c r="L41" s="2946"/>
      <c r="M41" s="2946"/>
      <c r="N41" s="2946"/>
      <c r="O41" s="2946"/>
      <c r="P41" s="2947"/>
      <c r="Q41" s="2948"/>
      <c r="R41" s="2919">
        <f>ROUND(R40*Q41,0)</f>
        <v>0</v>
      </c>
      <c r="S41" s="2922"/>
      <c r="T41" s="2841"/>
      <c r="U41" s="2956"/>
      <c r="V41" s="2849"/>
    </row>
    <row r="42" spans="1:23" s="2853" customFormat="1" ht="13.25" customHeight="1">
      <c r="G42" s="3000"/>
      <c r="H42" s="2848"/>
      <c r="I42" s="2849"/>
      <c r="J42" s="3683">
        <v>3</v>
      </c>
      <c r="K42" s="2951" t="s">
        <v>2406</v>
      </c>
      <c r="L42" s="2952"/>
      <c r="M42" s="2953"/>
      <c r="N42" s="2954" t="s">
        <v>2407</v>
      </c>
      <c r="O42" s="2954" t="s">
        <v>2408</v>
      </c>
      <c r="P42" s="2955" t="s">
        <v>2409</v>
      </c>
      <c r="Q42" s="2955" t="s">
        <v>2410</v>
      </c>
      <c r="R42" s="2858" t="s">
        <v>2335</v>
      </c>
      <c r="S42" s="2956"/>
      <c r="T42" s="2956"/>
      <c r="U42" s="2841"/>
      <c r="V42" s="2849"/>
    </row>
    <row r="43" spans="1:23" ht="13.2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25" customHeight="1" thickBot="1">
      <c r="J44" s="2964">
        <v>6</v>
      </c>
      <c r="K44" s="2965" t="s">
        <v>2413</v>
      </c>
      <c r="L44" s="3004" t="s">
        <v>2414</v>
      </c>
      <c r="M44" s="2967"/>
      <c r="N44" s="3004" t="s">
        <v>2415</v>
      </c>
      <c r="O44" s="2967"/>
      <c r="P44" s="3004" t="s">
        <v>2416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baseColWidth="10" defaultColWidth="9" defaultRowHeight="14"/>
  <cols>
    <col min="1" max="1" width="23.6640625" style="1477" customWidth="1"/>
    <col min="2" max="2" width="12" style="1477" customWidth="1"/>
    <col min="3" max="3" width="9" style="1477"/>
    <col min="4" max="4" width="14.1640625" style="1477" customWidth="1"/>
    <col min="5" max="5" width="9" style="1477"/>
    <col min="6" max="6" width="12.83203125" style="1477" customWidth="1"/>
    <col min="7" max="16384" width="9" style="1477"/>
  </cols>
  <sheetData>
    <row r="1" spans="1:22" ht="20">
      <c r="A1" s="1867" t="s">
        <v>1658</v>
      </c>
      <c r="B1" s="1868"/>
      <c r="C1" s="1868"/>
      <c r="D1" s="1868"/>
      <c r="E1" s="1869"/>
      <c r="F1" s="2707"/>
      <c r="G1" s="1489"/>
      <c r="H1" s="1489"/>
      <c r="I1" s="1489"/>
      <c r="J1" s="1489"/>
      <c r="K1" s="1489"/>
      <c r="L1" s="1489"/>
      <c r="M1" s="1489"/>
      <c r="N1" s="1489"/>
      <c r="O1" s="1489"/>
      <c r="P1" s="1489"/>
      <c r="Q1" s="1489"/>
      <c r="R1" s="1489"/>
      <c r="S1" s="1489"/>
    </row>
    <row r="2" spans="1:22" ht="16">
      <c r="A2" s="1870" t="s">
        <v>1462</v>
      </c>
      <c r="B2" s="1871">
        <f ca="1">SUMIF(B6:B13,"&lt;&gt;#ref!",B6:B13)</f>
        <v>8432</v>
      </c>
      <c r="C2" s="1872" t="s">
        <v>1651</v>
      </c>
      <c r="D2" s="1873" t="s">
        <v>1652</v>
      </c>
      <c r="E2" s="2607">
        <f>SUM(E6:E13)</f>
        <v>25739.82</v>
      </c>
      <c r="F2" s="2707"/>
      <c r="G2" s="1489"/>
      <c r="H2" s="1489"/>
      <c r="I2" s="1489"/>
      <c r="J2" s="1489"/>
      <c r="K2" s="1489"/>
      <c r="L2" s="1489"/>
      <c r="M2" s="1489"/>
      <c r="N2" s="1489"/>
      <c r="O2" s="1489"/>
      <c r="P2" s="1489"/>
      <c r="Q2" s="1489"/>
      <c r="R2" s="1489"/>
      <c r="S2" s="1489"/>
    </row>
    <row r="3" spans="1:22" ht="16">
      <c r="A3" s="1870" t="s">
        <v>686</v>
      </c>
      <c r="B3" s="2601">
        <f ca="1">ROUND(B2*10000/E2,0)</f>
        <v>3276</v>
      </c>
      <c r="C3" s="1872" t="s">
        <v>1659</v>
      </c>
      <c r="D3" s="2709"/>
      <c r="E3" s="2711"/>
      <c r="F3" s="2707"/>
      <c r="G3" s="1489"/>
      <c r="H3" s="1489"/>
      <c r="I3" s="1489"/>
      <c r="J3" s="1489"/>
      <c r="K3" s="1489"/>
      <c r="L3" s="1489"/>
      <c r="M3" s="1489"/>
      <c r="N3" s="1489"/>
      <c r="O3" s="1489"/>
      <c r="P3" s="1489"/>
      <c r="Q3" s="1489"/>
      <c r="R3" s="1489"/>
      <c r="S3" s="1489"/>
    </row>
    <row r="4" spans="1:22" ht="16">
      <c r="A4" s="2712"/>
      <c r="B4" s="2709"/>
      <c r="C4" s="2709"/>
      <c r="D4" s="2709"/>
      <c r="E4" s="2711"/>
      <c r="F4" s="2707"/>
      <c r="G4" s="1489"/>
      <c r="H4" s="1489"/>
      <c r="I4" s="1489"/>
      <c r="J4" s="1489"/>
      <c r="K4" s="1489"/>
      <c r="L4" s="1489"/>
      <c r="M4" s="1489"/>
      <c r="N4" s="1489"/>
      <c r="O4" s="1489"/>
      <c r="P4" s="1489"/>
      <c r="Q4" s="1489"/>
      <c r="R4" s="1489"/>
      <c r="S4" s="1489"/>
    </row>
    <row r="5" spans="1:22">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8432</v>
      </c>
      <c r="C6" s="1872" t="s">
        <v>1651</v>
      </c>
      <c r="D6" s="2709"/>
      <c r="E6" s="2606">
        <f>IF(OR(A6=0,F6="否"),0,'数据-取费表'!K6+'数据-取费表'!S6)</f>
        <v>25739.82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baseColWidth="10" defaultColWidth="9" defaultRowHeight="14"/>
  <cols>
    <col min="1" max="1" width="10.5" style="357" customWidth="1"/>
    <col min="2" max="3" width="15.6640625" style="357" customWidth="1"/>
    <col min="4" max="4" width="12.1640625" style="357" customWidth="1"/>
    <col min="5" max="5" width="17.1640625" style="357" customWidth="1"/>
    <col min="6" max="6" width="12.1640625" style="357" customWidth="1"/>
    <col min="7" max="7" width="16.5" style="357" customWidth="1"/>
    <col min="8" max="8" width="12.1640625" style="357" customWidth="1"/>
    <col min="9" max="9" width="15.6640625" style="357" customWidth="1"/>
    <col min="10" max="10" width="12.1640625" style="357" customWidth="1"/>
    <col min="11" max="11" width="12.1640625" style="444" customWidth="1"/>
    <col min="12" max="12" width="12.1640625" style="445" customWidth="1"/>
    <col min="13" max="15" width="12.1640625" style="357" customWidth="1"/>
    <col min="16" max="16" width="4.6640625" style="191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25739.82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6"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6"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6"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ht="15">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30">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6">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6">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6">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7"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16">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6">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16">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6">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16">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6">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16">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6">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16">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6">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6">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6">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6">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6">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6">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6">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7"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6">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6">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6">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6">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6">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6">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6">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6">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6">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30">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6">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6">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6">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6">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7"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 thickBot="1">
      <c r="A62" s="470"/>
      <c r="B62" s="459"/>
      <c r="C62" s="460">
        <v>100</v>
      </c>
      <c r="D62" s="461"/>
      <c r="E62" s="461"/>
      <c r="F62" s="461"/>
      <c r="G62" s="461"/>
      <c r="H62" s="461"/>
      <c r="I62" s="461"/>
      <c r="J62" s="461"/>
      <c r="K62" s="461"/>
      <c r="L62" s="461"/>
      <c r="M62" s="463"/>
      <c r="N62" s="932"/>
      <c r="O62" s="932"/>
      <c r="P62" s="1920"/>
      <c r="Q62" s="453"/>
    </row>
    <row r="63" spans="1:29" ht="15">
      <c r="A63" s="476" t="s">
        <v>1719</v>
      </c>
      <c r="B63" s="477" t="s">
        <v>1685</v>
      </c>
      <c r="C63" s="478">
        <f>C9</f>
        <v>0</v>
      </c>
      <c r="D63" s="479"/>
      <c r="E63" s="479"/>
      <c r="F63" s="479"/>
      <c r="G63" s="479"/>
      <c r="H63" s="479"/>
      <c r="I63" s="479"/>
      <c r="J63" s="479"/>
      <c r="K63" s="480"/>
      <c r="L63" s="481"/>
      <c r="M63" s="482"/>
      <c r="N63" s="933"/>
      <c r="O63" s="933"/>
      <c r="P63" s="1922"/>
      <c r="Q63" s="453"/>
    </row>
    <row r="64" spans="1:29" ht="15" thickBot="1">
      <c r="A64" s="483"/>
      <c r="B64" s="484"/>
      <c r="C64" s="485">
        <v>100</v>
      </c>
      <c r="D64" s="485"/>
      <c r="E64" s="485"/>
      <c r="F64" s="485"/>
      <c r="G64" s="485"/>
      <c r="H64" s="485"/>
      <c r="I64" s="485"/>
      <c r="J64" s="485"/>
      <c r="K64" s="485"/>
      <c r="L64" s="485"/>
      <c r="M64" s="486"/>
      <c r="N64" s="934"/>
      <c r="O64" s="934"/>
      <c r="P64" s="1922"/>
      <c r="Q64" s="453"/>
    </row>
    <row r="65" spans="1:17" ht="31" thickTop="1">
      <c r="A65" s="483"/>
      <c r="B65" s="487" t="s">
        <v>1688</v>
      </c>
      <c r="C65" s="532"/>
      <c r="D65" s="532"/>
      <c r="E65" s="532"/>
      <c r="F65" s="532"/>
      <c r="G65" s="532"/>
      <c r="H65" s="532"/>
      <c r="I65" s="532"/>
      <c r="J65" s="532"/>
      <c r="K65" s="532"/>
      <c r="L65" s="532"/>
      <c r="M65" s="532"/>
      <c r="N65" s="934"/>
      <c r="O65" s="934"/>
      <c r="P65" s="1922"/>
      <c r="Q65" s="453"/>
    </row>
    <row r="66" spans="1:17" ht="15" thickBot="1">
      <c r="A66" s="483"/>
      <c r="B66" s="492"/>
      <c r="C66" s="485"/>
      <c r="D66" s="485"/>
      <c r="E66" s="485"/>
      <c r="F66" s="485"/>
      <c r="G66" s="485"/>
      <c r="H66" s="485"/>
      <c r="I66" s="485"/>
      <c r="J66" s="485"/>
      <c r="K66" s="485"/>
      <c r="L66" s="485"/>
      <c r="M66" s="486"/>
      <c r="N66" s="934"/>
      <c r="O66" s="934"/>
      <c r="P66" s="1922"/>
      <c r="Q66" s="453"/>
    </row>
    <row r="67" spans="1:17" ht="16"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503"/>
      <c r="D70" s="503"/>
      <c r="E70" s="503"/>
      <c r="F70" s="503"/>
      <c r="G70" s="503"/>
      <c r="H70" s="504"/>
      <c r="I70" s="504"/>
      <c r="J70" s="504"/>
      <c r="K70" s="504"/>
      <c r="L70" s="505"/>
      <c r="M70" s="506"/>
      <c r="N70" s="935"/>
      <c r="O70" s="935"/>
      <c r="P70" s="1923"/>
      <c r="Q70" s="508"/>
    </row>
    <row r="71" spans="1:17" s="422" customFormat="1" ht="15" thickBot="1">
      <c r="A71" s="502"/>
      <c r="B71" s="492"/>
      <c r="C71" s="509"/>
      <c r="D71" s="485"/>
      <c r="E71" s="485"/>
      <c r="F71" s="485"/>
      <c r="G71" s="485"/>
      <c r="H71" s="485"/>
      <c r="I71" s="485"/>
      <c r="J71" s="485"/>
      <c r="K71" s="485"/>
      <c r="L71" s="485"/>
      <c r="M71" s="486"/>
      <c r="N71" s="934"/>
      <c r="O71" s="934"/>
      <c r="P71" s="1923"/>
      <c r="Q71" s="508"/>
    </row>
    <row r="72" spans="1:17" s="422" customFormat="1" ht="15" thickTop="1">
      <c r="A72" s="502"/>
      <c r="B72" s="487">
        <f>B13</f>
        <v>111</v>
      </c>
      <c r="C72" s="503"/>
      <c r="D72" s="503"/>
      <c r="E72" s="503"/>
      <c r="F72" s="503"/>
      <c r="G72" s="503"/>
      <c r="H72" s="504"/>
      <c r="I72" s="504"/>
      <c r="J72" s="504"/>
      <c r="K72" s="504"/>
      <c r="L72" s="505"/>
      <c r="M72" s="506"/>
      <c r="N72" s="935"/>
      <c r="O72" s="935"/>
      <c r="P72" s="1924"/>
      <c r="Q72" s="510"/>
    </row>
    <row r="73" spans="1:17" s="422" customFormat="1" ht="15" thickBot="1">
      <c r="A73" s="502"/>
      <c r="B73" s="492"/>
      <c r="C73" s="509"/>
      <c r="D73" s="509"/>
      <c r="E73" s="509"/>
      <c r="F73" s="509"/>
      <c r="G73" s="509"/>
      <c r="H73" s="511"/>
      <c r="I73" s="511"/>
      <c r="J73" s="511"/>
      <c r="K73" s="511"/>
      <c r="L73" s="511"/>
      <c r="M73" s="512"/>
      <c r="N73" s="935"/>
      <c r="O73" s="935"/>
      <c r="P73" s="1923"/>
      <c r="Q73" s="508"/>
    </row>
    <row r="74" spans="1:17" s="422" customFormat="1" ht="15" thickTop="1">
      <c r="A74" s="502"/>
      <c r="B74" s="495">
        <f>B14</f>
        <v>111</v>
      </c>
      <c r="C74" s="503"/>
      <c r="D74" s="503"/>
      <c r="E74" s="503"/>
      <c r="F74" s="503"/>
      <c r="G74" s="472"/>
      <c r="H74" s="513"/>
      <c r="I74" s="513"/>
      <c r="J74" s="513"/>
      <c r="K74" s="513"/>
      <c r="L74" s="514"/>
      <c r="M74" s="515"/>
      <c r="N74" s="935"/>
      <c r="O74" s="935"/>
      <c r="P74" s="1925"/>
      <c r="Q74" s="508"/>
    </row>
    <row r="75" spans="1:17" s="422" customFormat="1" ht="15" thickBot="1">
      <c r="A75" s="517"/>
      <c r="B75" s="518"/>
      <c r="C75" s="519"/>
      <c r="D75" s="519"/>
      <c r="E75" s="519"/>
      <c r="F75" s="519"/>
      <c r="G75" s="519"/>
      <c r="H75" s="520"/>
      <c r="I75" s="520"/>
      <c r="J75" s="520"/>
      <c r="K75" s="520"/>
      <c r="L75" s="520"/>
      <c r="M75" s="521"/>
      <c r="N75" s="935"/>
      <c r="O75" s="935"/>
      <c r="P75" s="1923"/>
      <c r="Q75" s="508"/>
    </row>
    <row r="76" spans="1:17" ht="15">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6"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6"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6"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6"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6" thickTop="1">
      <c r="A86" s="528"/>
      <c r="B86" s="487" t="s">
        <v>1734</v>
      </c>
      <c r="C86" s="503"/>
      <c r="D86" s="503"/>
      <c r="E86" s="503"/>
      <c r="F86" s="503"/>
      <c r="G86" s="503"/>
      <c r="H86" s="503"/>
      <c r="I86" s="503"/>
      <c r="J86" s="503"/>
      <c r="K86" s="503"/>
      <c r="L86" s="529"/>
      <c r="M86" s="530"/>
      <c r="N86" s="932"/>
      <c r="O86" s="932"/>
      <c r="P86" s="1922"/>
      <c r="Q86" s="453"/>
    </row>
    <row r="87" spans="1:17" s="108" customFormat="1" ht="1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6" thickTop="1">
      <c r="A88" s="528"/>
      <c r="B88" s="487" t="s">
        <v>1735</v>
      </c>
      <c r="C88" s="503"/>
      <c r="D88" s="503"/>
      <c r="E88" s="503"/>
      <c r="F88" s="1927"/>
      <c r="G88" s="503"/>
      <c r="H88" s="503"/>
      <c r="I88" s="503"/>
      <c r="J88" s="503"/>
      <c r="K88" s="503"/>
      <c r="L88" s="503"/>
      <c r="M88" s="530"/>
      <c r="N88" s="932"/>
      <c r="O88" s="932"/>
      <c r="P88" s="1922"/>
      <c r="Q88" s="453"/>
    </row>
    <row r="89" spans="1:17" s="108" customFormat="1" ht="1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 thickTop="1">
      <c r="A90" s="502"/>
      <c r="B90" s="487">
        <f>B27</f>
        <v>111</v>
      </c>
      <c r="C90" s="503"/>
      <c r="D90" s="503"/>
      <c r="E90" s="503"/>
      <c r="F90" s="503"/>
      <c r="G90" s="503"/>
      <c r="H90" s="504"/>
      <c r="I90" s="504"/>
      <c r="J90" s="504"/>
      <c r="K90" s="504"/>
      <c r="L90" s="505"/>
      <c r="M90" s="506"/>
      <c r="N90" s="935"/>
      <c r="O90" s="935"/>
      <c r="P90" s="1923"/>
      <c r="Q90" s="508"/>
    </row>
    <row r="91" spans="1:17" s="422" customFormat="1" ht="15" thickBot="1">
      <c r="A91" s="502"/>
      <c r="B91" s="492"/>
      <c r="C91" s="509"/>
      <c r="D91" s="509"/>
      <c r="E91" s="509"/>
      <c r="F91" s="509"/>
      <c r="G91" s="509"/>
      <c r="H91" s="511"/>
      <c r="I91" s="511"/>
      <c r="J91" s="511"/>
      <c r="K91" s="511"/>
      <c r="L91" s="511"/>
      <c r="M91" s="512"/>
      <c r="N91" s="935"/>
      <c r="O91" s="935"/>
      <c r="P91" s="1923"/>
      <c r="Q91" s="508"/>
    </row>
    <row r="92" spans="1:17" ht="15" thickTop="1">
      <c r="A92" s="483"/>
      <c r="B92" s="487">
        <f>B28</f>
        <v>111</v>
      </c>
      <c r="C92" s="503"/>
      <c r="D92" s="503"/>
      <c r="E92" s="503"/>
      <c r="F92" s="503"/>
      <c r="G92" s="532"/>
      <c r="H92" s="532"/>
      <c r="I92" s="532"/>
      <c r="J92" s="532"/>
      <c r="K92" s="533"/>
      <c r="L92" s="534"/>
      <c r="M92" s="535"/>
      <c r="N92" s="933"/>
      <c r="O92" s="933"/>
      <c r="P92" s="1922"/>
      <c r="Q92" s="453"/>
    </row>
    <row r="93" spans="1:17" ht="15" thickBot="1">
      <c r="A93" s="483"/>
      <c r="B93" s="492"/>
      <c r="C93" s="509"/>
      <c r="D93" s="485"/>
      <c r="E93" s="485"/>
      <c r="F93" s="485"/>
      <c r="G93" s="485"/>
      <c r="H93" s="485"/>
      <c r="I93" s="485"/>
      <c r="J93" s="485"/>
      <c r="K93" s="485"/>
      <c r="L93" s="485"/>
      <c r="M93" s="486"/>
      <c r="N93" s="934"/>
      <c r="O93" s="934"/>
      <c r="P93" s="1922"/>
      <c r="Q93" s="453"/>
    </row>
    <row r="94" spans="1:17" ht="15" thickTop="1">
      <c r="A94" s="483"/>
      <c r="B94" s="487">
        <f>B29</f>
        <v>111</v>
      </c>
      <c r="C94" s="503"/>
      <c r="D94" s="503"/>
      <c r="E94" s="503"/>
      <c r="F94" s="503"/>
      <c r="G94" s="532"/>
      <c r="H94" s="532"/>
      <c r="I94" s="532"/>
      <c r="J94" s="532"/>
      <c r="K94" s="533"/>
      <c r="L94" s="534"/>
      <c r="M94" s="535"/>
      <c r="N94" s="933"/>
      <c r="O94" s="933"/>
      <c r="P94" s="1922"/>
      <c r="Q94" s="453"/>
    </row>
    <row r="95" spans="1:17" ht="15" thickBot="1">
      <c r="A95" s="483"/>
      <c r="B95" s="492"/>
      <c r="C95" s="509"/>
      <c r="D95" s="509"/>
      <c r="E95" s="509"/>
      <c r="F95" s="509"/>
      <c r="G95" s="485"/>
      <c r="H95" s="485"/>
      <c r="I95" s="485"/>
      <c r="J95" s="485"/>
      <c r="K95" s="485"/>
      <c r="L95" s="485"/>
      <c r="M95" s="486"/>
      <c r="N95" s="934"/>
      <c r="O95" s="934"/>
      <c r="P95" s="1922"/>
      <c r="Q95" s="453"/>
    </row>
    <row r="96" spans="1:17" ht="15" thickTop="1">
      <c r="A96" s="483"/>
      <c r="B96" s="487">
        <f>B30</f>
        <v>111</v>
      </c>
      <c r="C96" s="503"/>
      <c r="D96" s="503"/>
      <c r="E96" s="503"/>
      <c r="F96" s="503"/>
      <c r="G96" s="532"/>
      <c r="H96" s="532"/>
      <c r="I96" s="532"/>
      <c r="J96" s="532"/>
      <c r="K96" s="533"/>
      <c r="L96" s="534"/>
      <c r="M96" s="535"/>
      <c r="N96" s="933"/>
      <c r="O96" s="933"/>
      <c r="P96" s="1922"/>
      <c r="Q96" s="453"/>
    </row>
    <row r="97" spans="1:17" ht="15" thickBot="1">
      <c r="A97" s="483"/>
      <c r="B97" s="492"/>
      <c r="C97" s="519"/>
      <c r="D97" s="519"/>
      <c r="E97" s="519"/>
      <c r="F97" s="519"/>
      <c r="G97" s="485"/>
      <c r="H97" s="485"/>
      <c r="I97" s="485"/>
      <c r="J97" s="485"/>
      <c r="K97" s="485"/>
      <c r="L97" s="485"/>
      <c r="M97" s="486"/>
      <c r="N97" s="934"/>
      <c r="O97" s="934"/>
      <c r="P97" s="1922"/>
      <c r="Q97" s="453"/>
    </row>
    <row r="98" spans="1:17" ht="15" thickTop="1">
      <c r="A98" s="483"/>
      <c r="B98" s="495">
        <f>B31</f>
        <v>111</v>
      </c>
      <c r="C98" s="536"/>
      <c r="D98" s="536"/>
      <c r="E98" s="536"/>
      <c r="F98" s="536"/>
      <c r="G98" s="536"/>
      <c r="H98" s="536"/>
      <c r="I98" s="536"/>
      <c r="J98" s="536"/>
      <c r="K98" s="537"/>
      <c r="L98" s="538"/>
      <c r="M98" s="539"/>
      <c r="N98" s="933"/>
      <c r="O98" s="933"/>
      <c r="P98" s="1922"/>
      <c r="Q98" s="453"/>
    </row>
    <row r="99" spans="1:17" ht="15" thickBot="1">
      <c r="A99" s="1928"/>
      <c r="B99" s="518"/>
      <c r="C99" s="540"/>
      <c r="D99" s="540"/>
      <c r="E99" s="540"/>
      <c r="F99" s="540"/>
      <c r="G99" s="540"/>
      <c r="H99" s="540"/>
      <c r="I99" s="540"/>
      <c r="J99" s="540"/>
      <c r="K99" s="540"/>
      <c r="L99" s="540"/>
      <c r="M99" s="541"/>
      <c r="N99" s="934"/>
      <c r="O99" s="934"/>
      <c r="P99" s="1922"/>
      <c r="Q99" s="453"/>
    </row>
    <row r="100" spans="1:17" ht="15">
      <c r="A100" s="476" t="s">
        <v>1694</v>
      </c>
      <c r="B100" s="477" t="s">
        <v>1736</v>
      </c>
      <c r="C100" s="479"/>
      <c r="D100" s="479"/>
      <c r="E100" s="479"/>
      <c r="F100" s="479"/>
      <c r="G100" s="479"/>
      <c r="H100" s="479"/>
      <c r="I100" s="479"/>
      <c r="J100" s="479"/>
      <c r="K100" s="480"/>
      <c r="L100" s="481"/>
      <c r="M100" s="482"/>
      <c r="N100" s="933"/>
      <c r="O100" s="933"/>
      <c r="P100" s="1922"/>
      <c r="Q100" s="453"/>
    </row>
    <row r="101" spans="1:17" ht="1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6"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 thickBot="1">
      <c r="A104" s="502"/>
      <c r="B104" s="492"/>
      <c r="C104" s="509"/>
      <c r="D104" s="485"/>
      <c r="E104" s="485"/>
      <c r="F104" s="485"/>
      <c r="G104" s="485"/>
      <c r="H104" s="485"/>
      <c r="I104" s="485"/>
      <c r="J104" s="485"/>
      <c r="K104" s="485"/>
      <c r="L104" s="485"/>
      <c r="M104" s="485"/>
      <c r="N104" s="934"/>
      <c r="O104" s="934"/>
      <c r="P104" s="1923"/>
      <c r="Q104" s="508"/>
    </row>
    <row r="105" spans="1:17" ht="16" thickTop="1">
      <c r="A105" s="548"/>
      <c r="B105" s="487" t="s">
        <v>1738</v>
      </c>
      <c r="C105" s="503"/>
      <c r="D105" s="503"/>
      <c r="E105" s="532"/>
      <c r="F105" s="532"/>
      <c r="G105" s="532"/>
      <c r="H105" s="532"/>
      <c r="I105" s="532"/>
      <c r="J105" s="532"/>
      <c r="K105" s="533"/>
      <c r="L105" s="534"/>
      <c r="M105" s="535"/>
      <c r="N105" s="933"/>
      <c r="O105" s="933"/>
      <c r="P105" s="1922"/>
      <c r="Q105" s="453"/>
    </row>
    <row r="106" spans="1:17" ht="1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6" thickTop="1">
      <c r="A107" s="548"/>
      <c r="B107" s="487" t="s">
        <v>1739</v>
      </c>
      <c r="C107" s="532"/>
      <c r="D107" s="532"/>
      <c r="E107" s="532"/>
      <c r="F107" s="532"/>
      <c r="G107" s="532"/>
      <c r="H107" s="532"/>
      <c r="I107" s="532"/>
      <c r="J107" s="532"/>
      <c r="K107" s="533"/>
      <c r="L107" s="534"/>
      <c r="M107" s="535"/>
      <c r="N107" s="933"/>
      <c r="O107" s="933"/>
      <c r="P107" s="1922"/>
      <c r="Q107" s="453"/>
    </row>
    <row r="108" spans="1:17" ht="1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6" thickTop="1">
      <c r="A109" s="548"/>
      <c r="B109" s="487" t="s">
        <v>1740</v>
      </c>
      <c r="C109" s="503"/>
      <c r="D109" s="503"/>
      <c r="E109" s="503"/>
      <c r="F109" s="532"/>
      <c r="G109" s="532"/>
      <c r="H109" s="532"/>
      <c r="I109" s="532"/>
      <c r="J109" s="532"/>
      <c r="K109" s="533"/>
      <c r="L109" s="534"/>
      <c r="M109" s="535"/>
      <c r="N109" s="933"/>
      <c r="O109" s="933"/>
      <c r="P109" s="1922"/>
      <c r="Q109" s="453"/>
    </row>
    <row r="110" spans="1:17" ht="1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6"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6" thickTop="1">
      <c r="A114" s="548"/>
      <c r="B114" s="487" t="s">
        <v>1741</v>
      </c>
      <c r="C114" s="503"/>
      <c r="D114" s="503"/>
      <c r="E114" s="532"/>
      <c r="F114" s="532"/>
      <c r="G114" s="532"/>
      <c r="H114" s="532"/>
      <c r="I114" s="532"/>
      <c r="J114" s="532"/>
      <c r="K114" s="533"/>
      <c r="L114" s="534"/>
      <c r="M114" s="535"/>
      <c r="N114" s="933"/>
      <c r="O114" s="933"/>
      <c r="P114" s="1922"/>
      <c r="Q114" s="453"/>
    </row>
    <row r="115" spans="1:17" ht="1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6" thickTop="1">
      <c r="A116" s="548"/>
      <c r="B116" s="487" t="s">
        <v>1742</v>
      </c>
      <c r="C116" s="503"/>
      <c r="D116" s="503"/>
      <c r="E116" s="503"/>
      <c r="F116" s="503"/>
      <c r="G116" s="503"/>
      <c r="H116" s="532"/>
      <c r="I116" s="532"/>
      <c r="J116" s="532"/>
      <c r="K116" s="533"/>
      <c r="L116" s="534"/>
      <c r="M116" s="535"/>
      <c r="N116" s="933"/>
      <c r="O116" s="933"/>
      <c r="P116" s="1922"/>
      <c r="Q116" s="453"/>
    </row>
    <row r="117" spans="1:17" ht="1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6" thickTop="1">
      <c r="A118" s="548"/>
      <c r="B118" s="487" t="s">
        <v>1743</v>
      </c>
      <c r="C118" s="532"/>
      <c r="D118" s="532"/>
      <c r="E118" s="532"/>
      <c r="F118" s="532"/>
      <c r="G118" s="532"/>
      <c r="H118" s="532"/>
      <c r="I118" s="532"/>
      <c r="J118" s="532"/>
      <c r="K118" s="533"/>
      <c r="L118" s="534"/>
      <c r="M118" s="535"/>
      <c r="N118" s="933"/>
      <c r="O118" s="933"/>
      <c r="P118" s="1922"/>
      <c r="Q118" s="453"/>
    </row>
    <row r="119" spans="1:17" ht="1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31"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 thickBot="1">
      <c r="A121" s="502"/>
      <c r="B121" s="484"/>
      <c r="C121" s="509"/>
      <c r="D121" s="485"/>
      <c r="E121" s="485"/>
      <c r="F121" s="485"/>
      <c r="G121" s="485"/>
      <c r="H121" s="485"/>
      <c r="I121" s="485"/>
      <c r="J121" s="485"/>
      <c r="K121" s="485"/>
      <c r="L121" s="485"/>
      <c r="M121" s="485"/>
      <c r="N121" s="935"/>
      <c r="O121" s="935"/>
      <c r="P121" s="1923"/>
      <c r="Q121" s="508"/>
    </row>
    <row r="122" spans="1:17" ht="16" thickTop="1">
      <c r="A122" s="548"/>
      <c r="B122" s="487" t="s">
        <v>1744</v>
      </c>
      <c r="C122" s="503"/>
      <c r="D122" s="503"/>
      <c r="E122" s="503"/>
      <c r="F122" s="532"/>
      <c r="G122" s="532"/>
      <c r="H122" s="532"/>
      <c r="I122" s="532"/>
      <c r="J122" s="532"/>
      <c r="K122" s="533"/>
      <c r="L122" s="534"/>
      <c r="M122" s="535"/>
      <c r="N122" s="933"/>
      <c r="O122" s="933"/>
      <c r="P122" s="1922"/>
      <c r="Q122" s="453"/>
    </row>
    <row r="123" spans="1:17" ht="1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6"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6">
      <c r="B137" s="1930" t="s">
        <v>1747</v>
      </c>
      <c r="C137" s="1931"/>
      <c r="D137" s="1931"/>
      <c r="E137" s="1931"/>
      <c r="F137" s="1931"/>
      <c r="G137" s="1932"/>
      <c r="H137" s="1933"/>
      <c r="I137" s="1934" t="s">
        <v>1748</v>
      </c>
      <c r="J137" s="1931"/>
      <c r="K137" s="1935"/>
    </row>
    <row r="138" spans="1:17" ht="16">
      <c r="B138" s="1936"/>
      <c r="C138" s="137" t="s">
        <v>1749</v>
      </c>
      <c r="D138" s="137" t="s">
        <v>1750</v>
      </c>
      <c r="E138" s="1937" t="s">
        <v>1751</v>
      </c>
      <c r="F138" s="1938" t="s">
        <v>1752</v>
      </c>
      <c r="G138" s="137" t="s">
        <v>1750</v>
      </c>
      <c r="H138" s="138" t="s">
        <v>1751</v>
      </c>
      <c r="I138" s="1939"/>
      <c r="J138" s="137" t="s">
        <v>1753</v>
      </c>
      <c r="K138" s="138" t="s">
        <v>1754</v>
      </c>
    </row>
    <row r="139" spans="1:17" ht="16">
      <c r="B139" s="867">
        <v>6</v>
      </c>
      <c r="C139" s="868">
        <v>96</v>
      </c>
      <c r="D139" s="1940" t="s">
        <v>1755</v>
      </c>
      <c r="E139" s="869">
        <v>100</v>
      </c>
      <c r="F139" s="870">
        <v>102.5</v>
      </c>
      <c r="G139" s="1940" t="s">
        <v>1755</v>
      </c>
      <c r="H139" s="871">
        <v>105</v>
      </c>
      <c r="I139" s="1941" t="s">
        <v>1756</v>
      </c>
      <c r="J139" s="868">
        <v>20</v>
      </c>
      <c r="K139" s="872">
        <f>C145/(J139-2)</f>
        <v>4.0555555555555553E-3</v>
      </c>
    </row>
    <row r="140" spans="1:17" ht="16">
      <c r="B140" s="873">
        <v>5</v>
      </c>
      <c r="C140" s="874">
        <v>100</v>
      </c>
      <c r="D140" s="874"/>
      <c r="E140" s="875"/>
      <c r="F140" s="876">
        <v>102</v>
      </c>
      <c r="G140" s="874"/>
      <c r="H140" s="877"/>
      <c r="I140" s="1942" t="s">
        <v>1757</v>
      </c>
      <c r="J140" s="271">
        <f>ROUNDUP((J139-1)/2,0)</f>
        <v>10</v>
      </c>
      <c r="K140" s="878">
        <v>100</v>
      </c>
    </row>
    <row r="141" spans="1:17" ht="16">
      <c r="B141" s="873">
        <v>4</v>
      </c>
      <c r="C141" s="874">
        <v>102</v>
      </c>
      <c r="D141" s="874"/>
      <c r="E141" s="875"/>
      <c r="F141" s="876">
        <v>101.5</v>
      </c>
      <c r="G141" s="874"/>
      <c r="H141" s="877"/>
      <c r="I141" s="1942" t="s">
        <v>1758</v>
      </c>
      <c r="J141" s="271">
        <v>1</v>
      </c>
      <c r="K141" s="879">
        <f>ROUND(100+(J141-J140)*K139*100,1)</f>
        <v>96.4</v>
      </c>
    </row>
    <row r="142" spans="1:17" ht="16">
      <c r="B142" s="873">
        <v>3</v>
      </c>
      <c r="C142" s="874">
        <v>103</v>
      </c>
      <c r="D142" s="874"/>
      <c r="E142" s="875"/>
      <c r="F142" s="876">
        <v>101</v>
      </c>
      <c r="G142" s="874"/>
      <c r="H142" s="877"/>
      <c r="I142" s="1942" t="s">
        <v>1759</v>
      </c>
      <c r="J142" s="271">
        <f>J139</f>
        <v>20</v>
      </c>
      <c r="K142" s="880">
        <v>95</v>
      </c>
    </row>
    <row r="143" spans="1:17" ht="16">
      <c r="B143" s="873">
        <v>2</v>
      </c>
      <c r="C143" s="874">
        <v>100</v>
      </c>
      <c r="D143" s="874"/>
      <c r="E143" s="875"/>
      <c r="F143" s="876">
        <v>100.5</v>
      </c>
      <c r="G143" s="874"/>
      <c r="H143" s="877"/>
      <c r="I143" s="1942" t="s">
        <v>1760</v>
      </c>
      <c r="J143" s="874">
        <v>15</v>
      </c>
      <c r="K143" s="879">
        <f>ROUND(100+(J143-J140)*K139*100,1)</f>
        <v>102</v>
      </c>
    </row>
    <row r="144" spans="1:17" ht="16">
      <c r="B144" s="873">
        <v>1</v>
      </c>
      <c r="C144" s="874">
        <v>98</v>
      </c>
      <c r="D144" s="1943" t="s">
        <v>1761</v>
      </c>
      <c r="E144" s="875">
        <v>102</v>
      </c>
      <c r="F144" s="881">
        <v>100</v>
      </c>
      <c r="G144" s="1943" t="s">
        <v>1761</v>
      </c>
      <c r="H144" s="877">
        <v>105</v>
      </c>
      <c r="I144" s="1942" t="s">
        <v>1760</v>
      </c>
      <c r="J144" s="874">
        <v>18</v>
      </c>
      <c r="K144" s="879">
        <f>ROUND(100+(J144-J140)*K139*100,1)</f>
        <v>103.2</v>
      </c>
    </row>
    <row r="145" spans="2:11" ht="17"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D1" sqref="D1:F1"/>
    </sheetView>
  </sheetViews>
  <sheetFormatPr baseColWidth="10" defaultColWidth="9" defaultRowHeight="14"/>
  <cols>
    <col min="1" max="1" width="10.5" style="357" customWidth="1"/>
    <col min="2" max="2" width="15.6640625" style="357" customWidth="1"/>
    <col min="3" max="3" width="15.16406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191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25739.82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6"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6"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6"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ht="15">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30">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6">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6">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6">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7"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16">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6">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16">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6">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16">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6">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16">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6">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16">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6">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6">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6">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6">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6">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6">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6">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7"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6">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6">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6">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6">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6">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6">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6">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6">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6">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6">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6">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6">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6">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6">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7"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5">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31"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6"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5">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6"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6"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6"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6"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6"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6"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6"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6"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5">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6"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6"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6"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6"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6"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6"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6"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6"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6"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6"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6"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2" zoomScale="60" zoomScaleNormal="70" workbookViewId="0">
      <selection activeCell="N112" sqref="N112"/>
    </sheetView>
  </sheetViews>
  <sheetFormatPr baseColWidth="10" defaultColWidth="9" defaultRowHeight="14"/>
  <cols>
    <col min="1" max="1" width="10.5" style="357" customWidth="1"/>
    <col min="2" max="3" width="15.66406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90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25739.82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c r="A5" s="358"/>
      <c r="B5" s="359"/>
      <c r="C5" s="3698" t="s">
        <v>1673</v>
      </c>
      <c r="D5" s="3699"/>
      <c r="E5" s="3696" t="s">
        <v>1674</v>
      </c>
      <c r="F5" s="3697"/>
      <c r="G5" s="3698" t="s">
        <v>1675</v>
      </c>
      <c r="H5" s="3699"/>
      <c r="I5" s="3698" t="s">
        <v>1676</v>
      </c>
      <c r="J5" s="3699"/>
      <c r="K5" s="559"/>
      <c r="L5" s="2715"/>
      <c r="M5" s="2716"/>
      <c r="N5" s="2716"/>
      <c r="O5" s="2716"/>
      <c r="P5" s="3741"/>
      <c r="Q5" s="3712"/>
      <c r="R5" s="3694"/>
      <c r="S5" s="3695"/>
      <c r="T5" s="3694"/>
      <c r="U5" s="3695"/>
      <c r="V5" s="3717"/>
      <c r="W5" s="3717"/>
      <c r="X5" s="1355"/>
      <c r="Y5" s="3694"/>
      <c r="Z5" s="3695"/>
      <c r="AA5" s="3688"/>
      <c r="AB5" s="3688"/>
      <c r="AC5" s="3737"/>
    </row>
    <row r="6" spans="1:29" ht="16"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6" thickBot="1">
      <c r="A7" s="362" t="s">
        <v>1679</v>
      </c>
      <c r="B7" s="363"/>
      <c r="C7" s="364">
        <f>'数据-取费表'!B2</f>
        <v>44916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6"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ht="15">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30">
      <c r="A10" s="374"/>
      <c r="B10" s="375" t="s">
        <v>1688</v>
      </c>
      <c r="C10" s="3437"/>
      <c r="D10" s="127">
        <v>100</v>
      </c>
      <c r="E10" s="3437"/>
      <c r="F10" s="127">
        <f>SUMIF(66:66,E10,67:67)-SUMIF(66:66,C10,67:67)+100</f>
        <v>100</v>
      </c>
      <c r="G10" s="3438"/>
      <c r="H10" s="127">
        <f>SUMIF(66:66,G10,67:67)-SUMIF(66:66,C10,67:67)+100</f>
        <v>100</v>
      </c>
      <c r="I10" s="3437"/>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6">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6">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6">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7"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16">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6">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16">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6">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16">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6">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16">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6">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16">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6">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30">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6">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6">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6">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6">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6">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6">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7"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6">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6">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6">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6">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6">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6">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6">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6">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6">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6">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6">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6">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6">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6">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7"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5">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31"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6"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5">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6"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6"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6"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6"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31"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6"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6"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5">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6"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6"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6"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6"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6"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6"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6"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6"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6"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6"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6"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477" customWidth="1"/>
    <col min="2" max="16384" width="9" style="1477"/>
  </cols>
  <sheetData>
    <row r="1" spans="1:1" ht="24">
      <c r="A1" s="1476" t="s">
        <v>898</v>
      </c>
    </row>
    <row r="2" spans="1:1">
      <c r="A2" s="1478"/>
    </row>
    <row r="3" spans="1:1" ht="18">
      <c r="A3" s="1479" t="str">
        <f>项目基本情况!B5&amp;"："</f>
        <v>：</v>
      </c>
    </row>
    <row r="4" spans="1:1" ht="19">
      <c r="A4" s="1480" t="str">
        <f>"受贵公司委托，我公司对"&amp;项目基本情况!S1&amp;"进行了预评估。"</f>
        <v>受贵公司委托，我公司对北京市房地产抵押价值进行了预评估。</v>
      </c>
    </row>
    <row r="5" spans="1:1" ht="18">
      <c r="A5" s="1481" t="s">
        <v>899</v>
      </c>
    </row>
    <row r="6" spans="1:1" ht="18">
      <c r="A6" s="1482" t="s">
        <v>900</v>
      </c>
    </row>
    <row r="7" spans="1:1" ht="57">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估价对象为北京市房地产，为所有。根据《国有土地使用证》[]，估价对象（分摊）出让国有建设用地使用权面积为74231.63平方米，建筑面积为25739.82平方米。</v>
      </c>
    </row>
    <row r="8" spans="1:1" ht="56">
      <c r="A8" s="1483" t="s">
        <v>901</v>
      </c>
    </row>
    <row r="9" spans="1:1" ht="18">
      <c r="A9" s="1482" t="s">
        <v>902</v>
      </c>
    </row>
    <row r="10" spans="1:1" ht="57">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估价对象为北京市房地产,为开发建设的，该项目尚在开发建设中。根据《国有土地使用证》[]，估价对象（分摊）出让国有建设用地使用权面积为74231.63平方米，规划建筑面积为25739.82平方米。</v>
      </c>
    </row>
    <row r="11" spans="1:1" ht="74">
      <c r="A11" s="1483" t="s">
        <v>903</v>
      </c>
    </row>
    <row r="12" spans="1:1" ht="18">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485" t="s">
        <v>905</v>
      </c>
    </row>
    <row r="15" spans="1:1" ht="18">
      <c r="A15" s="1486" t="str">
        <f>TEXT(项目基本情况!D3,"yyyy年m月d日;;")&amp;IF(项目基本情况!D3=项目基本情况!B3,"（评估专业人员实地查勘之日）","")</f>
        <v>2022年12月21日（评估专业人员实地查勘之日）</v>
      </c>
    </row>
    <row r="16" spans="1:1" ht="18">
      <c r="A16" s="1485" t="s">
        <v>906</v>
      </c>
    </row>
    <row r="17" spans="1:1" ht="72">
      <c r="A17" s="1480" t="s">
        <v>907</v>
      </c>
    </row>
    <row r="18" spans="1:1" ht="57">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85" t="s">
        <v>896</v>
      </c>
    </row>
    <row r="24" spans="1:1" ht="18">
      <c r="A24" s="1487" t="str">
        <f>"本次评估采用的主估价方法为"&amp;结果表!K4&amp;"和"&amp;结果表!L4&amp;"。"</f>
        <v>本次评估采用的主估价方法为成本法和收益法。</v>
      </c>
    </row>
    <row r="25" spans="1:1" ht="18">
      <c r="A25" s="1487"/>
    </row>
    <row r="26" spans="1:1" ht="18">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P95" sqref="P95"/>
    </sheetView>
  </sheetViews>
  <sheetFormatPr baseColWidth="10" defaultColWidth="9" defaultRowHeight="14"/>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25739.82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6"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6" thickBot="1">
      <c r="A7" s="362" t="s">
        <v>1679</v>
      </c>
      <c r="B7" s="363"/>
      <c r="C7" s="364">
        <f>'数据-取费表'!B2</f>
        <v>44916</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6"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ht="15">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30">
      <c r="A10" s="374"/>
      <c r="B10" s="375" t="s">
        <v>1688</v>
      </c>
      <c r="C10" s="3437"/>
      <c r="D10" s="127">
        <v>100</v>
      </c>
      <c r="E10" s="3437"/>
      <c r="F10" s="127">
        <f>SUMIF(59:59,E10,60:60)-SUMIF(59:59,C10,60:60)+100</f>
        <v>100</v>
      </c>
      <c r="G10" s="3438"/>
      <c r="H10" s="127">
        <f>SUMIF(59:59,G10,60:60)-SUMIF(59:59,C10,60:60)+100</f>
        <v>100</v>
      </c>
      <c r="I10" s="3437"/>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6">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6">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6">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7"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16">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6">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16">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6">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16">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6">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16">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6">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16">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6">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6">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6">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6">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7"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6">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6">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6">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6">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6">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6">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6">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6">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6">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6">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7"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 thickBot="1">
      <c r="A56" s="470"/>
      <c r="B56" s="459"/>
      <c r="C56" s="587">
        <v>100</v>
      </c>
      <c r="D56" s="461"/>
      <c r="E56" s="461"/>
      <c r="F56" s="461"/>
      <c r="G56" s="461"/>
      <c r="H56" s="461"/>
      <c r="I56" s="461"/>
      <c r="J56" s="461"/>
      <c r="K56" s="461"/>
      <c r="L56" s="461"/>
      <c r="M56" s="463"/>
      <c r="N56" s="932"/>
      <c r="O56" s="932"/>
      <c r="P56" s="453"/>
      <c r="Q56" s="453"/>
    </row>
    <row r="57" spans="1:17" ht="15">
      <c r="A57" s="476" t="s">
        <v>1719</v>
      </c>
      <c r="B57" s="477" t="s">
        <v>1685</v>
      </c>
      <c r="C57" s="478">
        <f>C9</f>
        <v>0</v>
      </c>
      <c r="D57" s="479"/>
      <c r="E57" s="479"/>
      <c r="F57" s="479"/>
      <c r="G57" s="479"/>
      <c r="H57" s="479"/>
      <c r="I57" s="479"/>
      <c r="J57" s="479"/>
      <c r="K57" s="480"/>
      <c r="L57" s="481"/>
      <c r="M57" s="482"/>
      <c r="N57" s="933"/>
      <c r="O57" s="933"/>
      <c r="P57" s="42"/>
      <c r="Q57" s="453"/>
    </row>
    <row r="58" spans="1:17" ht="15" thickBot="1">
      <c r="A58" s="483"/>
      <c r="B58" s="484"/>
      <c r="C58" s="485">
        <v>100</v>
      </c>
      <c r="D58" s="485"/>
      <c r="E58" s="485"/>
      <c r="F58" s="485"/>
      <c r="G58" s="485"/>
      <c r="H58" s="485"/>
      <c r="I58" s="485"/>
      <c r="J58" s="485"/>
      <c r="K58" s="485"/>
      <c r="L58" s="485"/>
      <c r="M58" s="486"/>
      <c r="N58" s="934"/>
      <c r="O58" s="934"/>
      <c r="P58" s="42"/>
      <c r="Q58" s="453"/>
    </row>
    <row r="59" spans="1:17" ht="31" thickTop="1">
      <c r="A59" s="483"/>
      <c r="B59" s="487" t="s">
        <v>1688</v>
      </c>
      <c r="C59" s="532"/>
      <c r="D59" s="532"/>
      <c r="E59" s="532"/>
      <c r="F59" s="532"/>
      <c r="G59" s="532"/>
      <c r="H59" s="532"/>
      <c r="I59" s="532"/>
      <c r="J59" s="532"/>
      <c r="K59" s="533"/>
      <c r="L59" s="534"/>
      <c r="M59" s="535"/>
      <c r="N59" s="933"/>
      <c r="O59" s="933"/>
      <c r="P59" s="42"/>
      <c r="Q59" s="453"/>
    </row>
    <row r="60" spans="1:17" ht="15" thickBot="1">
      <c r="A60" s="483"/>
      <c r="B60" s="492"/>
      <c r="C60" s="485"/>
      <c r="D60" s="485"/>
      <c r="E60" s="485"/>
      <c r="F60" s="485"/>
      <c r="G60" s="485"/>
      <c r="H60" s="485"/>
      <c r="I60" s="485"/>
      <c r="J60" s="485"/>
      <c r="K60" s="485"/>
      <c r="L60" s="485"/>
      <c r="M60" s="486"/>
      <c r="N60" s="934"/>
      <c r="O60" s="934"/>
      <c r="P60" s="42"/>
      <c r="Q60" s="453"/>
    </row>
    <row r="61" spans="1:17" ht="16"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 thickTop="1">
      <c r="A64" s="502"/>
      <c r="B64" s="487">
        <f>B12</f>
        <v>111</v>
      </c>
      <c r="C64" s="503"/>
      <c r="D64" s="503"/>
      <c r="E64" s="503"/>
      <c r="F64" s="503"/>
      <c r="G64" s="503"/>
      <c r="H64" s="504"/>
      <c r="I64" s="504"/>
      <c r="J64" s="504"/>
      <c r="K64" s="504"/>
      <c r="L64" s="505"/>
      <c r="M64" s="506"/>
      <c r="N64" s="935"/>
      <c r="O64" s="935"/>
      <c r="P64" s="507"/>
      <c r="Q64" s="508"/>
    </row>
    <row r="65" spans="1:17" s="422" customFormat="1" ht="15" thickBot="1">
      <c r="A65" s="502"/>
      <c r="B65" s="492"/>
      <c r="C65" s="509"/>
      <c r="D65" s="485"/>
      <c r="E65" s="485"/>
      <c r="F65" s="485"/>
      <c r="G65" s="485"/>
      <c r="H65" s="485"/>
      <c r="I65" s="485"/>
      <c r="J65" s="485"/>
      <c r="K65" s="485"/>
      <c r="L65" s="485"/>
      <c r="M65" s="486"/>
      <c r="N65" s="934"/>
      <c r="O65" s="934"/>
      <c r="P65" s="507"/>
      <c r="Q65" s="508"/>
    </row>
    <row r="66" spans="1:17" s="422" customFormat="1" ht="15" thickTop="1">
      <c r="A66" s="502"/>
      <c r="B66" s="487">
        <f>B13</f>
        <v>111</v>
      </c>
      <c r="C66" s="503"/>
      <c r="D66" s="503"/>
      <c r="E66" s="503"/>
      <c r="F66" s="503"/>
      <c r="G66" s="503"/>
      <c r="H66" s="504"/>
      <c r="I66" s="504"/>
      <c r="J66" s="504"/>
      <c r="K66" s="504"/>
      <c r="L66" s="505"/>
      <c r="M66" s="506"/>
      <c r="N66" s="935"/>
      <c r="O66" s="935"/>
      <c r="P66" s="421"/>
      <c r="Q66" s="510"/>
    </row>
    <row r="67" spans="1:17" s="422" customFormat="1" ht="15" thickBot="1">
      <c r="A67" s="502"/>
      <c r="B67" s="492"/>
      <c r="C67" s="509"/>
      <c r="D67" s="485"/>
      <c r="E67" s="485"/>
      <c r="F67" s="485"/>
      <c r="G67" s="509"/>
      <c r="H67" s="511"/>
      <c r="I67" s="511"/>
      <c r="J67" s="511"/>
      <c r="K67" s="511"/>
      <c r="L67" s="511"/>
      <c r="M67" s="512"/>
      <c r="N67" s="935"/>
      <c r="O67" s="935"/>
      <c r="P67" s="507"/>
      <c r="Q67" s="508"/>
    </row>
    <row r="68" spans="1:17" s="422" customFormat="1" ht="15" thickTop="1">
      <c r="A68" s="502"/>
      <c r="B68" s="495">
        <f>B14</f>
        <v>111</v>
      </c>
      <c r="C68" s="472"/>
      <c r="D68" s="472"/>
      <c r="E68" s="472"/>
      <c r="F68" s="472"/>
      <c r="G68" s="472"/>
      <c r="H68" s="513"/>
      <c r="I68" s="513"/>
      <c r="J68" s="513"/>
      <c r="K68" s="513"/>
      <c r="L68" s="514"/>
      <c r="M68" s="515"/>
      <c r="N68" s="935"/>
      <c r="O68" s="935"/>
      <c r="P68" s="516"/>
      <c r="Q68" s="508"/>
    </row>
    <row r="69" spans="1:17" s="422" customFormat="1" ht="15" thickBot="1">
      <c r="A69" s="517"/>
      <c r="B69" s="518"/>
      <c r="C69" s="519"/>
      <c r="D69" s="519"/>
      <c r="E69" s="519"/>
      <c r="F69" s="519"/>
      <c r="G69" s="519"/>
      <c r="H69" s="520"/>
      <c r="I69" s="520"/>
      <c r="J69" s="520"/>
      <c r="K69" s="520"/>
      <c r="L69" s="520"/>
      <c r="M69" s="521"/>
      <c r="N69" s="935"/>
      <c r="O69" s="935"/>
      <c r="P69" s="507"/>
      <c r="Q69" s="508"/>
    </row>
    <row r="70" spans="1:17" ht="15">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6"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6"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6"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6"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 thickTop="1">
      <c r="A80" s="528"/>
      <c r="B80" s="487">
        <f>B25</f>
        <v>111</v>
      </c>
      <c r="C80" s="503"/>
      <c r="D80" s="503"/>
      <c r="E80" s="503"/>
      <c r="F80" s="503"/>
      <c r="G80" s="503"/>
      <c r="H80" s="503"/>
      <c r="I80" s="503"/>
      <c r="J80" s="503"/>
      <c r="K80" s="503"/>
      <c r="L80" s="529"/>
      <c r="M80" s="530"/>
      <c r="N80" s="932"/>
      <c r="O80" s="932"/>
      <c r="P80" s="42"/>
      <c r="Q80" s="453"/>
    </row>
    <row r="81" spans="1:17" s="108" customFormat="1" ht="15" thickBot="1">
      <c r="A81" s="528"/>
      <c r="B81" s="492"/>
      <c r="C81" s="509"/>
      <c r="D81" s="485"/>
      <c r="E81" s="485"/>
      <c r="F81" s="485"/>
      <c r="G81" s="485"/>
      <c r="H81" s="485"/>
      <c r="I81" s="485"/>
      <c r="J81" s="485"/>
      <c r="K81" s="485"/>
      <c r="L81" s="485"/>
      <c r="M81" s="486"/>
      <c r="N81" s="934"/>
      <c r="O81" s="934"/>
      <c r="P81" s="42"/>
      <c r="Q81" s="453"/>
    </row>
    <row r="82" spans="1:17" s="108" customFormat="1" ht="15" thickTop="1">
      <c r="A82" s="528"/>
      <c r="B82" s="487">
        <f>B26</f>
        <v>111</v>
      </c>
      <c r="C82" s="503"/>
      <c r="D82" s="503"/>
      <c r="E82" s="503"/>
      <c r="F82" s="503"/>
      <c r="G82" s="503"/>
      <c r="H82" s="503"/>
      <c r="I82" s="503"/>
      <c r="J82" s="503"/>
      <c r="K82" s="503"/>
      <c r="L82" s="529"/>
      <c r="M82" s="530"/>
      <c r="N82" s="932"/>
      <c r="O82" s="932"/>
      <c r="P82" s="42"/>
      <c r="Q82" s="453"/>
    </row>
    <row r="83" spans="1:17" s="108" customFormat="1" ht="15" thickBot="1">
      <c r="A83" s="528"/>
      <c r="B83" s="492"/>
      <c r="C83" s="509"/>
      <c r="D83" s="485"/>
      <c r="E83" s="485"/>
      <c r="F83" s="485"/>
      <c r="G83" s="485"/>
      <c r="H83" s="485"/>
      <c r="I83" s="485"/>
      <c r="J83" s="485"/>
      <c r="K83" s="485"/>
      <c r="L83" s="485"/>
      <c r="M83" s="486"/>
      <c r="N83" s="934"/>
      <c r="O83" s="934"/>
      <c r="P83" s="42"/>
      <c r="Q83" s="453"/>
    </row>
    <row r="84" spans="1:17" s="422" customFormat="1" ht="15" thickTop="1">
      <c r="A84" s="502"/>
      <c r="B84" s="487">
        <f>B27</f>
        <v>111</v>
      </c>
      <c r="C84" s="503"/>
      <c r="D84" s="503"/>
      <c r="E84" s="503"/>
      <c r="F84" s="503"/>
      <c r="G84" s="503"/>
      <c r="H84" s="503"/>
      <c r="I84" s="503"/>
      <c r="J84" s="503"/>
      <c r="K84" s="503"/>
      <c r="L84" s="529"/>
      <c r="M84" s="530"/>
      <c r="N84" s="935"/>
      <c r="O84" s="935"/>
      <c r="P84" s="507"/>
      <c r="Q84" s="508"/>
    </row>
    <row r="85" spans="1:17" s="422" customFormat="1" ht="15" thickBot="1">
      <c r="A85" s="502"/>
      <c r="B85" s="492"/>
      <c r="C85" s="509"/>
      <c r="D85" s="485"/>
      <c r="E85" s="485"/>
      <c r="F85" s="485"/>
      <c r="G85" s="485"/>
      <c r="H85" s="485"/>
      <c r="I85" s="485"/>
      <c r="J85" s="485"/>
      <c r="K85" s="485"/>
      <c r="L85" s="485"/>
      <c r="M85" s="486"/>
      <c r="N85" s="935"/>
      <c r="O85" s="935"/>
      <c r="P85" s="507"/>
      <c r="Q85" s="508"/>
    </row>
    <row r="86" spans="1:17" ht="15" thickTop="1">
      <c r="A86" s="483"/>
      <c r="B86" s="495">
        <f>B28</f>
        <v>111</v>
      </c>
      <c r="C86" s="472"/>
      <c r="D86" s="472"/>
      <c r="E86" s="472"/>
      <c r="F86" s="472"/>
      <c r="G86" s="536"/>
      <c r="H86" s="536"/>
      <c r="I86" s="536"/>
      <c r="J86" s="536"/>
      <c r="K86" s="537"/>
      <c r="L86" s="538"/>
      <c r="M86" s="539"/>
      <c r="N86" s="933"/>
      <c r="O86" s="933"/>
      <c r="P86" s="42"/>
      <c r="Q86" s="453"/>
    </row>
    <row r="87" spans="1:17" ht="15" thickBot="1">
      <c r="A87" s="1928"/>
      <c r="B87" s="518"/>
      <c r="C87" s="519"/>
      <c r="D87" s="519"/>
      <c r="E87" s="519"/>
      <c r="F87" s="519"/>
      <c r="G87" s="540"/>
      <c r="H87" s="540"/>
      <c r="I87" s="540"/>
      <c r="J87" s="540"/>
      <c r="K87" s="540"/>
      <c r="L87" s="540"/>
      <c r="M87" s="541"/>
      <c r="N87" s="934"/>
      <c r="O87" s="934"/>
      <c r="P87" s="42"/>
      <c r="Q87" s="453"/>
    </row>
    <row r="88" spans="1:17" ht="15">
      <c r="A88" s="476" t="s">
        <v>1694</v>
      </c>
      <c r="B88" s="477" t="s">
        <v>1736</v>
      </c>
      <c r="C88" s="479"/>
      <c r="D88" s="479"/>
      <c r="E88" s="479"/>
      <c r="F88" s="479"/>
      <c r="G88" s="479"/>
      <c r="H88" s="479"/>
      <c r="I88" s="479"/>
      <c r="J88" s="479"/>
      <c r="K88" s="480"/>
      <c r="L88" s="481"/>
      <c r="M88" s="482"/>
      <c r="N88" s="933"/>
      <c r="O88" s="933"/>
      <c r="P88" s="42"/>
      <c r="Q88" s="453"/>
    </row>
    <row r="89" spans="1:17" ht="1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6"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 thickBot="1">
      <c r="A92" s="502"/>
      <c r="B92" s="492"/>
      <c r="C92" s="509"/>
      <c r="D92" s="485"/>
      <c r="E92" s="485"/>
      <c r="F92" s="485"/>
      <c r="G92" s="485"/>
      <c r="H92" s="485"/>
      <c r="I92" s="485"/>
      <c r="J92" s="485"/>
      <c r="K92" s="485"/>
      <c r="L92" s="485"/>
      <c r="M92" s="486"/>
      <c r="N92" s="934"/>
      <c r="O92" s="934"/>
      <c r="P92" s="507"/>
      <c r="Q92" s="508"/>
    </row>
    <row r="93" spans="1:17" ht="16" thickTop="1">
      <c r="A93" s="548"/>
      <c r="B93" s="487" t="s">
        <v>1738</v>
      </c>
      <c r="C93" s="503"/>
      <c r="D93" s="503"/>
      <c r="E93" s="532"/>
      <c r="F93" s="532"/>
      <c r="G93" s="532"/>
      <c r="H93" s="532"/>
      <c r="I93" s="532"/>
      <c r="J93" s="532"/>
      <c r="K93" s="533"/>
      <c r="L93" s="534"/>
      <c r="M93" s="535"/>
      <c r="N93" s="933"/>
      <c r="O93" s="933"/>
      <c r="P93" s="42"/>
      <c r="Q93" s="453"/>
    </row>
    <row r="94" spans="1:17" ht="1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6" thickTop="1">
      <c r="A95" s="548"/>
      <c r="B95" s="487" t="s">
        <v>1740</v>
      </c>
      <c r="C95" s="503"/>
      <c r="D95" s="503"/>
      <c r="E95" s="503"/>
      <c r="F95" s="532"/>
      <c r="G95" s="532"/>
      <c r="H95" s="532"/>
      <c r="I95" s="532"/>
      <c r="J95" s="532"/>
      <c r="K95" s="533"/>
      <c r="L95" s="534"/>
      <c r="M95" s="535"/>
      <c r="N95" s="933"/>
      <c r="O95" s="933"/>
      <c r="P95" s="42"/>
      <c r="Q95" s="453"/>
    </row>
    <row r="96" spans="1:17" ht="1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6"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6"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6" thickTop="1">
      <c r="A102" s="548"/>
      <c r="B102" s="487" t="s">
        <v>1742</v>
      </c>
      <c r="C102" s="503"/>
      <c r="D102" s="503"/>
      <c r="E102" s="503"/>
      <c r="F102" s="503"/>
      <c r="G102" s="503"/>
      <c r="H102" s="532"/>
      <c r="I102" s="532"/>
      <c r="J102" s="532"/>
      <c r="K102" s="533"/>
      <c r="L102" s="534"/>
      <c r="M102" s="535"/>
      <c r="N102" s="933"/>
      <c r="O102" s="933"/>
      <c r="P102" s="42"/>
      <c r="Q102" s="453"/>
    </row>
    <row r="103" spans="1:17" ht="1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6" thickTop="1">
      <c r="A104" s="548"/>
      <c r="B104" s="487" t="s">
        <v>1744</v>
      </c>
      <c r="C104" s="503"/>
      <c r="D104" s="503"/>
      <c r="E104" s="503"/>
      <c r="F104" s="503"/>
      <c r="G104" s="503"/>
      <c r="H104" s="532"/>
      <c r="I104" s="532"/>
      <c r="J104" s="532"/>
      <c r="K104" s="533"/>
      <c r="L104" s="534"/>
      <c r="M104" s="535"/>
      <c r="N104" s="933"/>
      <c r="O104" s="933"/>
      <c r="P104" s="42"/>
      <c r="Q104" s="453"/>
    </row>
    <row r="105" spans="1:17" ht="1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6"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P91" sqref="P91"/>
    </sheetView>
  </sheetViews>
  <sheetFormatPr baseColWidth="10" defaultColWidth="9" defaultRowHeight="14"/>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5.5" style="357" customWidth="1"/>
    <col min="10" max="10" width="12.1640625" style="357" customWidth="1"/>
    <col min="11" max="11" width="12.1640625" style="444" customWidth="1"/>
    <col min="12" max="12" width="12.1640625" style="445" customWidth="1"/>
    <col min="13" max="15" width="12.1640625" style="357" customWidth="1"/>
    <col min="16" max="16" width="4.6640625" style="906"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6"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6" thickBot="1">
      <c r="A7" s="362" t="s">
        <v>1679</v>
      </c>
      <c r="B7" s="363"/>
      <c r="C7" s="364">
        <f>'数据-取费表'!B2</f>
        <v>44916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6"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ht="15">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30">
      <c r="A10" s="589"/>
      <c r="B10" s="590" t="s">
        <v>1688</v>
      </c>
      <c r="C10" s="3437"/>
      <c r="D10" s="127">
        <v>100</v>
      </c>
      <c r="E10" s="3437"/>
      <c r="F10" s="127">
        <f>SUMIF(55:55,E10,56:56)-SUMIF(55:55,C10,56:56)+100</f>
        <v>100</v>
      </c>
      <c r="G10" s="3438"/>
      <c r="H10" s="127">
        <f>SUMIF(55:55,G10,56:56)-SUMIF(55:55,C10,56:56)+100</f>
        <v>100</v>
      </c>
      <c r="I10" s="3437"/>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6">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6">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7"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6">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6">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16">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6">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16">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6">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16">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6">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6">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6">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6">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7"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6">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6">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6">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6">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6">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6">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6">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6">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6">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7"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5">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31"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6"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6"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6"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6"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6"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31"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6"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6"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6"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6"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6"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6"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6"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Q90" sqref="Q90"/>
    </sheetView>
  </sheetViews>
  <sheetFormatPr baseColWidth="10" defaultColWidth="9" defaultRowHeight="14"/>
  <cols>
    <col min="1" max="1" width="10.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6"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6" thickBot="1">
      <c r="A7" s="362" t="s">
        <v>1679</v>
      </c>
      <c r="B7" s="363"/>
      <c r="C7" s="364">
        <f>'数据-取费表'!B2</f>
        <v>44916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6"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ht="15">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30">
      <c r="A10" s="374"/>
      <c r="B10" s="375" t="s">
        <v>1688</v>
      </c>
      <c r="C10" s="3437"/>
      <c r="D10" s="127">
        <v>100</v>
      </c>
      <c r="E10" s="3437"/>
      <c r="F10" s="376">
        <f>SUMIF(53:53,E10,54:54)-SUMIF(53:53,C10,54:54)+100</f>
        <v>100</v>
      </c>
      <c r="G10" s="3437"/>
      <c r="H10" s="127">
        <f>SUMIF(53:53,G10,54:54)-SUMIF(53:53,C10,54:54)+100</f>
        <v>100</v>
      </c>
      <c r="I10" s="3437"/>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6">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6">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7"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6">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6">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16">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6">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16">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6">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16">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6">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6">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6">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6">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7"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6">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6">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6">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6">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6">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6">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6">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7"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5">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31"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6"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31"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6"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6"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6"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6"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6"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6"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6"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6"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6"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baseColWidth="10" defaultColWidth="9" defaultRowHeight="14"/>
  <cols>
    <col min="1" max="1" width="14.33203125" style="357" customWidth="1"/>
    <col min="2" max="2" width="15.6640625" style="357" customWidth="1"/>
    <col min="3" max="3" width="14.33203125" style="357" customWidth="1"/>
    <col min="4" max="4" width="14.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6"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6" thickBot="1">
      <c r="A7" s="362" t="s">
        <v>1679</v>
      </c>
      <c r="B7" s="363"/>
      <c r="C7" s="364">
        <f>'数据-取费表'!B2</f>
        <v>44916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6"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ht="15">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30">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22"/>
      <c r="Q10" s="1343" t="str">
        <f t="shared" si="6"/>
        <v>土地使用年限（年）</v>
      </c>
      <c r="R10" s="701" t="s">
        <v>14</v>
      </c>
      <c r="S10" s="702">
        <f t="shared" si="0"/>
        <v>113</v>
      </c>
      <c r="T10" s="701" t="s">
        <v>14</v>
      </c>
      <c r="U10" s="702">
        <f t="shared" si="1"/>
        <v>113</v>
      </c>
      <c r="V10" s="701" t="s">
        <v>14</v>
      </c>
      <c r="W10" s="702">
        <f t="shared" si="2"/>
        <v>113</v>
      </c>
      <c r="X10" s="703"/>
      <c r="Y10" s="3615"/>
      <c r="Z10" s="52" t="str">
        <f t="shared" si="7"/>
        <v>土地使用年限（年）</v>
      </c>
      <c r="AA10" s="704">
        <f t="shared" si="3"/>
        <v>0.88495575221238942</v>
      </c>
      <c r="AB10" s="704">
        <f t="shared" si="4"/>
        <v>0.88495575221238942</v>
      </c>
      <c r="AC10" s="704">
        <f t="shared" si="5"/>
        <v>0.88495575221238942</v>
      </c>
    </row>
    <row r="11" spans="1:30" ht="16">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6">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6">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7"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16">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6">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16">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6">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6">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6">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16">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6">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6">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6">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30">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6">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16">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6">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16">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6">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6">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30">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6">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6">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6">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6">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7"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20">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6">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6">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6">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6">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6">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6">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7"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25739.82</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5" thickBot="1">
      <c r="A65" s="643" t="s">
        <v>1903</v>
      </c>
      <c r="B65" s="644" t="s">
        <v>22</v>
      </c>
      <c r="C65" s="644" t="s">
        <v>23</v>
      </c>
      <c r="D65" s="644" t="s">
        <v>392</v>
      </c>
      <c r="E65" s="644">
        <f>IF(B46="楼面地价",SUM(E56:E64),'数据-汇总表'!D3)</f>
        <v>25739.82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5">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31"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6"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6"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5">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6"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6"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6"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6"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31"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6"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6"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6"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31"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6"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5">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6"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6"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6"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6"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baseColWidth="10" defaultColWidth="9" defaultRowHeight="14"/>
  <cols>
    <col min="1" max="1" width="14.33203125" style="357" customWidth="1"/>
    <col min="2" max="2" width="15.6640625" style="357" customWidth="1"/>
    <col min="3" max="3" width="14.33203125" style="357" customWidth="1"/>
    <col min="4" max="4" width="12.1640625" style="357" customWidth="1"/>
    <col min="5" max="5" width="14.33203125" style="357" customWidth="1"/>
    <col min="6" max="6" width="12.1640625" style="357" customWidth="1"/>
    <col min="7" max="7" width="14.5" style="357" customWidth="1"/>
    <col min="8" max="8" width="12.1640625" style="357" customWidth="1"/>
    <col min="9" max="9" width="14.5" style="357" customWidth="1"/>
    <col min="10" max="10" width="12.1640625" style="357" customWidth="1"/>
    <col min="11" max="11" width="12.1640625" style="444" customWidth="1"/>
    <col min="12" max="12" width="12.1640625" style="445" customWidth="1"/>
    <col min="13" max="15" width="12.1640625" style="357" customWidth="1"/>
    <col min="16" max="16" width="4.6640625" style="357" customWidth="1"/>
    <col min="17" max="17" width="19.5" style="357" customWidth="1"/>
    <col min="18" max="22" width="6.1640625" style="357" customWidth="1"/>
    <col min="23" max="23" width="5.6640625" style="357" customWidth="1"/>
    <col min="24" max="24" width="4.1640625" style="357" customWidth="1"/>
    <col min="25" max="25" width="3.5" style="357" customWidth="1"/>
    <col min="26" max="26" width="19.664062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6"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6" thickBot="1">
      <c r="A7" s="362" t="s">
        <v>1679</v>
      </c>
      <c r="B7" s="363"/>
      <c r="C7" s="364">
        <f>'数据-取费表'!B2</f>
        <v>44916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6"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ht="15">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30">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22"/>
      <c r="Q10" s="1343" t="str">
        <f t="shared" si="6"/>
        <v>土地使用年限（年）</v>
      </c>
      <c r="R10" s="701" t="s">
        <v>14</v>
      </c>
      <c r="S10" s="702">
        <f t="shared" si="0"/>
        <v>113</v>
      </c>
      <c r="T10" s="701" t="s">
        <v>14</v>
      </c>
      <c r="U10" s="702">
        <f t="shared" si="1"/>
        <v>113</v>
      </c>
      <c r="V10" s="701" t="s">
        <v>14</v>
      </c>
      <c r="W10" s="702">
        <f t="shared" si="2"/>
        <v>113</v>
      </c>
      <c r="X10" s="703"/>
      <c r="Y10" s="3615"/>
      <c r="Z10" s="52" t="str">
        <f t="shared" si="7"/>
        <v>土地使用年限（年）</v>
      </c>
      <c r="AA10" s="704">
        <f t="shared" si="3"/>
        <v>0.88495575221238942</v>
      </c>
      <c r="AB10" s="704">
        <f t="shared" si="4"/>
        <v>0.88495575221238942</v>
      </c>
      <c r="AC10" s="704">
        <f t="shared" si="5"/>
        <v>0.88495575221238942</v>
      </c>
    </row>
    <row r="11" spans="1:29" ht="16">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6">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6">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7"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16">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6">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16">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6">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6">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6">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16">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6">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16">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6">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16">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6">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6">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30">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6">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6">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6">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6">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7"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6">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6">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6">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6">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6">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6">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7"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30">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25739.82</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74231.63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5">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31"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6"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5">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6"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6"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31"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6"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6"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6"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31"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6"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5">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6"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6"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6"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baseColWidth="10" defaultColWidth="9" defaultRowHeight="13"/>
  <cols>
    <col min="1" max="1" width="11.5" style="130" customWidth="1"/>
    <col min="2" max="2" width="9.16406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15">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4"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15">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4"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15">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4"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5">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4"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5">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4"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5">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4"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5">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4"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t="15">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4"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ht="14">
      <c r="A19" s="129"/>
      <c r="B19" s="159"/>
      <c r="C19" s="159"/>
      <c r="D19" s="2150" t="s">
        <v>2095</v>
      </c>
      <c r="E19" s="1340"/>
      <c r="F19" s="1340"/>
      <c r="G19" s="1340"/>
      <c r="H19" s="1059"/>
      <c r="I19" s="159"/>
      <c r="J19" s="159"/>
      <c r="K19" s="159"/>
      <c r="L19" s="159"/>
      <c r="M19" s="159"/>
      <c r="N19" s="159"/>
      <c r="O19" s="159"/>
      <c r="P19" s="159"/>
      <c r="Q19" s="159"/>
      <c r="R19" s="718"/>
      <c r="S19" s="129"/>
    </row>
    <row r="20" spans="1:45" ht="17"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ht="14">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30">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ht="14">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477" customWidth="1"/>
    <col min="2" max="2" width="12.5" style="1477" customWidth="1"/>
    <col min="3" max="3" width="12.1640625" style="1477" customWidth="1"/>
    <col min="4" max="4" width="14.1640625" style="1477" customWidth="1"/>
    <col min="5" max="5" width="12.5" style="1477" customWidth="1"/>
    <col min="6" max="16384" width="9" style="1477"/>
  </cols>
  <sheetData>
    <row r="1" spans="1:16" ht="20">
      <c r="A1" s="1867" t="s">
        <v>2081</v>
      </c>
      <c r="B1" s="2147"/>
      <c r="C1" s="2147"/>
      <c r="D1" s="2147"/>
      <c r="E1" s="2147"/>
      <c r="F1" s="2793"/>
      <c r="G1" s="2793"/>
      <c r="H1" s="2793"/>
      <c r="I1" s="2793"/>
      <c r="J1" s="2793"/>
      <c r="K1" s="2793"/>
      <c r="L1" s="2793"/>
      <c r="M1" s="2793"/>
      <c r="N1" s="2793"/>
      <c r="O1" s="2793"/>
      <c r="P1" s="2793"/>
    </row>
    <row r="2" spans="1:16" ht="16">
      <c r="A2" s="2145" t="s">
        <v>2073</v>
      </c>
      <c r="B2" s="2602">
        <f ca="1">SUMIF(B6:B13,"&lt;&gt;#ref!",B6:B13)</f>
        <v>6755</v>
      </c>
      <c r="C2" s="2145" t="s">
        <v>2074</v>
      </c>
      <c r="D2" s="2145" t="s">
        <v>2075</v>
      </c>
      <c r="E2" s="2612">
        <f ca="1">SUMIF(E6:E13,"&lt;&gt;#ref!",E6:E13)</f>
        <v>74231.63</v>
      </c>
      <c r="F2" s="2793"/>
      <c r="G2" s="2793"/>
      <c r="H2" s="2793"/>
      <c r="I2" s="2793"/>
      <c r="J2" s="2793"/>
      <c r="K2" s="2793"/>
      <c r="L2" s="2793"/>
      <c r="M2" s="2793"/>
      <c r="N2" s="2793"/>
      <c r="O2" s="2793"/>
      <c r="P2" s="2793"/>
    </row>
    <row r="3" spans="1:16" ht="16">
      <c r="A3" s="2145" t="s">
        <v>2076</v>
      </c>
      <c r="B3" s="2602">
        <f ca="1">ROUND(B2*10000/E2,0)</f>
        <v>910</v>
      </c>
      <c r="C3" s="2145" t="s">
        <v>2082</v>
      </c>
      <c r="D3" s="2793"/>
      <c r="E3" s="2793"/>
      <c r="F3" s="2793"/>
      <c r="G3" s="2793"/>
      <c r="H3" s="2793"/>
      <c r="I3" s="2793"/>
      <c r="J3" s="2793"/>
      <c r="K3" s="2793"/>
      <c r="L3" s="2793"/>
      <c r="M3" s="2793"/>
      <c r="N3" s="2793"/>
      <c r="O3" s="2793"/>
      <c r="P3" s="2793"/>
    </row>
    <row r="4" spans="1:16" ht="16">
      <c r="A4" s="2794"/>
      <c r="B4" s="2793"/>
      <c r="C4" s="2793"/>
      <c r="D4" s="2793"/>
      <c r="E4" s="2793"/>
      <c r="F4" s="2793"/>
      <c r="G4" s="2793"/>
      <c r="H4" s="2793"/>
      <c r="I4" s="2793"/>
      <c r="J4" s="2793"/>
      <c r="K4" s="2793"/>
      <c r="L4" s="2793"/>
      <c r="M4" s="2793"/>
      <c r="N4" s="2793"/>
      <c r="O4" s="2793"/>
      <c r="P4" s="2793"/>
    </row>
    <row r="5" spans="1:16" ht="32">
      <c r="A5" s="2608" t="s">
        <v>2077</v>
      </c>
      <c r="B5" s="2610" t="s">
        <v>2078</v>
      </c>
      <c r="C5" s="2146"/>
      <c r="D5" s="2793"/>
      <c r="E5" s="2611" t="s">
        <v>2079</v>
      </c>
      <c r="F5" s="2793"/>
      <c r="G5" s="2793"/>
      <c r="H5" s="2793"/>
      <c r="I5" s="2793"/>
      <c r="J5" s="2793"/>
      <c r="K5" s="2793"/>
      <c r="L5" s="2793"/>
      <c r="M5" s="2793"/>
      <c r="N5" s="2793"/>
      <c r="O5" s="2793"/>
      <c r="P5" s="2793"/>
    </row>
    <row r="6" spans="1:16" ht="16">
      <c r="A6" s="2609" t="s">
        <v>2080</v>
      </c>
      <c r="B6" s="2602">
        <f ca="1">SUMIF(INDIRECT("'"&amp;A6&amp;"'"&amp;"!A:A"),"总价",INDIRECT("'"&amp;A6&amp;"'"&amp;"!B:B"))</f>
        <v>6755</v>
      </c>
      <c r="C6" s="2145" t="s">
        <v>2074</v>
      </c>
      <c r="D6" s="2793"/>
      <c r="E6" s="2612">
        <f ca="1">SUMIF(INDIRECT("'"&amp;A6&amp;"'"&amp;"!C:C"),"建筑面积",INDIRECT("'"&amp;A6&amp;"'"&amp;"!D:D"))</f>
        <v>74231.63</v>
      </c>
      <c r="F6" s="2793"/>
      <c r="G6" s="2793"/>
      <c r="H6" s="2793"/>
      <c r="I6" s="2793"/>
      <c r="J6" s="2793"/>
      <c r="K6" s="2793"/>
      <c r="L6" s="2793"/>
      <c r="M6" s="2793"/>
      <c r="N6" s="2793"/>
      <c r="O6" s="2793"/>
      <c r="P6" s="2793"/>
    </row>
    <row r="7" spans="1:16" ht="1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baseColWidth="10" defaultColWidth="8.1640625" defaultRowHeight="19.5" customHeight="1"/>
  <cols>
    <col min="1" max="13" width="15.1640625" style="3074" customWidth="1"/>
    <col min="14" max="14" width="10" style="3074" customWidth="1"/>
    <col min="15" max="16" width="8.1640625" style="3074"/>
    <col min="17" max="17" width="34.1640625" style="3074" customWidth="1"/>
    <col min="18" max="18" width="8.1640625" style="3074" customWidth="1"/>
    <col min="19" max="19" width="8.1640625" style="3074"/>
    <col min="20" max="20" width="11.6640625" style="3074" customWidth="1"/>
    <col min="21" max="16384" width="8.1640625" style="3074"/>
  </cols>
  <sheetData>
    <row r="1" spans="1:13" ht="19.5" customHeight="1" thickBot="1">
      <c r="A1" s="3071" t="s">
        <v>2588</v>
      </c>
      <c r="B1" s="3072" t="s">
        <v>2589</v>
      </c>
      <c r="C1" s="3072" t="s">
        <v>2590</v>
      </c>
      <c r="D1" s="3072" t="s">
        <v>2591</v>
      </c>
      <c r="E1" s="3072" t="s">
        <v>2592</v>
      </c>
      <c r="F1" s="3072" t="s">
        <v>2593</v>
      </c>
      <c r="G1" s="3072" t="s">
        <v>2594</v>
      </c>
      <c r="H1" s="3072" t="s">
        <v>2595</v>
      </c>
      <c r="I1" s="3072" t="s">
        <v>2596</v>
      </c>
      <c r="J1" s="3072" t="s">
        <v>2597</v>
      </c>
      <c r="K1" s="3072" t="s">
        <v>2598</v>
      </c>
      <c r="L1" s="3072" t="s">
        <v>2599</v>
      </c>
      <c r="M1" s="3073" t="s">
        <v>2600</v>
      </c>
    </row>
    <row r="2" spans="1:13" ht="19.5" customHeight="1">
      <c r="A2" s="3075" t="s">
        <v>2601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2617</v>
      </c>
      <c r="B18" s="3097"/>
      <c r="C18" s="3098"/>
      <c r="D18" s="3098"/>
      <c r="E18" s="3097"/>
      <c r="F18" s="3098"/>
      <c r="G18" s="3098"/>
    </row>
    <row r="19" spans="1:13" ht="19.5" customHeight="1" thickBot="1">
      <c r="A19" s="3095" t="s">
        <v>2618</v>
      </c>
      <c r="B19" s="3100" t="s">
        <v>2619</v>
      </c>
      <c r="C19" s="3100" t="s">
        <v>2620</v>
      </c>
      <c r="D19" s="3101"/>
      <c r="E19" s="3095" t="s">
        <v>2621</v>
      </c>
      <c r="F19" s="3102"/>
      <c r="G19" s="3102"/>
    </row>
    <row r="20" spans="1:13" ht="19.5" customHeight="1">
      <c r="A20" s="3770" t="s">
        <v>2601</v>
      </c>
      <c r="B20" s="3763" t="s">
        <v>2622</v>
      </c>
      <c r="C20" s="3103" t="s">
        <v>2433</v>
      </c>
      <c r="D20" s="3104"/>
      <c r="E20" s="3105">
        <v>1</v>
      </c>
      <c r="F20" s="3106" t="s">
        <v>2434</v>
      </c>
      <c r="G20" s="3106"/>
    </row>
    <row r="21" spans="1:13" ht="19.5" customHeight="1">
      <c r="A21" s="3771"/>
      <c r="B21" s="3764"/>
      <c r="C21" s="3107" t="s">
        <v>2435</v>
      </c>
      <c r="D21" s="3108"/>
      <c r="E21" s="3109">
        <v>1</v>
      </c>
      <c r="F21" s="3106" t="s">
        <v>2436</v>
      </c>
      <c r="G21" s="3106"/>
    </row>
    <row r="22" spans="1:13" ht="19.5" customHeight="1">
      <c r="A22" s="3771"/>
      <c r="B22" s="3764"/>
      <c r="C22" s="3107" t="s">
        <v>2437</v>
      </c>
      <c r="D22" s="3108"/>
      <c r="E22" s="3109">
        <v>0.9</v>
      </c>
      <c r="F22" s="3106" t="s">
        <v>2438</v>
      </c>
      <c r="G22" s="3106"/>
    </row>
    <row r="23" spans="1:13" ht="19.5" customHeight="1">
      <c r="A23" s="3771"/>
      <c r="B23" s="3764"/>
      <c r="C23" s="3107" t="s">
        <v>2439</v>
      </c>
      <c r="D23" s="3108"/>
      <c r="E23" s="3109">
        <v>0.9</v>
      </c>
      <c r="F23" s="3106" t="s">
        <v>2440</v>
      </c>
      <c r="G23" s="3106"/>
    </row>
    <row r="24" spans="1:13" ht="19.5" customHeight="1">
      <c r="A24" s="3771"/>
      <c r="B24" s="3764"/>
      <c r="C24" s="3107" t="s">
        <v>2441</v>
      </c>
      <c r="D24" s="3108"/>
      <c r="E24" s="3109">
        <v>0.8</v>
      </c>
      <c r="F24" s="3106" t="s">
        <v>2442</v>
      </c>
      <c r="G24" s="3106"/>
    </row>
    <row r="25" spans="1:13" ht="19.5" customHeight="1" thickBot="1">
      <c r="A25" s="3772"/>
      <c r="B25" s="3765"/>
      <c r="C25" s="3110" t="s">
        <v>2443</v>
      </c>
      <c r="D25" s="3111"/>
      <c r="E25" s="3112">
        <v>0.8</v>
      </c>
      <c r="F25" s="3106" t="s">
        <v>2444</v>
      </c>
      <c r="G25" s="3106"/>
    </row>
    <row r="26" spans="1:13" ht="19.5" customHeight="1" thickBot="1">
      <c r="A26" s="3113" t="s">
        <v>2623</v>
      </c>
      <c r="B26" s="3114" t="s">
        <v>2622</v>
      </c>
      <c r="C26" s="3115" t="s">
        <v>2624</v>
      </c>
      <c r="D26" s="3116"/>
      <c r="E26" s="3117">
        <v>1</v>
      </c>
      <c r="F26" s="3106" t="s">
        <v>2445</v>
      </c>
      <c r="G26" s="3106"/>
    </row>
    <row r="27" spans="1:13" ht="19.5" customHeight="1">
      <c r="A27" s="3766" t="s">
        <v>2625</v>
      </c>
      <c r="B27" s="3763" t="s">
        <v>2606</v>
      </c>
      <c r="C27" s="3103" t="s">
        <v>2446</v>
      </c>
      <c r="D27" s="3104"/>
      <c r="E27" s="3105">
        <v>1</v>
      </c>
      <c r="F27" s="3106" t="s">
        <v>2447</v>
      </c>
      <c r="G27" s="3106"/>
    </row>
    <row r="28" spans="1:13" ht="19.5" customHeight="1">
      <c r="A28" s="3767"/>
      <c r="B28" s="3764"/>
      <c r="C28" s="3107" t="s">
        <v>2448</v>
      </c>
      <c r="D28" s="3108"/>
      <c r="E28" s="3109">
        <v>1</v>
      </c>
      <c r="F28" s="3106" t="s">
        <v>2449</v>
      </c>
      <c r="G28" s="3106"/>
    </row>
    <row r="29" spans="1:13" ht="19.5" customHeight="1">
      <c r="A29" s="3767"/>
      <c r="B29" s="3764"/>
      <c r="C29" s="3107" t="s">
        <v>2450</v>
      </c>
      <c r="D29" s="3108"/>
      <c r="E29" s="3109">
        <v>0.8</v>
      </c>
      <c r="F29" s="3106" t="s">
        <v>2451</v>
      </c>
      <c r="G29" s="3106"/>
    </row>
    <row r="30" spans="1:13" ht="19.5" customHeight="1">
      <c r="A30" s="3767"/>
      <c r="B30" s="3764"/>
      <c r="C30" s="3107" t="s">
        <v>2452</v>
      </c>
      <c r="D30" s="3108"/>
      <c r="E30" s="3109">
        <v>0.8</v>
      </c>
      <c r="F30" s="3106" t="s">
        <v>2453</v>
      </c>
      <c r="G30" s="3106"/>
    </row>
    <row r="31" spans="1:13" ht="19.5" customHeight="1">
      <c r="A31" s="3767"/>
      <c r="B31" s="3764"/>
      <c r="C31" s="3107" t="s">
        <v>2454</v>
      </c>
      <c r="D31" s="3108"/>
      <c r="E31" s="3109">
        <v>0.8</v>
      </c>
      <c r="F31" s="3106" t="s">
        <v>2455</v>
      </c>
      <c r="G31" s="3106"/>
    </row>
    <row r="32" spans="1:13" ht="19.5" customHeight="1">
      <c r="A32" s="3767"/>
      <c r="B32" s="3764"/>
      <c r="C32" s="3107" t="s">
        <v>2456</v>
      </c>
      <c r="D32" s="3108"/>
      <c r="E32" s="3109">
        <v>0.7</v>
      </c>
      <c r="F32" s="3106" t="s">
        <v>2457</v>
      </c>
      <c r="G32" s="3106"/>
    </row>
    <row r="33" spans="1:7" ht="19.5" customHeight="1">
      <c r="A33" s="3767"/>
      <c r="B33" s="3764"/>
      <c r="C33" s="3107" t="s">
        <v>2458</v>
      </c>
      <c r="D33" s="3108"/>
      <c r="E33" s="3109">
        <v>0.8</v>
      </c>
      <c r="F33" s="3106" t="s">
        <v>2459</v>
      </c>
      <c r="G33" s="3106"/>
    </row>
    <row r="34" spans="1:7" ht="19.5" customHeight="1">
      <c r="A34" s="3767"/>
      <c r="B34" s="3764"/>
      <c r="C34" s="3107" t="s">
        <v>2460</v>
      </c>
      <c r="D34" s="3108"/>
      <c r="E34" s="3109">
        <v>0.6</v>
      </c>
      <c r="F34" s="3106" t="s">
        <v>2461</v>
      </c>
      <c r="G34" s="3106"/>
    </row>
    <row r="35" spans="1:7" ht="19.5" customHeight="1">
      <c r="A35" s="3767"/>
      <c r="B35" s="3764"/>
      <c r="C35" s="3107" t="s">
        <v>2462</v>
      </c>
      <c r="D35" s="3108"/>
      <c r="E35" s="3109">
        <v>0.2</v>
      </c>
      <c r="F35" s="3106" t="s">
        <v>2463</v>
      </c>
      <c r="G35" s="3106"/>
    </row>
    <row r="36" spans="1:7" ht="19.5" customHeight="1">
      <c r="A36" s="3767"/>
      <c r="B36" s="3764"/>
      <c r="C36" s="3107" t="s">
        <v>2464</v>
      </c>
      <c r="D36" s="3108"/>
      <c r="E36" s="3109">
        <v>0.2</v>
      </c>
      <c r="F36" s="3106" t="s">
        <v>2465</v>
      </c>
      <c r="G36" s="3106"/>
    </row>
    <row r="37" spans="1:7" ht="19.5" customHeight="1">
      <c r="A37" s="3767"/>
      <c r="B37" s="3769" t="s">
        <v>2626</v>
      </c>
      <c r="C37" s="3107" t="s">
        <v>2466</v>
      </c>
      <c r="D37" s="3108"/>
      <c r="E37" s="3109">
        <v>0.6</v>
      </c>
      <c r="F37" s="3106" t="s">
        <v>2467</v>
      </c>
      <c r="G37" s="3106"/>
    </row>
    <row r="38" spans="1:7" ht="19.5" customHeight="1">
      <c r="A38" s="3767"/>
      <c r="B38" s="3764"/>
      <c r="C38" s="3107" t="s">
        <v>2468</v>
      </c>
      <c r="D38" s="3108"/>
      <c r="E38" s="3109">
        <v>0.6</v>
      </c>
      <c r="F38" s="3106" t="s">
        <v>2469</v>
      </c>
      <c r="G38" s="3106"/>
    </row>
    <row r="39" spans="1:7" ht="19.5" customHeight="1" thickBot="1">
      <c r="A39" s="3768"/>
      <c r="B39" s="3765"/>
      <c r="C39" s="3110" t="s">
        <v>2470</v>
      </c>
      <c r="D39" s="3111"/>
      <c r="E39" s="3112">
        <v>0.6</v>
      </c>
      <c r="F39" s="3106" t="s">
        <v>2471</v>
      </c>
      <c r="G39" s="3106"/>
    </row>
    <row r="40" spans="1:7" ht="19.5" customHeight="1" thickBot="1">
      <c r="A40" s="3113" t="s">
        <v>2603</v>
      </c>
      <c r="B40" s="3114" t="s">
        <v>2603</v>
      </c>
      <c r="C40" s="3115" t="s">
        <v>2627</v>
      </c>
      <c r="D40" s="3116"/>
      <c r="E40" s="3117">
        <v>1</v>
      </c>
      <c r="F40" s="3106" t="s">
        <v>2472</v>
      </c>
      <c r="G40" s="3106"/>
    </row>
    <row r="41" spans="1:7" ht="19.5" customHeight="1">
      <c r="A41" s="3770" t="s">
        <v>2604</v>
      </c>
      <c r="B41" s="3763" t="s">
        <v>2628</v>
      </c>
      <c r="C41" s="3103" t="s">
        <v>2473</v>
      </c>
      <c r="D41" s="3104"/>
      <c r="E41" s="3105">
        <v>1</v>
      </c>
      <c r="F41" s="3106" t="s">
        <v>2474</v>
      </c>
      <c r="G41" s="3106"/>
    </row>
    <row r="42" spans="1:7" ht="19.5" customHeight="1">
      <c r="A42" s="3771"/>
      <c r="B42" s="3764"/>
      <c r="C42" s="3107" t="s">
        <v>2475</v>
      </c>
      <c r="D42" s="3108"/>
      <c r="E42" s="3109">
        <v>1</v>
      </c>
      <c r="F42" s="3106" t="s">
        <v>2476</v>
      </c>
      <c r="G42" s="3106"/>
    </row>
    <row r="43" spans="1:7" ht="19.5" customHeight="1">
      <c r="A43" s="3771"/>
      <c r="B43" s="3773"/>
      <c r="C43" s="3107" t="s">
        <v>2477</v>
      </c>
      <c r="D43" s="3108"/>
      <c r="E43" s="3109">
        <v>1.5</v>
      </c>
      <c r="F43" s="3106" t="s">
        <v>2478</v>
      </c>
      <c r="G43" s="3106"/>
    </row>
    <row r="44" spans="1:7" ht="19.5" customHeight="1">
      <c r="A44" s="3771"/>
      <c r="B44" s="3118" t="s">
        <v>2629</v>
      </c>
      <c r="C44" s="3107" t="s">
        <v>2630</v>
      </c>
      <c r="D44" s="3108"/>
      <c r="E44" s="3109">
        <v>2</v>
      </c>
      <c r="F44" s="3106" t="s">
        <v>2479</v>
      </c>
      <c r="G44" s="3106"/>
    </row>
    <row r="45" spans="1:7" ht="19.5" customHeight="1">
      <c r="A45" s="3771"/>
      <c r="B45" s="3769" t="s">
        <v>2631</v>
      </c>
      <c r="C45" s="3107" t="s">
        <v>2480</v>
      </c>
      <c r="D45" s="3108"/>
      <c r="E45" s="3109">
        <v>1</v>
      </c>
      <c r="F45" s="3106" t="s">
        <v>2481</v>
      </c>
      <c r="G45" s="3106"/>
    </row>
    <row r="46" spans="1:7" ht="19.5" customHeight="1">
      <c r="A46" s="3771"/>
      <c r="B46" s="3764"/>
      <c r="C46" s="3107" t="s">
        <v>2482</v>
      </c>
      <c r="D46" s="3108"/>
      <c r="E46" s="3109">
        <v>1</v>
      </c>
      <c r="F46" s="3106" t="s">
        <v>2483</v>
      </c>
      <c r="G46" s="3106"/>
    </row>
    <row r="47" spans="1:7" ht="19.5" customHeight="1">
      <c r="A47" s="3771"/>
      <c r="B47" s="3764"/>
      <c r="C47" s="3107" t="s">
        <v>2484</v>
      </c>
      <c r="D47" s="3108"/>
      <c r="E47" s="3109">
        <v>1</v>
      </c>
      <c r="F47" s="3106" t="s">
        <v>2485</v>
      </c>
      <c r="G47" s="3106"/>
    </row>
    <row r="48" spans="1:7" ht="19.5" customHeight="1">
      <c r="A48" s="3771"/>
      <c r="B48" s="3764"/>
      <c r="C48" s="3107" t="s">
        <v>2486</v>
      </c>
      <c r="D48" s="3108"/>
      <c r="E48" s="3109">
        <v>1</v>
      </c>
      <c r="F48" s="3106" t="s">
        <v>2487</v>
      </c>
      <c r="G48" s="3106"/>
    </row>
    <row r="49" spans="1:7" ht="19.5" customHeight="1">
      <c r="A49" s="3771"/>
      <c r="B49" s="3764"/>
      <c r="C49" s="3107" t="s">
        <v>2488</v>
      </c>
      <c r="D49" s="3108"/>
      <c r="E49" s="3109">
        <v>1</v>
      </c>
      <c r="F49" s="3106" t="s">
        <v>2489</v>
      </c>
      <c r="G49" s="3106"/>
    </row>
    <row r="50" spans="1:7" ht="19.5" customHeight="1">
      <c r="A50" s="3771"/>
      <c r="B50" s="3764"/>
      <c r="C50" s="3107" t="s">
        <v>2490</v>
      </c>
      <c r="D50" s="3108"/>
      <c r="E50" s="3109">
        <v>1</v>
      </c>
      <c r="F50" s="3106" t="s">
        <v>2491</v>
      </c>
      <c r="G50" s="3106"/>
    </row>
    <row r="51" spans="1:7" ht="19.5" customHeight="1" thickBot="1">
      <c r="A51" s="3772"/>
      <c r="B51" s="3765"/>
      <c r="C51" s="3110" t="s">
        <v>2492</v>
      </c>
      <c r="D51" s="3111"/>
      <c r="E51" s="3112">
        <v>1</v>
      </c>
      <c r="F51" s="3106" t="s">
        <v>2493</v>
      </c>
      <c r="G51" s="3106"/>
    </row>
    <row r="52" spans="1:7" ht="19.5" customHeight="1">
      <c r="A52" s="3119"/>
      <c r="B52" s="3119"/>
      <c r="C52" s="3119"/>
      <c r="D52" s="3119"/>
      <c r="E52" s="3119"/>
      <c r="F52" s="3119"/>
      <c r="G52" s="3119"/>
    </row>
    <row r="54" spans="1:7" ht="19.5" customHeight="1">
      <c r="A54" s="3120"/>
      <c r="B54" s="3092" t="s">
        <v>2632</v>
      </c>
      <c r="C54" s="3092" t="s">
        <v>2632</v>
      </c>
      <c r="D54" s="3092" t="s">
        <v>2632</v>
      </c>
      <c r="E54" s="3095" t="s">
        <v>2632</v>
      </c>
      <c r="F54" s="3095" t="s">
        <v>2633</v>
      </c>
      <c r="G54" s="3095" t="s">
        <v>2634</v>
      </c>
    </row>
    <row r="55" spans="1:7" ht="19.5" customHeight="1">
      <c r="A55" s="3121"/>
      <c r="B55" s="3095" t="s">
        <v>2601</v>
      </c>
      <c r="C55" s="3095" t="s">
        <v>2601</v>
      </c>
      <c r="D55" s="3095" t="s">
        <v>2601</v>
      </c>
      <c r="E55" s="3092" t="s">
        <v>2602</v>
      </c>
      <c r="F55" s="3092" t="s">
        <v>2604</v>
      </c>
      <c r="G55" s="3092" t="s">
        <v>2635</v>
      </c>
    </row>
    <row r="56" spans="1:7" ht="19.5" customHeight="1">
      <c r="A56" s="3122"/>
      <c r="B56" s="3092">
        <v>1</v>
      </c>
      <c r="C56" s="3092">
        <v>2</v>
      </c>
      <c r="D56" s="3092">
        <v>3</v>
      </c>
      <c r="E56" s="3123" t="s">
        <v>2636</v>
      </c>
      <c r="F56" s="3123" t="s">
        <v>2636</v>
      </c>
      <c r="G56" s="3123" t="s">
        <v>2636</v>
      </c>
    </row>
    <row r="57" spans="1:7" ht="19.5" customHeight="1">
      <c r="A57" s="3124" t="s">
        <v>2589</v>
      </c>
      <c r="B57" s="3092">
        <v>0.7</v>
      </c>
      <c r="C57" s="3092">
        <v>0.4</v>
      </c>
      <c r="D57" s="3092">
        <v>0.3</v>
      </c>
      <c r="E57" s="3123">
        <v>0.3</v>
      </c>
      <c r="F57" s="3092">
        <v>0.3</v>
      </c>
      <c r="G57" s="3092">
        <v>0.2</v>
      </c>
    </row>
    <row r="58" spans="1:7" ht="19.5" customHeight="1">
      <c r="A58" s="3124" t="s">
        <v>2590</v>
      </c>
      <c r="B58" s="3092">
        <v>0.7</v>
      </c>
      <c r="C58" s="3092">
        <v>0.4</v>
      </c>
      <c r="D58" s="3092">
        <v>0.3</v>
      </c>
      <c r="E58" s="3092">
        <v>0.3</v>
      </c>
      <c r="F58" s="3092">
        <v>0.3</v>
      </c>
      <c r="G58" s="3092">
        <v>0.2</v>
      </c>
    </row>
    <row r="59" spans="1:7" ht="19.5" customHeight="1">
      <c r="A59" s="3124" t="s">
        <v>2591</v>
      </c>
      <c r="B59" s="3092">
        <v>0.6</v>
      </c>
      <c r="C59" s="3092">
        <v>0.3</v>
      </c>
      <c r="D59" s="3092">
        <v>0.25</v>
      </c>
      <c r="E59" s="3092">
        <v>0.25</v>
      </c>
      <c r="F59" s="3092">
        <v>0.25</v>
      </c>
      <c r="G59" s="3092">
        <v>0.15</v>
      </c>
    </row>
    <row r="60" spans="1:7" ht="19.5" customHeight="1">
      <c r="A60" s="3124" t="s">
        <v>2592</v>
      </c>
      <c r="B60" s="3092">
        <v>0.6</v>
      </c>
      <c r="C60" s="3092">
        <v>0.3</v>
      </c>
      <c r="D60" s="3092">
        <v>0.25</v>
      </c>
      <c r="E60" s="3092">
        <v>0.25</v>
      </c>
      <c r="F60" s="3092">
        <v>0.25</v>
      </c>
      <c r="G60" s="3092">
        <v>0.15</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0.5</v>
      </c>
      <c r="C64" s="3092">
        <v>0.2</v>
      </c>
      <c r="D64" s="3092">
        <v>0.2</v>
      </c>
      <c r="E64" s="3092">
        <v>0.2</v>
      </c>
      <c r="F64" s="3092">
        <v>0.2</v>
      </c>
      <c r="G64" s="3092">
        <v>0.1</v>
      </c>
    </row>
    <row r="65" spans="1:7" ht="19.5" customHeight="1">
      <c r="A65" s="3124" t="s">
        <v>2597</v>
      </c>
      <c r="B65" s="3092">
        <v>0.5</v>
      </c>
      <c r="C65" s="3092">
        <v>0.2</v>
      </c>
      <c r="D65" s="3092">
        <v>0.2</v>
      </c>
      <c r="E65" s="3092">
        <v>0.2</v>
      </c>
      <c r="F65" s="3092">
        <v>0.2</v>
      </c>
      <c r="G65" s="3092">
        <v>0.1</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70" spans="1:7" ht="19.5" customHeight="1">
      <c r="A70" s="3125"/>
      <c r="B70" s="3126"/>
      <c r="C70" s="3126"/>
      <c r="D70" s="3126" t="s">
        <v>2637</v>
      </c>
      <c r="E70" s="3126"/>
      <c r="F70" s="3126"/>
    </row>
    <row r="71" spans="1:7" ht="19.5" customHeight="1">
      <c r="A71" s="3118" t="s">
        <v>2638</v>
      </c>
      <c r="B71" s="3118" t="s">
        <v>2639</v>
      </c>
      <c r="C71" s="3118" t="s">
        <v>2640</v>
      </c>
      <c r="D71" s="3118" t="s">
        <v>2641</v>
      </c>
      <c r="E71" s="3118" t="s">
        <v>2642</v>
      </c>
      <c r="F71" s="3118" t="s">
        <v>2643</v>
      </c>
    </row>
    <row r="72" spans="1:7" ht="14">
      <c r="A72" s="3118"/>
      <c r="B72" s="3118"/>
      <c r="C72" s="3118" t="s">
        <v>2644</v>
      </c>
      <c r="D72" s="3118"/>
      <c r="E72" s="3118" t="s">
        <v>2615</v>
      </c>
      <c r="F72" s="3118" t="s">
        <v>2615</v>
      </c>
    </row>
    <row r="73" spans="1:7" ht="15">
      <c r="A73" s="3118">
        <v>1</v>
      </c>
      <c r="B73" s="3769" t="s">
        <v>2645</v>
      </c>
      <c r="C73" s="3092" t="s">
        <v>2646</v>
      </c>
      <c r="D73" s="3092" t="s">
        <v>2647</v>
      </c>
      <c r="E73" s="3118">
        <v>0.2</v>
      </c>
      <c r="F73" s="3118">
        <v>25</v>
      </c>
    </row>
    <row r="74" spans="1:7" ht="30">
      <c r="A74" s="3118">
        <v>2</v>
      </c>
      <c r="B74" s="3764"/>
      <c r="C74" s="3092" t="s">
        <v>2648</v>
      </c>
      <c r="D74" s="3092" t="s">
        <v>2649</v>
      </c>
      <c r="E74" s="3118">
        <v>0.2</v>
      </c>
      <c r="F74" s="3118">
        <v>25</v>
      </c>
    </row>
    <row r="75" spans="1:7" ht="30">
      <c r="A75" s="3118">
        <v>3</v>
      </c>
      <c r="B75" s="3764"/>
      <c r="C75" s="3092" t="s">
        <v>2650</v>
      </c>
      <c r="D75" s="3092" t="s">
        <v>2651</v>
      </c>
      <c r="E75" s="3118">
        <v>0.2</v>
      </c>
      <c r="F75" s="3118">
        <v>25</v>
      </c>
    </row>
    <row r="76" spans="1:7" ht="15">
      <c r="A76" s="3118">
        <v>4</v>
      </c>
      <c r="B76" s="3764"/>
      <c r="C76" s="3092" t="s">
        <v>2652</v>
      </c>
      <c r="D76" s="3092" t="s">
        <v>2653</v>
      </c>
      <c r="E76" s="3118">
        <v>0.15</v>
      </c>
      <c r="F76" s="3118">
        <v>20</v>
      </c>
    </row>
    <row r="77" spans="1:7" ht="30">
      <c r="A77" s="3118">
        <v>5</v>
      </c>
      <c r="B77" s="3764"/>
      <c r="C77" s="3092" t="s">
        <v>2654</v>
      </c>
      <c r="D77" s="3092" t="s">
        <v>2655</v>
      </c>
      <c r="E77" s="3118">
        <v>0.15</v>
      </c>
      <c r="F77" s="3118">
        <v>20</v>
      </c>
    </row>
    <row r="78" spans="1:7" ht="30">
      <c r="A78" s="3118">
        <v>6</v>
      </c>
      <c r="B78" s="3764"/>
      <c r="C78" s="3092" t="s">
        <v>2656</v>
      </c>
      <c r="D78" s="3092" t="s">
        <v>2657</v>
      </c>
      <c r="E78" s="3118">
        <v>0.15</v>
      </c>
      <c r="F78" s="3118">
        <v>20</v>
      </c>
    </row>
    <row r="79" spans="1:7" ht="30">
      <c r="A79" s="3118">
        <v>7</v>
      </c>
      <c r="B79" s="3764"/>
      <c r="C79" s="3092" t="s">
        <v>2658</v>
      </c>
      <c r="D79" s="3092" t="s">
        <v>2659</v>
      </c>
      <c r="E79" s="3118">
        <v>0.15</v>
      </c>
      <c r="F79" s="3118">
        <v>20</v>
      </c>
    </row>
    <row r="80" spans="1:7" ht="30">
      <c r="A80" s="3118">
        <v>8</v>
      </c>
      <c r="B80" s="3764"/>
      <c r="C80" s="3092" t="s">
        <v>2660</v>
      </c>
      <c r="D80" s="3092" t="s">
        <v>2661</v>
      </c>
      <c r="E80" s="3118">
        <v>0.1</v>
      </c>
      <c r="F80" s="3118">
        <v>15</v>
      </c>
    </row>
    <row r="81" spans="1:6" ht="30">
      <c r="A81" s="3118">
        <v>9</v>
      </c>
      <c r="B81" s="3764"/>
      <c r="C81" s="3092" t="s">
        <v>2662</v>
      </c>
      <c r="D81" s="3092" t="s">
        <v>2663</v>
      </c>
      <c r="E81" s="3118">
        <v>0.1</v>
      </c>
      <c r="F81" s="3118">
        <v>15</v>
      </c>
    </row>
    <row r="82" spans="1:6" ht="30">
      <c r="A82" s="3118">
        <v>10</v>
      </c>
      <c r="B82" s="3764"/>
      <c r="C82" s="3092" t="s">
        <v>2664</v>
      </c>
      <c r="D82" s="3092" t="s">
        <v>2665</v>
      </c>
      <c r="E82" s="3118">
        <v>0.1</v>
      </c>
      <c r="F82" s="3118">
        <v>15</v>
      </c>
    </row>
    <row r="83" spans="1:6" ht="30">
      <c r="A83" s="3118">
        <v>11</v>
      </c>
      <c r="B83" s="3764"/>
      <c r="C83" s="3092" t="s">
        <v>2666</v>
      </c>
      <c r="D83" s="3092" t="s">
        <v>2667</v>
      </c>
      <c r="E83" s="3118">
        <v>0.1</v>
      </c>
      <c r="F83" s="3118">
        <v>15</v>
      </c>
    </row>
    <row r="84" spans="1:6" ht="30">
      <c r="A84" s="3118">
        <v>12</v>
      </c>
      <c r="B84" s="3764"/>
      <c r="C84" s="3092" t="s">
        <v>2668</v>
      </c>
      <c r="D84" s="3092" t="s">
        <v>2669</v>
      </c>
      <c r="E84" s="3118">
        <v>0.1</v>
      </c>
      <c r="F84" s="3118">
        <v>15</v>
      </c>
    </row>
    <row r="85" spans="1:6" ht="15">
      <c r="A85" s="3118">
        <v>13</v>
      </c>
      <c r="B85" s="3764"/>
      <c r="C85" s="3092" t="s">
        <v>2670</v>
      </c>
      <c r="D85" s="3092" t="s">
        <v>2671</v>
      </c>
      <c r="E85" s="3118">
        <v>0.1</v>
      </c>
      <c r="F85" s="3118">
        <v>15</v>
      </c>
    </row>
    <row r="86" spans="1:6" ht="15">
      <c r="A86" s="3118">
        <v>14</v>
      </c>
      <c r="B86" s="3764"/>
      <c r="C86" s="3092" t="s">
        <v>2672</v>
      </c>
      <c r="D86" s="3092" t="s">
        <v>2673</v>
      </c>
      <c r="E86" s="3118">
        <v>0.1</v>
      </c>
      <c r="F86" s="3118">
        <v>15</v>
      </c>
    </row>
    <row r="87" spans="1:6" ht="15">
      <c r="A87" s="3118">
        <v>15</v>
      </c>
      <c r="B87" s="3764"/>
      <c r="C87" s="3092" t="s">
        <v>2674</v>
      </c>
      <c r="D87" s="3092" t="s">
        <v>2675</v>
      </c>
      <c r="E87" s="3118">
        <v>0.1</v>
      </c>
      <c r="F87" s="3118">
        <v>15</v>
      </c>
    </row>
    <row r="88" spans="1:6" ht="30">
      <c r="A88" s="3118">
        <v>16</v>
      </c>
      <c r="B88" s="3764"/>
      <c r="C88" s="3092" t="s">
        <v>2676</v>
      </c>
      <c r="D88" s="3092" t="s">
        <v>2677</v>
      </c>
      <c r="E88" s="3118">
        <v>0.1</v>
      </c>
      <c r="F88" s="3118">
        <v>15</v>
      </c>
    </row>
    <row r="89" spans="1:6" ht="30">
      <c r="A89" s="3118">
        <v>17</v>
      </c>
      <c r="B89" s="3773"/>
      <c r="C89" s="3092" t="s">
        <v>2678</v>
      </c>
      <c r="D89" s="3092" t="s">
        <v>2679</v>
      </c>
      <c r="E89" s="3118">
        <v>0.1</v>
      </c>
      <c r="F89" s="3118">
        <v>15</v>
      </c>
    </row>
    <row r="90" spans="1:6" ht="15">
      <c r="A90" s="3118">
        <v>18</v>
      </c>
      <c r="B90" s="3769" t="s">
        <v>2680</v>
      </c>
      <c r="C90" s="3092" t="s">
        <v>2681</v>
      </c>
      <c r="D90" s="3092" t="s">
        <v>2682</v>
      </c>
      <c r="E90" s="3118">
        <v>0.2</v>
      </c>
      <c r="F90" s="3118">
        <v>25</v>
      </c>
    </row>
    <row r="91" spans="1:6" ht="30">
      <c r="A91" s="3118">
        <v>19</v>
      </c>
      <c r="B91" s="3764"/>
      <c r="C91" s="3092" t="s">
        <v>2683</v>
      </c>
      <c r="D91" s="3092" t="s">
        <v>2684</v>
      </c>
      <c r="E91" s="3118">
        <v>0.2</v>
      </c>
      <c r="F91" s="3118">
        <v>25</v>
      </c>
    </row>
    <row r="92" spans="1:6" ht="15">
      <c r="A92" s="3118">
        <v>20</v>
      </c>
      <c r="B92" s="3764"/>
      <c r="C92" s="3092" t="s">
        <v>2685</v>
      </c>
      <c r="D92" s="3092" t="s">
        <v>2686</v>
      </c>
      <c r="E92" s="3118">
        <v>0.15</v>
      </c>
      <c r="F92" s="3118">
        <v>20</v>
      </c>
    </row>
    <row r="93" spans="1:6" ht="30">
      <c r="A93" s="3118">
        <v>21</v>
      </c>
      <c r="B93" s="3764"/>
      <c r="C93" s="3092" t="s">
        <v>2687</v>
      </c>
      <c r="D93" s="3092" t="s">
        <v>2688</v>
      </c>
      <c r="E93" s="3118">
        <v>0.15</v>
      </c>
      <c r="F93" s="3118">
        <v>20</v>
      </c>
    </row>
    <row r="94" spans="1:6" ht="30">
      <c r="A94" s="3118">
        <v>22</v>
      </c>
      <c r="B94" s="3764"/>
      <c r="C94" s="3092" t="s">
        <v>2689</v>
      </c>
      <c r="D94" s="3092" t="s">
        <v>2690</v>
      </c>
      <c r="E94" s="3118">
        <v>0.15</v>
      </c>
      <c r="F94" s="3118">
        <v>20</v>
      </c>
    </row>
    <row r="95" spans="1:6" ht="45">
      <c r="A95" s="3118">
        <v>23</v>
      </c>
      <c r="B95" s="3764"/>
      <c r="C95" s="3092" t="s">
        <v>2691</v>
      </c>
      <c r="D95" s="3092" t="s">
        <v>2692</v>
      </c>
      <c r="E95" s="3118">
        <v>0.15</v>
      </c>
      <c r="F95" s="3118">
        <v>20</v>
      </c>
    </row>
    <row r="96" spans="1:6" ht="15">
      <c r="A96" s="3118">
        <v>24</v>
      </c>
      <c r="B96" s="3764"/>
      <c r="C96" s="3092" t="s">
        <v>2693</v>
      </c>
      <c r="D96" s="3092" t="s">
        <v>2694</v>
      </c>
      <c r="E96" s="3118">
        <v>0.1</v>
      </c>
      <c r="F96" s="3118">
        <v>15</v>
      </c>
    </row>
    <row r="97" spans="1:6" ht="30">
      <c r="A97" s="3118">
        <v>25</v>
      </c>
      <c r="B97" s="3764"/>
      <c r="C97" s="3092" t="s">
        <v>2695</v>
      </c>
      <c r="D97" s="3092" t="s">
        <v>2696</v>
      </c>
      <c r="E97" s="3118">
        <v>0.1</v>
      </c>
      <c r="F97" s="3118">
        <v>15</v>
      </c>
    </row>
    <row r="98" spans="1:6" ht="30">
      <c r="A98" s="3118">
        <v>26</v>
      </c>
      <c r="B98" s="3764"/>
      <c r="C98" s="3092" t="s">
        <v>2697</v>
      </c>
      <c r="D98" s="3092" t="s">
        <v>2698</v>
      </c>
      <c r="E98" s="3118">
        <v>0.1</v>
      </c>
      <c r="F98" s="3118">
        <v>15</v>
      </c>
    </row>
    <row r="99" spans="1:6" ht="30">
      <c r="A99" s="3118">
        <v>27</v>
      </c>
      <c r="B99" s="3764"/>
      <c r="C99" s="3092" t="s">
        <v>2699</v>
      </c>
      <c r="D99" s="3092" t="s">
        <v>2700</v>
      </c>
      <c r="E99" s="3118">
        <v>0.1</v>
      </c>
      <c r="F99" s="3118">
        <v>15</v>
      </c>
    </row>
    <row r="100" spans="1:6" ht="30">
      <c r="A100" s="3118">
        <v>28</v>
      </c>
      <c r="B100" s="3764"/>
      <c r="C100" s="3092" t="s">
        <v>2701</v>
      </c>
      <c r="D100" s="3092" t="s">
        <v>2702</v>
      </c>
      <c r="E100" s="3118">
        <v>0.1</v>
      </c>
      <c r="F100" s="3118">
        <v>15</v>
      </c>
    </row>
    <row r="101" spans="1:6" ht="30">
      <c r="A101" s="3118">
        <v>29</v>
      </c>
      <c r="B101" s="3764"/>
      <c r="C101" s="3092" t="s">
        <v>2703</v>
      </c>
      <c r="D101" s="3092" t="s">
        <v>2704</v>
      </c>
      <c r="E101" s="3118">
        <v>0.1</v>
      </c>
      <c r="F101" s="3118">
        <v>15</v>
      </c>
    </row>
    <row r="102" spans="1:6" ht="30">
      <c r="A102" s="3118">
        <v>30</v>
      </c>
      <c r="B102" s="3764"/>
      <c r="C102" s="3092" t="s">
        <v>2705</v>
      </c>
      <c r="D102" s="3092" t="s">
        <v>2706</v>
      </c>
      <c r="E102" s="3118">
        <v>0.1</v>
      </c>
      <c r="F102" s="3118">
        <v>15</v>
      </c>
    </row>
    <row r="103" spans="1:6" ht="30">
      <c r="A103" s="3118">
        <v>31</v>
      </c>
      <c r="B103" s="3764"/>
      <c r="C103" s="3092" t="s">
        <v>2707</v>
      </c>
      <c r="D103" s="3092" t="s">
        <v>2708</v>
      </c>
      <c r="E103" s="3118">
        <v>0.1</v>
      </c>
      <c r="F103" s="3118">
        <v>15</v>
      </c>
    </row>
    <row r="104" spans="1:6" ht="30">
      <c r="A104" s="3118">
        <v>32</v>
      </c>
      <c r="B104" s="3764"/>
      <c r="C104" s="3092" t="s">
        <v>2709</v>
      </c>
      <c r="D104" s="3092" t="s">
        <v>2710</v>
      </c>
      <c r="E104" s="3118">
        <v>0.1</v>
      </c>
      <c r="F104" s="3118">
        <v>15</v>
      </c>
    </row>
    <row r="105" spans="1:6" ht="30">
      <c r="A105" s="3118">
        <v>33</v>
      </c>
      <c r="B105" s="3764"/>
      <c r="C105" s="3092" t="s">
        <v>2711</v>
      </c>
      <c r="D105" s="3092" t="s">
        <v>2712</v>
      </c>
      <c r="E105" s="3118">
        <v>0.1</v>
      </c>
      <c r="F105" s="3118">
        <v>15</v>
      </c>
    </row>
    <row r="106" spans="1:6" ht="30">
      <c r="A106" s="3118">
        <v>34</v>
      </c>
      <c r="B106" s="3773"/>
      <c r="C106" s="3092" t="s">
        <v>2713</v>
      </c>
      <c r="D106" s="3092" t="s">
        <v>2714</v>
      </c>
      <c r="E106" s="3118">
        <v>0.1</v>
      </c>
      <c r="F106" s="3118">
        <v>15</v>
      </c>
    </row>
    <row r="107" spans="1:6" ht="30">
      <c r="A107" s="3118">
        <v>35</v>
      </c>
      <c r="B107" s="3769" t="s">
        <v>2715</v>
      </c>
      <c r="C107" s="3118" t="s">
        <v>2716</v>
      </c>
      <c r="D107" s="3092" t="s">
        <v>2717</v>
      </c>
      <c r="E107" s="3118">
        <v>0.15</v>
      </c>
      <c r="F107" s="3118">
        <v>20</v>
      </c>
    </row>
    <row r="108" spans="1:6" ht="30">
      <c r="A108" s="3118">
        <v>36</v>
      </c>
      <c r="B108" s="3764"/>
      <c r="C108" s="3118" t="s">
        <v>2718</v>
      </c>
      <c r="D108" s="3092" t="s">
        <v>2719</v>
      </c>
      <c r="E108" s="3118">
        <v>0.15</v>
      </c>
      <c r="F108" s="3118">
        <v>20</v>
      </c>
    </row>
    <row r="109" spans="1:6" ht="30">
      <c r="A109" s="3118">
        <v>37</v>
      </c>
      <c r="B109" s="3764"/>
      <c r="C109" s="3118" t="s">
        <v>2720</v>
      </c>
      <c r="D109" s="3092" t="s">
        <v>2721</v>
      </c>
      <c r="E109" s="3118">
        <v>0.15</v>
      </c>
      <c r="F109" s="3118">
        <v>20</v>
      </c>
    </row>
    <row r="110" spans="1:6" ht="15">
      <c r="A110" s="3118">
        <v>38</v>
      </c>
      <c r="B110" s="3764"/>
      <c r="C110" s="3118" t="s">
        <v>2722</v>
      </c>
      <c r="D110" s="3092" t="s">
        <v>2723</v>
      </c>
      <c r="E110" s="3118">
        <v>0.1</v>
      </c>
      <c r="F110" s="3118">
        <v>15</v>
      </c>
    </row>
    <row r="111" spans="1:6" ht="30">
      <c r="A111" s="3118">
        <v>39</v>
      </c>
      <c r="B111" s="3764"/>
      <c r="C111" s="3118" t="s">
        <v>2724</v>
      </c>
      <c r="D111" s="3092" t="s">
        <v>2725</v>
      </c>
      <c r="E111" s="3118">
        <v>0.1</v>
      </c>
      <c r="F111" s="3118">
        <v>15</v>
      </c>
    </row>
    <row r="112" spans="1:6" ht="30">
      <c r="A112" s="3118">
        <v>40</v>
      </c>
      <c r="B112" s="3773"/>
      <c r="C112" s="3118" t="s">
        <v>2726</v>
      </c>
      <c r="D112" s="3092" t="s">
        <v>2727</v>
      </c>
      <c r="E112" s="3118">
        <v>0.1</v>
      </c>
      <c r="F112" s="3118">
        <v>15</v>
      </c>
    </row>
    <row r="113" spans="1:6" ht="30">
      <c r="A113" s="3118">
        <v>41</v>
      </c>
      <c r="B113" s="3774" t="s">
        <v>2728</v>
      </c>
      <c r="C113" s="3118" t="s">
        <v>2729</v>
      </c>
      <c r="D113" s="3092" t="s">
        <v>2730</v>
      </c>
      <c r="E113" s="3118">
        <v>0.1</v>
      </c>
      <c r="F113" s="3118">
        <v>15</v>
      </c>
    </row>
    <row r="114" spans="1:6" ht="15">
      <c r="A114" s="3118">
        <v>42</v>
      </c>
      <c r="B114" s="3774"/>
      <c r="C114" s="3118" t="s">
        <v>2731</v>
      </c>
      <c r="D114" s="3092" t="s">
        <v>2732</v>
      </c>
      <c r="E114" s="3118">
        <v>0.1</v>
      </c>
      <c r="F114" s="3118">
        <v>15</v>
      </c>
    </row>
    <row r="115" spans="1:6" ht="30">
      <c r="A115" s="3118">
        <v>43</v>
      </c>
      <c r="B115" s="3774"/>
      <c r="C115" s="3118" t="s">
        <v>2733</v>
      </c>
      <c r="D115" s="3092" t="s">
        <v>2734</v>
      </c>
      <c r="E115" s="3118">
        <v>0.1</v>
      </c>
      <c r="F115" s="3118">
        <v>15</v>
      </c>
    </row>
    <row r="116" spans="1:6" ht="30">
      <c r="A116" s="3118">
        <v>44</v>
      </c>
      <c r="B116" s="3769" t="s">
        <v>2735</v>
      </c>
      <c r="C116" s="3118" t="s">
        <v>2736</v>
      </c>
      <c r="D116" s="3092" t="s">
        <v>2737</v>
      </c>
      <c r="E116" s="3118">
        <v>0.1</v>
      </c>
      <c r="F116" s="3118">
        <v>15</v>
      </c>
    </row>
    <row r="117" spans="1:6" ht="30">
      <c r="A117" s="3118">
        <v>45</v>
      </c>
      <c r="B117" s="3773"/>
      <c r="C117" s="3092" t="s">
        <v>2738</v>
      </c>
      <c r="D117" s="3092" t="s">
        <v>2739</v>
      </c>
      <c r="E117" s="3118">
        <v>0.1</v>
      </c>
      <c r="F117" s="3118">
        <v>15</v>
      </c>
    </row>
    <row r="118" spans="1:6" ht="30">
      <c r="A118" s="3118">
        <v>46</v>
      </c>
      <c r="B118" s="3769" t="s">
        <v>2740</v>
      </c>
      <c r="C118" s="3118" t="s">
        <v>2741</v>
      </c>
      <c r="D118" s="3092" t="s">
        <v>2742</v>
      </c>
      <c r="E118" s="3118">
        <v>0.1</v>
      </c>
      <c r="F118" s="3118">
        <v>15</v>
      </c>
    </row>
    <row r="119" spans="1:6" ht="30">
      <c r="A119" s="3118">
        <v>47</v>
      </c>
      <c r="B119" s="3773"/>
      <c r="C119" s="3118" t="s">
        <v>2743</v>
      </c>
      <c r="D119" s="3092" t="s">
        <v>2744</v>
      </c>
      <c r="E119" s="3118">
        <v>0.1</v>
      </c>
      <c r="F119" s="3118">
        <v>15</v>
      </c>
    </row>
    <row r="120" spans="1:6" ht="30">
      <c r="A120" s="3118">
        <v>48</v>
      </c>
      <c r="B120" s="3769" t="s">
        <v>2745</v>
      </c>
      <c r="C120" s="3118" t="s">
        <v>2746</v>
      </c>
      <c r="D120" s="3092" t="s">
        <v>2747</v>
      </c>
      <c r="E120" s="3118">
        <v>0.1</v>
      </c>
      <c r="F120" s="3118">
        <v>15</v>
      </c>
    </row>
    <row r="121" spans="1:6" ht="15">
      <c r="A121" s="3118">
        <v>49</v>
      </c>
      <c r="B121" s="3773"/>
      <c r="C121" s="3118" t="s">
        <v>2748</v>
      </c>
      <c r="D121" s="3092" t="s">
        <v>2749</v>
      </c>
      <c r="E121" s="3118">
        <v>0.1</v>
      </c>
      <c r="F121" s="3118">
        <v>15</v>
      </c>
    </row>
    <row r="122" spans="1:6" ht="30">
      <c r="A122" s="3118">
        <v>50</v>
      </c>
      <c r="B122" s="3774" t="s">
        <v>2750</v>
      </c>
      <c r="C122" s="3118" t="s">
        <v>2751</v>
      </c>
      <c r="D122" s="3092" t="s">
        <v>2752</v>
      </c>
      <c r="E122" s="3118">
        <v>0.1</v>
      </c>
      <c r="F122" s="3118">
        <v>15</v>
      </c>
    </row>
    <row r="123" spans="1:6" ht="30">
      <c r="A123" s="3118">
        <v>51</v>
      </c>
      <c r="B123" s="3774"/>
      <c r="C123" s="3118" t="s">
        <v>2753</v>
      </c>
      <c r="D123" s="3092" t="s">
        <v>2754</v>
      </c>
      <c r="E123" s="3118">
        <v>0.1</v>
      </c>
      <c r="F123" s="3118">
        <v>15</v>
      </c>
    </row>
    <row r="124" spans="1:6" ht="30">
      <c r="A124" s="3118">
        <v>52</v>
      </c>
      <c r="B124" s="3774" t="s">
        <v>2755</v>
      </c>
      <c r="C124" s="3118" t="s">
        <v>2756</v>
      </c>
      <c r="D124" s="3092" t="s">
        <v>2757</v>
      </c>
      <c r="E124" s="3118">
        <v>0.1</v>
      </c>
      <c r="F124" s="3118">
        <v>15</v>
      </c>
    </row>
    <row r="125" spans="1:6" ht="30">
      <c r="A125" s="3118">
        <v>53</v>
      </c>
      <c r="B125" s="3774"/>
      <c r="C125" s="3118" t="s">
        <v>2758</v>
      </c>
      <c r="D125" s="3092" t="s">
        <v>2759</v>
      </c>
      <c r="E125" s="3118">
        <v>0.1</v>
      </c>
      <c r="F125" s="3118">
        <v>15</v>
      </c>
    </row>
    <row r="126" spans="1:6" ht="30">
      <c r="A126" s="3118">
        <v>54</v>
      </c>
      <c r="B126" s="3118" t="s">
        <v>2760</v>
      </c>
      <c r="C126" s="3118" t="s">
        <v>2761</v>
      </c>
      <c r="D126" s="3092" t="s">
        <v>2762</v>
      </c>
      <c r="E126" s="3118">
        <v>0.1</v>
      </c>
      <c r="F126" s="3118">
        <v>15</v>
      </c>
    </row>
    <row r="127" spans="1:6" ht="15">
      <c r="A127" s="3118">
        <v>55</v>
      </c>
      <c r="B127" s="3774" t="s">
        <v>2763</v>
      </c>
      <c r="C127" s="3118" t="s">
        <v>2764</v>
      </c>
      <c r="D127" s="3092" t="s">
        <v>2765</v>
      </c>
      <c r="E127" s="3118">
        <v>0.1</v>
      </c>
      <c r="F127" s="3118">
        <v>15</v>
      </c>
    </row>
    <row r="128" spans="1:6" ht="15">
      <c r="A128" s="3118">
        <v>56</v>
      </c>
      <c r="B128" s="3774"/>
      <c r="C128" s="3118" t="s">
        <v>2766</v>
      </c>
      <c r="D128" s="3092" t="s">
        <v>2767</v>
      </c>
      <c r="E128" s="3118">
        <v>0.1</v>
      </c>
      <c r="F128" s="3118">
        <v>15</v>
      </c>
    </row>
    <row r="129" spans="1:6" ht="30">
      <c r="A129" s="3118">
        <v>57</v>
      </c>
      <c r="B129" s="3774"/>
      <c r="C129" s="3118" t="s">
        <v>2768</v>
      </c>
      <c r="D129" s="3092" t="s">
        <v>2769</v>
      </c>
      <c r="E129" s="3118">
        <v>0.1</v>
      </c>
      <c r="F129" s="3118">
        <v>15</v>
      </c>
    </row>
    <row r="130" spans="1:6" ht="30">
      <c r="A130" s="3118">
        <v>58</v>
      </c>
      <c r="B130" s="3774" t="s">
        <v>2770</v>
      </c>
      <c r="C130" s="3118" t="s">
        <v>2771</v>
      </c>
      <c r="D130" s="3092" t="s">
        <v>2772</v>
      </c>
      <c r="E130" s="3118">
        <v>0.1</v>
      </c>
      <c r="F130" s="3118">
        <v>15</v>
      </c>
    </row>
    <row r="131" spans="1:6" ht="30">
      <c r="A131" s="3118">
        <v>59</v>
      </c>
      <c r="B131" s="3774"/>
      <c r="C131" s="3118" t="s">
        <v>2773</v>
      </c>
      <c r="D131" s="3092" t="s">
        <v>2774</v>
      </c>
      <c r="E131" s="3118">
        <v>0.1</v>
      </c>
      <c r="F131" s="3118">
        <v>15</v>
      </c>
    </row>
    <row r="132" spans="1:6" ht="30">
      <c r="A132" s="3118">
        <v>60</v>
      </c>
      <c r="B132" s="3769" t="s">
        <v>2775</v>
      </c>
      <c r="C132" s="3118" t="s">
        <v>2776</v>
      </c>
      <c r="D132" s="3092" t="s">
        <v>2777</v>
      </c>
      <c r="E132" s="3118">
        <v>0.1</v>
      </c>
      <c r="F132" s="3118">
        <v>15</v>
      </c>
    </row>
    <row r="133" spans="1:6" ht="30">
      <c r="A133" s="3118">
        <v>61</v>
      </c>
      <c r="B133" s="3773"/>
      <c r="C133" s="3118" t="s">
        <v>2778</v>
      </c>
      <c r="D133" s="3092" t="s">
        <v>2779</v>
      </c>
      <c r="E133" s="3118">
        <v>0.1</v>
      </c>
      <c r="F133" s="3118">
        <v>15</v>
      </c>
    </row>
    <row r="134" spans="1:6" ht="30">
      <c r="A134" s="3118">
        <v>62</v>
      </c>
      <c r="B134" s="3118" t="s">
        <v>2780</v>
      </c>
      <c r="C134" s="3118" t="s">
        <v>2781</v>
      </c>
      <c r="D134" s="3092" t="s">
        <v>2782</v>
      </c>
      <c r="E134" s="3118">
        <v>0.1</v>
      </c>
      <c r="F134" s="3118">
        <v>15</v>
      </c>
    </row>
    <row r="135" spans="1:6" ht="30">
      <c r="A135" s="3118">
        <v>63</v>
      </c>
      <c r="B135" s="3774" t="s">
        <v>2783</v>
      </c>
      <c r="C135" s="3118" t="s">
        <v>2784</v>
      </c>
      <c r="D135" s="3092" t="s">
        <v>2785</v>
      </c>
      <c r="E135" s="3118">
        <v>0.1</v>
      </c>
      <c r="F135" s="3118">
        <v>15</v>
      </c>
    </row>
    <row r="136" spans="1:6" ht="15">
      <c r="A136" s="3118">
        <v>64</v>
      </c>
      <c r="B136" s="3774"/>
      <c r="C136" s="3118" t="s">
        <v>2786</v>
      </c>
      <c r="D136" s="3092" t="s">
        <v>2787</v>
      </c>
      <c r="E136" s="3118">
        <v>0.1</v>
      </c>
      <c r="F136" s="3118">
        <v>15</v>
      </c>
    </row>
    <row r="137" spans="1:6" ht="30">
      <c r="A137" s="3118">
        <v>65</v>
      </c>
      <c r="B137" s="3118" t="s">
        <v>2788</v>
      </c>
      <c r="C137" s="3118" t="s">
        <v>2789</v>
      </c>
      <c r="D137" s="3092" t="s">
        <v>2790</v>
      </c>
      <c r="E137" s="3118">
        <v>0.1</v>
      </c>
      <c r="F137" s="3118">
        <v>15</v>
      </c>
    </row>
    <row r="138" spans="1:6" ht="14">
      <c r="A138" s="3118"/>
      <c r="B138" s="3118"/>
      <c r="C138" s="3118"/>
      <c r="D138" s="3118"/>
      <c r="E138" s="3118" t="s">
        <v>2791</v>
      </c>
      <c r="F138" s="3118"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baseColWidth="10" defaultColWidth="9" defaultRowHeight="14"/>
  <cols>
    <col min="1" max="13" width="9" style="3141"/>
    <col min="14" max="16384" width="9" style="750"/>
  </cols>
  <sheetData>
    <row r="1" spans="1:20" ht="16" thickBot="1">
      <c r="A1" s="3127" t="s">
        <v>2792</v>
      </c>
      <c r="B1" s="3127"/>
      <c r="C1" s="3127"/>
      <c r="D1" s="3127"/>
      <c r="E1" s="3127"/>
      <c r="F1" s="3127"/>
      <c r="G1" s="3127"/>
      <c r="H1" s="3127"/>
      <c r="I1" s="3127"/>
      <c r="J1" s="3127"/>
      <c r="K1" s="3127"/>
      <c r="L1" s="3127"/>
      <c r="M1" s="3127"/>
      <c r="N1" s="749"/>
    </row>
    <row r="2" spans="1:20">
      <c r="A2" s="3128" t="s">
        <v>2793</v>
      </c>
      <c r="B2" s="3129" t="s">
        <v>2589</v>
      </c>
      <c r="C2" s="3129" t="s">
        <v>2590</v>
      </c>
      <c r="D2" s="3129" t="s">
        <v>2591</v>
      </c>
      <c r="E2" s="3129" t="s">
        <v>2592</v>
      </c>
      <c r="F2" s="3129" t="s">
        <v>2593</v>
      </c>
      <c r="G2" s="3129" t="s">
        <v>2594</v>
      </c>
      <c r="H2" s="3130" t="s">
        <v>2595</v>
      </c>
      <c r="I2" s="3130" t="s">
        <v>2596</v>
      </c>
      <c r="J2" s="3131" t="s">
        <v>2597</v>
      </c>
      <c r="K2" s="3131" t="s">
        <v>2598</v>
      </c>
      <c r="L2" s="3131" t="s">
        <v>2599</v>
      </c>
      <c r="M2" s="3132" t="s">
        <v>2600</v>
      </c>
      <c r="Q2" s="3142" t="s">
        <v>2798</v>
      </c>
      <c r="R2" s="3142" t="s">
        <v>2799</v>
      </c>
      <c r="S2" s="3142" t="s">
        <v>2800</v>
      </c>
      <c r="T2" s="3142" t="s">
        <v>2801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 thickBot="1">
      <c r="A93" s="3127" t="s">
        <v>2794</v>
      </c>
      <c r="B93" s="3127"/>
      <c r="C93" s="3127"/>
      <c r="D93" s="3127"/>
      <c r="E93" s="3127"/>
      <c r="F93" s="3127"/>
      <c r="G93" s="3127"/>
      <c r="H93" s="3127"/>
      <c r="I93" s="3127"/>
      <c r="J93" s="3127"/>
      <c r="K93" s="3127"/>
      <c r="L93" s="3127"/>
      <c r="M93" s="3127"/>
    </row>
    <row r="94" spans="1:20">
      <c r="A94" s="3128" t="s">
        <v>2793</v>
      </c>
      <c r="B94" s="3129" t="s">
        <v>2589</v>
      </c>
      <c r="C94" s="3129" t="s">
        <v>2590</v>
      </c>
      <c r="D94" s="3129" t="s">
        <v>2591</v>
      </c>
      <c r="E94" s="3129" t="s">
        <v>2592</v>
      </c>
      <c r="F94" s="3129" t="s">
        <v>2593</v>
      </c>
      <c r="G94" s="3129" t="s">
        <v>2594</v>
      </c>
      <c r="H94" s="3130" t="s">
        <v>2595</v>
      </c>
      <c r="I94" s="3130" t="s">
        <v>2596</v>
      </c>
      <c r="J94" s="3131" t="s">
        <v>2597</v>
      </c>
      <c r="K94" s="3131" t="s">
        <v>2598</v>
      </c>
      <c r="L94" s="3131" t="s">
        <v>2599</v>
      </c>
      <c r="M94" s="3132" t="s">
        <v>2600</v>
      </c>
      <c r="N94" s="750">
        <f>SUMPRODUCT((A95:A184=ROUNDDOWN(基准地价修正!G3,1))*(B94:M94=基准地价修正!G2)*(B95:M184))</f>
        <v>1.2302</v>
      </c>
      <c r="Q94" s="3142" t="s">
        <v>2798</v>
      </c>
      <c r="R94" s="3142" t="s">
        <v>2799</v>
      </c>
      <c r="S94" s="3142" t="s">
        <v>2800</v>
      </c>
      <c r="T94" s="3142" t="s">
        <v>2801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 thickBot="1">
      <c r="A185" s="3127" t="s">
        <v>2795</v>
      </c>
      <c r="B185" s="3127"/>
      <c r="C185" s="3127"/>
      <c r="D185" s="3127"/>
      <c r="E185" s="3127"/>
      <c r="F185" s="3127"/>
      <c r="G185" s="3127"/>
      <c r="H185" s="3127"/>
      <c r="I185" s="3127"/>
      <c r="J185" s="3127"/>
      <c r="K185" s="3127"/>
      <c r="L185" s="3127"/>
      <c r="M185" s="3127"/>
    </row>
    <row r="186" spans="1:20">
      <c r="A186" s="3128" t="s">
        <v>2793</v>
      </c>
      <c r="B186" s="3129" t="s">
        <v>2589</v>
      </c>
      <c r="C186" s="3129" t="s">
        <v>2590</v>
      </c>
      <c r="D186" s="3129" t="s">
        <v>2591</v>
      </c>
      <c r="E186" s="3129" t="s">
        <v>2592</v>
      </c>
      <c r="F186" s="3129" t="s">
        <v>2593</v>
      </c>
      <c r="G186" s="3129" t="s">
        <v>2594</v>
      </c>
      <c r="H186" s="3130" t="s">
        <v>2595</v>
      </c>
      <c r="I186" s="3130" t="s">
        <v>2596</v>
      </c>
      <c r="J186" s="3131" t="s">
        <v>2597</v>
      </c>
      <c r="K186" s="3131" t="s">
        <v>2598</v>
      </c>
      <c r="L186" s="3131" t="s">
        <v>2599</v>
      </c>
      <c r="M186" s="3132" t="s">
        <v>2600</v>
      </c>
      <c r="Q186" s="3142" t="s">
        <v>2798</v>
      </c>
      <c r="R186" s="3142" t="s">
        <v>2799</v>
      </c>
      <c r="S186" s="3142" t="s">
        <v>2800</v>
      </c>
      <c r="T186" s="3142" t="s">
        <v>2801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 thickBot="1">
      <c r="A277" s="3127" t="s">
        <v>2796</v>
      </c>
      <c r="B277" s="3127"/>
      <c r="C277" s="3127"/>
      <c r="D277" s="3127"/>
      <c r="E277" s="3127"/>
      <c r="F277" s="3127"/>
      <c r="G277" s="3127"/>
      <c r="H277" s="3127"/>
      <c r="I277" s="3127"/>
      <c r="J277" s="3127"/>
      <c r="K277" s="3127"/>
      <c r="L277" s="3127"/>
      <c r="M277" s="3127"/>
    </row>
    <row r="278" spans="1:21">
      <c r="A278" s="3128" t="s">
        <v>2793</v>
      </c>
      <c r="B278" s="3129" t="s">
        <v>2589</v>
      </c>
      <c r="C278" s="3129" t="s">
        <v>2590</v>
      </c>
      <c r="D278" s="3129" t="s">
        <v>2591</v>
      </c>
      <c r="E278" s="3129" t="s">
        <v>2592</v>
      </c>
      <c r="F278" s="3129" t="s">
        <v>2593</v>
      </c>
      <c r="G278" s="3129" t="s">
        <v>2594</v>
      </c>
      <c r="H278" s="3130" t="s">
        <v>2595</v>
      </c>
      <c r="I278" s="3130" t="s">
        <v>2596</v>
      </c>
      <c r="J278" s="3131" t="s">
        <v>2597</v>
      </c>
      <c r="K278" s="3131" t="s">
        <v>2598</v>
      </c>
      <c r="L278" s="3131" t="s">
        <v>2599</v>
      </c>
      <c r="M278" s="3132" t="s">
        <v>2600</v>
      </c>
      <c r="Q278" s="3142" t="s">
        <v>2798</v>
      </c>
      <c r="R278" s="3142" t="s">
        <v>2799</v>
      </c>
      <c r="S278" s="3142" t="s">
        <v>2802</v>
      </c>
      <c r="T278" s="3142" t="s">
        <v>2803</v>
      </c>
      <c r="U278" s="3142" t="s">
        <v>2801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 thickBot="1">
      <c r="A369" s="3127" t="s">
        <v>2797</v>
      </c>
      <c r="B369" s="3140"/>
      <c r="C369" s="3140"/>
      <c r="D369" s="3140"/>
      <c r="E369" s="3140"/>
      <c r="F369" s="3140"/>
      <c r="G369" s="3140"/>
      <c r="H369" s="3140"/>
      <c r="I369" s="3140"/>
      <c r="J369" s="3140"/>
      <c r="K369" s="3140"/>
      <c r="L369" s="3140"/>
      <c r="M369" s="3140"/>
    </row>
    <row r="370" spans="1:20">
      <c r="A370" s="3128" t="s">
        <v>2793</v>
      </c>
      <c r="B370" s="3129" t="s">
        <v>2589</v>
      </c>
      <c r="C370" s="3129" t="s">
        <v>2590</v>
      </c>
      <c r="D370" s="3129" t="s">
        <v>2591</v>
      </c>
      <c r="E370" s="3129" t="s">
        <v>2592</v>
      </c>
      <c r="F370" s="3129" t="s">
        <v>2593</v>
      </c>
      <c r="G370" s="3129" t="s">
        <v>2594</v>
      </c>
      <c r="H370" s="3130" t="s">
        <v>2595</v>
      </c>
      <c r="I370" s="3130" t="s">
        <v>2596</v>
      </c>
      <c r="J370" s="3131" t="s">
        <v>2597</v>
      </c>
      <c r="K370" s="3131" t="s">
        <v>2598</v>
      </c>
      <c r="L370" s="3131" t="s">
        <v>2599</v>
      </c>
      <c r="M370" s="3132" t="s">
        <v>2600</v>
      </c>
      <c r="N370" s="750">
        <f>SUMPRODUCT((A371:A460=ROUNDDOWN(基准地价修正!G3,1))*(B370:M370=基准地价修正!G2)*(B371:M460))</f>
        <v>1.1198999999999999</v>
      </c>
      <c r="Q370" s="3142" t="s">
        <v>2798</v>
      </c>
      <c r="R370" s="3142" t="s">
        <v>2799</v>
      </c>
      <c r="S370" s="3142" t="s">
        <v>2800</v>
      </c>
      <c r="T370" s="3142" t="s">
        <v>2801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69" customWidth="1"/>
    <col min="2" max="2" width="29.1640625" style="251" customWidth="1"/>
    <col min="3" max="3" width="12.1640625" style="251" customWidth="1"/>
    <col min="4" max="5" width="11.1640625" style="272" customWidth="1"/>
    <col min="6" max="6" width="9.5" style="251" customWidth="1"/>
    <col min="7" max="7" width="31.83203125" style="251" customWidth="1"/>
    <col min="8" max="254" width="9" style="251" customWidth="1"/>
    <col min="255" max="16384" width="8.33203125" style="251"/>
  </cols>
  <sheetData>
    <row r="1" spans="1:7" s="200" customFormat="1" ht="20">
      <c r="A1" s="196" t="s">
        <v>56</v>
      </c>
      <c r="B1" s="197"/>
      <c r="C1" s="198"/>
      <c r="D1" s="198"/>
      <c r="E1" s="198"/>
      <c r="F1" s="198"/>
      <c r="G1" s="199"/>
    </row>
    <row r="2" spans="1:7" s="200" customFormat="1" ht="18" customHeight="1">
      <c r="A2" s="201" t="s">
        <v>57</v>
      </c>
      <c r="B2" s="202">
        <f ca="1">C52</f>
        <v>34357</v>
      </c>
      <c r="C2" s="2" t="s">
        <v>106</v>
      </c>
      <c r="D2" s="199"/>
      <c r="E2" s="199"/>
      <c r="F2" s="199"/>
      <c r="G2" s="199"/>
    </row>
    <row r="3" spans="1:7" s="200" customFormat="1" ht="18" customHeight="1" thickBot="1">
      <c r="A3" s="203" t="s">
        <v>58</v>
      </c>
      <c r="B3" s="204">
        <f ca="1">ROUND(B2*10000/'数据-汇总表'!E3,0)</f>
        <v>13348</v>
      </c>
      <c r="C3" s="2" t="s">
        <v>107</v>
      </c>
      <c r="D3" s="199"/>
      <c r="E3" s="199"/>
      <c r="F3" s="199"/>
      <c r="G3" s="199"/>
    </row>
    <row r="4" spans="1:7" s="208" customFormat="1" ht="16">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ht="14">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206</v>
      </c>
      <c r="D10" s="845">
        <f>'数据-汇总表'!E6</f>
        <v>25739.82</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515</v>
      </c>
      <c r="D19" s="849">
        <f>'数据-汇总表'!E3</f>
        <v>25739.82</v>
      </c>
      <c r="E19" s="211">
        <f>'数据-取费表'!B31</f>
        <v>200</v>
      </c>
      <c r="F19" s="231"/>
      <c r="G19" s="1" t="s">
        <v>436</v>
      </c>
    </row>
    <row r="20" spans="1:7" s="214" customFormat="1" ht="13.5" customHeight="1">
      <c r="A20" s="777" t="s">
        <v>419</v>
      </c>
      <c r="B20" s="210" t="s">
        <v>77</v>
      </c>
      <c r="C20" s="232">
        <f>ROUND((C5+C19)*F20,0)</f>
        <v>634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1348</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32</v>
      </c>
      <c r="D24" s="238"/>
      <c r="E24" s="238"/>
      <c r="F24" s="239"/>
      <c r="G24" s="240" t="s">
        <v>82</v>
      </c>
    </row>
    <row r="25" spans="1:7" s="214" customFormat="1" ht="30">
      <c r="A25" s="780" t="s">
        <v>348</v>
      </c>
      <c r="B25" s="215" t="s">
        <v>420</v>
      </c>
      <c r="C25" s="1105">
        <f ca="1">ROUND(IF('数据-取费表'!B22&lt;=1,C20*F22*'数据-取费表'!B23/2,C20*(POWER((1+F22),'数据-取费表'!B23/2)-1)),0)</f>
        <v>20</v>
      </c>
      <c r="D25" s="238"/>
      <c r="E25" s="241"/>
      <c r="F25" s="239"/>
      <c r="G25" s="242" t="s">
        <v>83</v>
      </c>
    </row>
    <row r="26" spans="1:7" s="214" customFormat="1" ht="14">
      <c r="A26" s="780" t="s">
        <v>350</v>
      </c>
      <c r="B26" s="215" t="s">
        <v>422</v>
      </c>
      <c r="C26" s="238">
        <f ca="1">ROUND(IF('数据-取费表'!B22&lt;=1,F21*F22*'数据-取费表'!B23/2,F21*(POWER((1+F22),'数据-取费表'!B23/2)-1)),4)</f>
        <v>8.9999999999999998E-4</v>
      </c>
      <c r="D26" s="238"/>
      <c r="E26" s="241"/>
      <c r="F26" s="239"/>
      <c r="G26" s="243"/>
    </row>
    <row r="27" spans="1:7" s="214" customFormat="1" ht="30">
      <c r="A27" s="777" t="s">
        <v>342</v>
      </c>
      <c r="B27" s="244" t="s">
        <v>85</v>
      </c>
      <c r="C27" s="245">
        <f>C28</f>
        <v>2176</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2176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27670</v>
      </c>
      <c r="D31" s="230"/>
      <c r="E31" s="211"/>
      <c r="F31" s="250"/>
      <c r="G31" s="234" t="s">
        <v>432</v>
      </c>
    </row>
    <row r="32" spans="1:7" s="208" customFormat="1" ht="16">
      <c r="A32" s="252" t="s">
        <v>87</v>
      </c>
      <c r="B32" s="253"/>
      <c r="C32" s="253"/>
      <c r="D32" s="253"/>
      <c r="E32" s="253"/>
      <c r="F32" s="253"/>
      <c r="G32" s="254"/>
    </row>
    <row r="33" spans="1:7" s="214" customFormat="1" ht="13.5" customHeight="1">
      <c r="A33" s="255" t="s">
        <v>337</v>
      </c>
      <c r="B33" s="210" t="s">
        <v>88</v>
      </c>
      <c r="C33" s="256">
        <f>SUM(C34:C38)</f>
        <v>5894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5148</v>
      </c>
      <c r="D34" s="217"/>
      <c r="E34" s="220"/>
      <c r="F34" s="257">
        <f>IF('数据-取费表'!B24=0,1,'数据-取费表'!N16)</f>
        <v>1</v>
      </c>
      <c r="G34" s="219" t="s">
        <v>89</v>
      </c>
    </row>
    <row r="35" spans="1:7" ht="13.5" customHeight="1">
      <c r="A35" s="780" t="s">
        <v>351</v>
      </c>
      <c r="B35" s="215" t="s">
        <v>33</v>
      </c>
      <c r="C35" s="220">
        <f>ROUND(C34*F35,0)</f>
        <v>154</v>
      </c>
      <c r="D35" s="220"/>
      <c r="E35" s="220"/>
      <c r="F35" s="259">
        <f>'数据-取费表'!B33</f>
        <v>0.03</v>
      </c>
      <c r="G35" s="219" t="s">
        <v>90</v>
      </c>
    </row>
    <row r="36" spans="1:7" ht="30">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515</v>
      </c>
      <c r="D37" s="217">
        <f>'数据-汇总表'!E3</f>
        <v>25739.82</v>
      </c>
      <c r="E37" s="249">
        <f>'数据-取费表'!B35</f>
        <v>200</v>
      </c>
      <c r="F37" s="259"/>
      <c r="G37" s="261" t="s">
        <v>92</v>
      </c>
    </row>
    <row r="38" spans="1:7" ht="13.5" customHeight="1">
      <c r="A38" s="780" t="s">
        <v>354</v>
      </c>
      <c r="B38" s="215" t="s">
        <v>36</v>
      </c>
      <c r="C38" s="220">
        <f>ROUND(C34*F38,0)</f>
        <v>77</v>
      </c>
      <c r="D38" s="220"/>
      <c r="E38" s="220"/>
      <c r="F38" s="259">
        <f>'数据-取费表'!B36</f>
        <v>1.4999999999999999E-2</v>
      </c>
      <c r="G38" s="219" t="s">
        <v>90</v>
      </c>
    </row>
    <row r="39" spans="1:7" s="214" customFormat="1" ht="13.5" customHeight="1">
      <c r="A39" s="777" t="s">
        <v>338</v>
      </c>
      <c r="B39" s="210" t="s">
        <v>77</v>
      </c>
      <c r="C39" s="232">
        <f>ROUND(C33*F20,0)</f>
        <v>177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188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183</v>
      </c>
      <c r="D42" s="238"/>
      <c r="E42" s="238"/>
      <c r="F42" s="239"/>
      <c r="G42" s="3639" t="s">
        <v>94</v>
      </c>
    </row>
    <row r="43" spans="1:7" ht="13.5" customHeight="1">
      <c r="A43" s="780" t="s">
        <v>347</v>
      </c>
      <c r="B43" s="215" t="s">
        <v>426</v>
      </c>
      <c r="C43" s="238">
        <f ca="1">ROUND(IF('数据-取费表'!B22&lt;=1,C39*F22*'数据-取费表'!B21/2,C39*(POWER((1+F22),'数据-取费表'!B21/2)-1)),0)</f>
        <v>5</v>
      </c>
      <c r="D43" s="238"/>
      <c r="E43" s="238"/>
      <c r="F43" s="239"/>
      <c r="G43" s="3640"/>
    </row>
    <row r="44" spans="1:7" ht="13.5" customHeight="1">
      <c r="A44" s="780" t="s">
        <v>348</v>
      </c>
      <c r="B44" s="215" t="s">
        <v>428</v>
      </c>
      <c r="C44" s="238">
        <f ca="1">ROUND(IF('数据-取费表'!B22&lt;=1,C40*F22*'数据-取费表'!B21/2,C40*(POWER((1+F22),'数据-取费表'!B21/2)-1)),4)</f>
        <v>8.9999999999999998E-4</v>
      </c>
      <c r="D44" s="238"/>
      <c r="E44" s="238"/>
      <c r="F44" s="239"/>
      <c r="G44" s="3641"/>
    </row>
    <row r="45" spans="1:7" s="214" customFormat="1" ht="13.5" customHeight="1">
      <c r="A45" s="777" t="s">
        <v>341</v>
      </c>
      <c r="B45" s="244" t="s">
        <v>85</v>
      </c>
      <c r="C45" s="245">
        <f>C46</f>
        <v>607</v>
      </c>
      <c r="D45" s="235">
        <f>C47</f>
        <v>3.0000000000000001E-3</v>
      </c>
      <c r="E45" s="236" t="s">
        <v>102</v>
      </c>
      <c r="F45" s="246"/>
      <c r="G45" s="247" t="s">
        <v>434</v>
      </c>
    </row>
    <row r="46" spans="1:7" s="214" customFormat="1" ht="13.5" customHeight="1">
      <c r="A46" s="780" t="s">
        <v>349</v>
      </c>
      <c r="B46" s="248" t="s">
        <v>427</v>
      </c>
      <c r="C46" s="249">
        <f>ROUND((C33+C39)*F27,0)</f>
        <v>607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7514</v>
      </c>
      <c r="D49" s="232"/>
      <c r="E49" s="232"/>
      <c r="F49" s="264"/>
      <c r="G49" s="234" t="s">
        <v>435</v>
      </c>
    </row>
    <row r="50" spans="1:7" s="258" customFormat="1" ht="30">
      <c r="A50" s="777" t="s">
        <v>344</v>
      </c>
      <c r="B50" s="210" t="s">
        <v>97</v>
      </c>
      <c r="C50" s="232"/>
      <c r="D50" s="232"/>
      <c r="E50" s="232"/>
      <c r="F50" s="264">
        <f>IF('数据-取费表'!B24=0,'数据-取费表'!N16,1)</f>
        <v>0.89</v>
      </c>
      <c r="G50" s="247" t="s">
        <v>98</v>
      </c>
    </row>
    <row r="51" spans="1:7" ht="16.5" customHeight="1">
      <c r="A51" s="777" t="s">
        <v>345</v>
      </c>
      <c r="B51" s="210" t="s">
        <v>105</v>
      </c>
      <c r="C51" s="232">
        <f ca="1">ROUND(C49*F50,0)</f>
        <v>6687</v>
      </c>
      <c r="D51" s="232"/>
      <c r="E51" s="232"/>
      <c r="F51" s="264"/>
      <c r="G51" s="234" t="s">
        <v>37</v>
      </c>
    </row>
    <row r="52" spans="1:7" s="208" customFormat="1" ht="17" thickBot="1">
      <c r="A52" s="265" t="s">
        <v>38</v>
      </c>
      <c r="B52" s="266"/>
      <c r="C52" s="267">
        <f ca="1">C31+C51</f>
        <v>34357</v>
      </c>
      <c r="D52" s="266"/>
      <c r="E52" s="266"/>
      <c r="F52" s="266"/>
      <c r="G52" s="268"/>
    </row>
    <row r="55" spans="1:7" ht="16">
      <c r="B55" s="270" t="s">
        <v>39</v>
      </c>
      <c r="C55" s="271"/>
    </row>
    <row r="56" spans="1:7" ht="14">
      <c r="B56" s="273" t="s">
        <v>40</v>
      </c>
      <c r="C56" s="274">
        <f ca="1">ROUND(C51/C52,3)</f>
        <v>0.19500000000000001</v>
      </c>
    </row>
    <row r="57" spans="1:7" ht="14">
      <c r="B57" s="273" t="s">
        <v>41</v>
      </c>
      <c r="C57" s="275">
        <f ca="1">1-C56</f>
        <v>0.80499999999999994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492" customWidth="1"/>
    <col min="2" max="2" width="37.1640625" style="1492" customWidth="1"/>
    <col min="3" max="3" width="11.33203125" style="1492" customWidth="1"/>
    <col min="4" max="4" width="31.6640625" style="1492" customWidth="1"/>
    <col min="5" max="5" width="0.5" style="1492" customWidth="1"/>
    <col min="6" max="7" width="13" style="1492" customWidth="1"/>
    <col min="8" max="16384" width="9" style="1492"/>
  </cols>
  <sheetData>
    <row r="1" spans="1:5" ht="18">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 thickBot="1">
      <c r="A4" s="1493"/>
      <c r="B4" s="3460" t="s">
        <v>917</v>
      </c>
      <c r="C4" s="3460"/>
      <c r="D4" s="3460"/>
      <c r="E4" s="1493"/>
    </row>
    <row r="5" spans="1:5" ht="17" thickTop="1">
      <c r="A5" s="1491"/>
      <c r="B5" s="3458" t="s">
        <v>909</v>
      </c>
      <c r="C5" s="1494" t="s">
        <v>910</v>
      </c>
      <c r="D5" s="850" t="e">
        <f ca="1">结果表!H101</f>
        <v>#REF!</v>
      </c>
      <c r="E5" s="1491"/>
    </row>
    <row r="6" spans="1:5" ht="16">
      <c r="A6" s="1491"/>
      <c r="B6" s="3458"/>
      <c r="C6" s="1494" t="s">
        <v>911</v>
      </c>
      <c r="D6" s="850" t="e">
        <f ca="1">NUMBERSTRING(INT(D5*10000),2)&amp;"元整"</f>
        <v>#REF!</v>
      </c>
      <c r="E6" s="1491"/>
    </row>
    <row r="7" spans="1:5" ht="16">
      <c r="A7" s="1491"/>
      <c r="B7" s="3463"/>
      <c r="C7" s="1495" t="s">
        <v>912</v>
      </c>
      <c r="D7" s="851" t="e">
        <f ca="1">结果表!H102</f>
        <v>#REF!</v>
      </c>
      <c r="E7" s="1491"/>
    </row>
    <row r="8" spans="1:5" ht="16">
      <c r="A8" s="1491"/>
      <c r="B8" s="3464" t="str">
        <f>结果表!E103</f>
        <v>2.估价师知悉的法定优先受偿款</v>
      </c>
      <c r="C8" s="1496" t="s">
        <v>913</v>
      </c>
      <c r="D8" s="851">
        <f>结果表!H103</f>
        <v>0</v>
      </c>
      <c r="E8" s="1491"/>
    </row>
    <row r="9" spans="1:5" ht="17">
      <c r="A9" s="1491"/>
      <c r="B9" s="3466"/>
      <c r="C9" s="1494" t="s">
        <v>911</v>
      </c>
      <c r="D9" s="850" t="str">
        <f>NUMBERSTRING(INT(D8*10000),2)&amp;"元整"</f>
        <v>零元整</v>
      </c>
      <c r="E9" s="1491"/>
    </row>
    <row r="10" spans="1:5" ht="17">
      <c r="A10" s="1491"/>
      <c r="B10" s="1497" t="s">
        <v>916</v>
      </c>
      <c r="C10" s="1498" t="s">
        <v>914</v>
      </c>
      <c r="D10" s="852">
        <f>结果表!H104</f>
        <v>0</v>
      </c>
      <c r="E10" s="1491"/>
    </row>
    <row r="11" spans="1:5" ht="17">
      <c r="A11" s="1491"/>
      <c r="B11" s="1497" t="s">
        <v>918</v>
      </c>
      <c r="C11" s="1498" t="s">
        <v>919</v>
      </c>
      <c r="D11" s="852">
        <f>结果表!H105</f>
        <v>0</v>
      </c>
      <c r="E11" s="1491"/>
    </row>
    <row r="12" spans="1:5" ht="17">
      <c r="A12" s="1491"/>
      <c r="B12" s="1497" t="s">
        <v>920</v>
      </c>
      <c r="C12" s="1498" t="s">
        <v>919</v>
      </c>
      <c r="D12" s="852">
        <f>结果表!H106</f>
        <v>0</v>
      </c>
      <c r="E12" s="1491"/>
    </row>
    <row r="13" spans="1:5" ht="16">
      <c r="A13" s="1491"/>
      <c r="B13" s="3457" t="str">
        <f>结果表!E107</f>
        <v>3.房地产抵押价值</v>
      </c>
      <c r="C13" s="1499" t="s">
        <v>910</v>
      </c>
      <c r="D13" s="853" t="e">
        <f ca="1">结果表!H107</f>
        <v>#REF!</v>
      </c>
      <c r="E13" s="1491"/>
    </row>
    <row r="14" spans="1:5" ht="16">
      <c r="A14" s="1491"/>
      <c r="B14" s="3458"/>
      <c r="C14" s="1494" t="s">
        <v>911</v>
      </c>
      <c r="D14" s="850" t="e">
        <f ca="1">NUMBERSTRING(INT(D13*10000),2)&amp;"元整"</f>
        <v>#REF!</v>
      </c>
      <c r="E14" s="1491"/>
    </row>
    <row r="15" spans="1:5" ht="16">
      <c r="A15" s="1491"/>
      <c r="B15" s="3463"/>
      <c r="C15" s="1495" t="s">
        <v>921</v>
      </c>
      <c r="D15" s="859" t="e">
        <f ca="1">结果表!H108</f>
        <v>#REF!</v>
      </c>
      <c r="E15" s="1491"/>
    </row>
    <row r="16" spans="1:5" ht="16">
      <c r="A16" s="1491"/>
      <c r="B16" s="3464" t="str">
        <f>结果表!E109</f>
        <v>——</v>
      </c>
      <c r="C16" s="1499" t="s">
        <v>922</v>
      </c>
      <c r="D16" s="1500" t="str">
        <f>结果表!H109</f>
        <v>——</v>
      </c>
      <c r="E16" s="1491"/>
    </row>
    <row r="17" spans="1:5" ht="16">
      <c r="A17" s="1491"/>
      <c r="B17" s="3465"/>
      <c r="C17" s="1494" t="s">
        <v>923</v>
      </c>
      <c r="D17" s="850" t="e">
        <f>NUMBERSTRING(INT(D16*10000),2)&amp;"元整"</f>
        <v>#VALUE!</v>
      </c>
      <c r="E17" s="1491"/>
    </row>
    <row r="18" spans="1:5" ht="17">
      <c r="A18" s="1491"/>
      <c r="B18" s="3466"/>
      <c r="C18" s="1495" t="s">
        <v>912</v>
      </c>
      <c r="D18" s="859" t="str">
        <f>结果表!H110</f>
        <v>——</v>
      </c>
      <c r="E18" s="1491"/>
    </row>
    <row r="19" spans="1:5" ht="17">
      <c r="A19" s="1491"/>
      <c r="B19" s="3457" t="str">
        <f>结果表!E111</f>
        <v>——</v>
      </c>
      <c r="C19" s="1499" t="s">
        <v>910</v>
      </c>
      <c r="D19" s="851" t="str">
        <f>结果表!H111</f>
        <v>——</v>
      </c>
      <c r="E19" s="1491"/>
    </row>
    <row r="20" spans="1:5" ht="16">
      <c r="A20" s="1491"/>
      <c r="B20" s="3458"/>
      <c r="C20" s="1494" t="s">
        <v>923</v>
      </c>
      <c r="D20" s="850" t="e">
        <f>NUMBERSTRING(INT(D19*10000),2)&amp;"元整"</f>
        <v>#VALUE!</v>
      </c>
      <c r="E20" s="1491"/>
    </row>
    <row r="21" spans="1:5" ht="18"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E1" workbookViewId="0">
      <selection activeCell="E1" sqref="A1:XFD1048576"/>
    </sheetView>
  </sheetViews>
  <sheetFormatPr baseColWidth="10" defaultColWidth="8.83203125" defaultRowHeight="13"/>
  <cols>
    <col min="1" max="1" width="9.6640625" style="3227" customWidth="1"/>
    <col min="2" max="2" width="18.6640625" style="3227" customWidth="1"/>
    <col min="3" max="6" width="10.1640625" style="3227" customWidth="1"/>
    <col min="7" max="7" width="10.5" style="3227" bestFit="1" customWidth="1"/>
    <col min="8" max="8" width="8.83203125" style="3223"/>
    <col min="9" max="9" width="13.33203125" style="3223" customWidth="1"/>
    <col min="10" max="13" width="13.33203125" style="3227" customWidth="1"/>
    <col min="14" max="14" width="18.1640625" style="3227" customWidth="1"/>
    <col min="15" max="17" width="15.1640625" style="3227" customWidth="1"/>
    <col min="18" max="20" width="11.5" style="3227" customWidth="1"/>
    <col min="21" max="16384" width="8.83203125" style="3227"/>
  </cols>
  <sheetData>
    <row r="1" spans="1:20" ht="14" thickBot="1">
      <c r="A1" s="3777" t="s">
        <v>2839</v>
      </c>
      <c r="B1" s="3777"/>
      <c r="C1" s="3777"/>
      <c r="D1" s="3777"/>
      <c r="E1" s="3777"/>
      <c r="F1" s="3777"/>
      <c r="G1" s="3778"/>
      <c r="I1" s="3224" t="s">
        <v>2840</v>
      </c>
      <c r="J1" s="3225" t="s">
        <v>2841</v>
      </c>
      <c r="K1" s="3225" t="s">
        <v>2842</v>
      </c>
      <c r="L1" s="3225" t="s">
        <v>2843</v>
      </c>
      <c r="M1" s="3225" t="s">
        <v>2844</v>
      </c>
      <c r="N1" s="3225" t="s">
        <v>2845</v>
      </c>
      <c r="O1" s="3225" t="s">
        <v>2846</v>
      </c>
      <c r="P1" s="3225" t="s">
        <v>2847</v>
      </c>
      <c r="Q1" s="3225" t="s">
        <v>2848</v>
      </c>
      <c r="R1" s="3225" t="s">
        <v>2849</v>
      </c>
      <c r="S1" s="3225" t="s">
        <v>2850</v>
      </c>
      <c r="T1" s="3226" t="s">
        <v>2851</v>
      </c>
    </row>
    <row r="2" spans="1:20" ht="15" thickBot="1">
      <c r="A2" s="3228" t="s">
        <v>2852</v>
      </c>
      <c r="B2" s="3228"/>
      <c r="C2" s="3228"/>
      <c r="D2" s="3228"/>
      <c r="E2" s="3228"/>
      <c r="F2" s="3228"/>
      <c r="G2" s="3229" t="s">
        <v>2853</v>
      </c>
      <c r="I2" s="3230" t="s">
        <v>2854</v>
      </c>
      <c r="J2" s="3230" t="s">
        <v>2855</v>
      </c>
      <c r="K2" s="3230" t="s">
        <v>2856</v>
      </c>
      <c r="L2" s="3230" t="s">
        <v>2857</v>
      </c>
      <c r="M2" s="3230" t="s">
        <v>2858</v>
      </c>
      <c r="N2" s="3230" t="s">
        <v>2859</v>
      </c>
      <c r="O2" s="3230" t="s">
        <v>2860</v>
      </c>
      <c r="P2" s="3230" t="s">
        <v>2861</v>
      </c>
      <c r="Q2" s="3230" t="s">
        <v>2862</v>
      </c>
      <c r="R2" s="3230" t="s">
        <v>2863</v>
      </c>
      <c r="S2" s="3230" t="s">
        <v>2864</v>
      </c>
      <c r="T2" s="3230" t="s">
        <v>2865</v>
      </c>
    </row>
    <row r="3" spans="1:20" s="3236" customFormat="1" ht="14">
      <c r="A3" s="3775" t="s">
        <v>2866</v>
      </c>
      <c r="B3" s="3231"/>
      <c r="C3" s="3232" t="s">
        <v>2805</v>
      </c>
      <c r="D3" s="3232" t="s">
        <v>2867</v>
      </c>
      <c r="E3" s="3232" t="s">
        <v>2807</v>
      </c>
      <c r="F3" s="3232" t="s">
        <v>2868</v>
      </c>
      <c r="G3" s="3232" t="s">
        <v>2625</v>
      </c>
      <c r="H3" s="3233"/>
      <c r="I3" s="3234" t="s">
        <v>2869</v>
      </c>
      <c r="J3" s="3235" t="s">
        <v>128</v>
      </c>
      <c r="K3" s="3235" t="s">
        <v>129</v>
      </c>
      <c r="L3" s="3234" t="s">
        <v>130</v>
      </c>
      <c r="M3" s="3234" t="s">
        <v>131</v>
      </c>
      <c r="N3" s="3234" t="s">
        <v>132</v>
      </c>
      <c r="O3" s="3234" t="s">
        <v>133</v>
      </c>
      <c r="P3" s="3234" t="s">
        <v>134</v>
      </c>
      <c r="Q3" s="3234" t="s">
        <v>135</v>
      </c>
      <c r="R3" s="3234" t="s">
        <v>136</v>
      </c>
      <c r="S3" s="3234" t="s">
        <v>2870</v>
      </c>
      <c r="T3" s="3234" t="s">
        <v>2871</v>
      </c>
    </row>
    <row r="4" spans="1:20" s="3236" customFormat="1" ht="15" thickBot="1">
      <c r="A4" s="3776"/>
      <c r="B4" s="3237" t="s">
        <v>2872</v>
      </c>
      <c r="C4" s="3237" t="s">
        <v>2873</v>
      </c>
      <c r="D4" s="3237" t="s">
        <v>2873</v>
      </c>
      <c r="E4" s="3237" t="s">
        <v>2873</v>
      </c>
      <c r="F4" s="3238" t="s">
        <v>2873</v>
      </c>
      <c r="G4" s="3238" t="s">
        <v>2873</v>
      </c>
      <c r="H4" s="3233"/>
      <c r="I4" s="3235" t="s">
        <v>137</v>
      </c>
      <c r="J4" s="3235" t="s">
        <v>111</v>
      </c>
      <c r="K4" s="3235" t="s">
        <v>138</v>
      </c>
      <c r="L4" s="3234" t="s">
        <v>139</v>
      </c>
      <c r="M4" s="3234" t="s">
        <v>140</v>
      </c>
      <c r="N4" s="3234" t="s">
        <v>141</v>
      </c>
      <c r="O4" s="3234" t="s">
        <v>142</v>
      </c>
      <c r="P4" s="3234" t="s">
        <v>143</v>
      </c>
      <c r="Q4" s="3234" t="s">
        <v>2874</v>
      </c>
      <c r="R4" s="3234" t="s">
        <v>2875</v>
      </c>
      <c r="S4" s="3234" t="s">
        <v>2876</v>
      </c>
      <c r="T4" s="3234" t="s">
        <v>2877</v>
      </c>
    </row>
    <row r="5" spans="1:20" ht="14">
      <c r="A5" s="3239" t="s">
        <v>2840</v>
      </c>
      <c r="B5" s="3230" t="s">
        <v>2854</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2878</v>
      </c>
      <c r="R5" s="3234" t="s">
        <v>2879</v>
      </c>
      <c r="S5" s="3234" t="s">
        <v>153</v>
      </c>
      <c r="T5" s="3234" t="s">
        <v>2880</v>
      </c>
    </row>
    <row r="6" spans="1:20" ht="15" thickBot="1">
      <c r="A6" s="3234" t="s">
        <v>144</v>
      </c>
      <c r="B6" s="3234" t="s">
        <v>2869</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2881</v>
      </c>
      <c r="Q6" s="3234" t="s">
        <v>2882</v>
      </c>
      <c r="R6" s="3234" t="s">
        <v>161</v>
      </c>
      <c r="S6" s="3234" t="s">
        <v>2883</v>
      </c>
      <c r="T6" s="3234" t="s">
        <v>2884</v>
      </c>
    </row>
    <row r="7" spans="1:20" ht="14">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2885</v>
      </c>
      <c r="Q7" s="3234" t="s">
        <v>2886</v>
      </c>
      <c r="R7" s="3234" t="s">
        <v>2887</v>
      </c>
      <c r="S7" s="3234" t="s">
        <v>2888</v>
      </c>
      <c r="T7" s="3234" t="s">
        <v>2889</v>
      </c>
    </row>
    <row r="8" spans="1:20" ht="15"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2890</v>
      </c>
      <c r="Q8" s="3234" t="s">
        <v>174</v>
      </c>
      <c r="R8" s="3234" t="s">
        <v>2891</v>
      </c>
      <c r="S8" s="3234" t="s">
        <v>2892</v>
      </c>
      <c r="T8" s="3241" t="s">
        <v>2893</v>
      </c>
    </row>
    <row r="9" spans="1:20" ht="15"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2894</v>
      </c>
      <c r="Q9" s="3234" t="s">
        <v>182</v>
      </c>
      <c r="R9" s="3234" t="s">
        <v>183</v>
      </c>
      <c r="S9" s="3234" t="s">
        <v>200</v>
      </c>
    </row>
    <row r="10" spans="1:20" ht="14">
      <c r="A10" s="3239" t="s">
        <v>184</v>
      </c>
      <c r="B10" s="3230" t="s">
        <v>2855</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2895</v>
      </c>
    </row>
    <row r="11" spans="1:20" ht="14">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2896</v>
      </c>
      <c r="P11" s="3234" t="s">
        <v>191</v>
      </c>
      <c r="Q11" s="3234" t="s">
        <v>199</v>
      </c>
      <c r="R11" s="3234" t="s">
        <v>2897</v>
      </c>
      <c r="S11" s="3234" t="s">
        <v>2898</v>
      </c>
    </row>
    <row r="12" spans="1:20" ht="14">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2899</v>
      </c>
      <c r="P12" s="3234" t="s">
        <v>2900</v>
      </c>
      <c r="Q12" s="3234" t="s">
        <v>2901</v>
      </c>
      <c r="R12" s="3234" t="s">
        <v>2902</v>
      </c>
      <c r="S12" s="3234" t="s">
        <v>2903</v>
      </c>
    </row>
    <row r="13" spans="1:20" ht="14">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2904</v>
      </c>
      <c r="P13" s="3234" t="s">
        <v>206</v>
      </c>
      <c r="Q13" s="3234" t="s">
        <v>219</v>
      </c>
      <c r="R13" s="3234" t="s">
        <v>220</v>
      </c>
      <c r="S13" s="3234" t="s">
        <v>214</v>
      </c>
    </row>
    <row r="14" spans="1:20" ht="14">
      <c r="A14" s="3234" t="s">
        <v>184</v>
      </c>
      <c r="B14" s="3235" t="s">
        <v>155</v>
      </c>
      <c r="C14" s="3234">
        <v>30520</v>
      </c>
      <c r="D14" s="3234">
        <v>29510</v>
      </c>
      <c r="E14" s="3234">
        <v>29400</v>
      </c>
      <c r="F14" s="3234">
        <v>9630</v>
      </c>
      <c r="G14" s="3234">
        <v>21480</v>
      </c>
      <c r="H14" s="3233"/>
      <c r="J14" s="3235" t="s">
        <v>2905</v>
      </c>
      <c r="K14" s="3235" t="s">
        <v>215</v>
      </c>
      <c r="L14" s="3234" t="s">
        <v>216</v>
      </c>
      <c r="M14" s="3234" t="s">
        <v>217</v>
      </c>
      <c r="N14" s="3234" t="s">
        <v>218</v>
      </c>
      <c r="O14" s="3234" t="s">
        <v>240</v>
      </c>
      <c r="P14" s="3234" t="s">
        <v>213</v>
      </c>
      <c r="Q14" s="3234" t="s">
        <v>2906</v>
      </c>
      <c r="R14" s="3234" t="s">
        <v>228</v>
      </c>
      <c r="S14" s="3234" t="s">
        <v>221</v>
      </c>
    </row>
    <row r="15" spans="1:20" ht="14">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2907</v>
      </c>
      <c r="P15" s="3234" t="s">
        <v>2908</v>
      </c>
      <c r="Q15" s="3234" t="s">
        <v>242</v>
      </c>
      <c r="R15" s="3234" t="s">
        <v>2909</v>
      </c>
      <c r="S15" s="3234" t="s">
        <v>229</v>
      </c>
    </row>
    <row r="16" spans="1:20" ht="14">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2910</v>
      </c>
      <c r="P16" s="3234" t="s">
        <v>227</v>
      </c>
      <c r="Q16" s="3234" t="s">
        <v>250</v>
      </c>
      <c r="R16" s="3234" t="s">
        <v>207</v>
      </c>
      <c r="S16" s="3234" t="s">
        <v>2911</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2912</v>
      </c>
      <c r="P17" s="3234" t="s">
        <v>2913</v>
      </c>
      <c r="Q17" s="3234" t="s">
        <v>256</v>
      </c>
      <c r="R17" s="3234" t="s">
        <v>2914</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2915</v>
      </c>
      <c r="P18" s="3234" t="s">
        <v>241</v>
      </c>
      <c r="Q18" s="3234" t="s">
        <v>2916</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2917</v>
      </c>
      <c r="P19" s="3234" t="s">
        <v>249</v>
      </c>
      <c r="Q19" s="3234" t="s">
        <v>2918</v>
      </c>
      <c r="R19" s="3234" t="s">
        <v>265</v>
      </c>
      <c r="S19" s="3234" t="s">
        <v>2919</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2920</v>
      </c>
      <c r="P20" s="3234" t="s">
        <v>2921</v>
      </c>
      <c r="Q20" s="3234" t="s">
        <v>290</v>
      </c>
      <c r="R20" s="3234" t="s">
        <v>2922</v>
      </c>
      <c r="S20" s="3234" t="s">
        <v>277</v>
      </c>
    </row>
    <row r="21" spans="1:19" ht="14.25" customHeight="1" thickBot="1">
      <c r="A21" s="3234" t="s">
        <v>184</v>
      </c>
      <c r="B21" s="3235" t="s">
        <v>208</v>
      </c>
      <c r="C21" s="3234">
        <v>32370</v>
      </c>
      <c r="D21" s="3234">
        <v>26730</v>
      </c>
      <c r="E21" s="3234">
        <v>26640</v>
      </c>
      <c r="F21" s="3234"/>
      <c r="G21" s="3234">
        <v>19440</v>
      </c>
      <c r="J21" s="3241" t="s">
        <v>2923</v>
      </c>
      <c r="K21" s="3235" t="s">
        <v>267</v>
      </c>
      <c r="L21" s="3234" t="s">
        <v>268</v>
      </c>
      <c r="M21" s="3234" t="s">
        <v>269</v>
      </c>
      <c r="N21" s="3234" t="s">
        <v>270</v>
      </c>
      <c r="O21" s="3234" t="s">
        <v>264</v>
      </c>
      <c r="P21" s="3234" t="s">
        <v>283</v>
      </c>
      <c r="Q21" s="3234" t="s">
        <v>293</v>
      </c>
      <c r="R21" s="3234" t="s">
        <v>2924</v>
      </c>
      <c r="S21" s="3241" t="s">
        <v>2925</v>
      </c>
    </row>
    <row r="22" spans="1:19" ht="14.25" customHeight="1">
      <c r="A22" s="3234" t="s">
        <v>184</v>
      </c>
      <c r="B22" s="3235" t="s">
        <v>2905</v>
      </c>
      <c r="C22" s="3234">
        <v>29830</v>
      </c>
      <c r="D22" s="3234">
        <v>27600</v>
      </c>
      <c r="E22" s="3234">
        <v>28150</v>
      </c>
      <c r="F22" s="3234"/>
      <c r="G22" s="3234">
        <v>20080</v>
      </c>
      <c r="K22" s="3235" t="s">
        <v>2926</v>
      </c>
      <c r="L22" s="3234" t="s">
        <v>272</v>
      </c>
      <c r="M22" s="3234" t="s">
        <v>273</v>
      </c>
      <c r="N22" s="3234" t="s">
        <v>274</v>
      </c>
      <c r="O22" s="3234" t="s">
        <v>2927</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2928</v>
      </c>
      <c r="L23" s="3234" t="s">
        <v>278</v>
      </c>
      <c r="M23" s="3234" t="s">
        <v>279</v>
      </c>
      <c r="N23" s="3234" t="s">
        <v>2929</v>
      </c>
      <c r="O23" s="3234" t="s">
        <v>2930</v>
      </c>
      <c r="P23" s="3234" t="s">
        <v>289</v>
      </c>
      <c r="Q23" s="3234" t="s">
        <v>298</v>
      </c>
      <c r="R23" s="3234" t="s">
        <v>2931</v>
      </c>
    </row>
    <row r="24" spans="1:19" ht="14.25" customHeight="1">
      <c r="A24" s="3234" t="s">
        <v>184</v>
      </c>
      <c r="B24" s="3235" t="s">
        <v>230</v>
      </c>
      <c r="C24" s="3234">
        <v>27930</v>
      </c>
      <c r="D24" s="3234">
        <v>32260</v>
      </c>
      <c r="E24" s="3234">
        <v>32120</v>
      </c>
      <c r="F24" s="3234"/>
      <c r="G24" s="3234">
        <v>23470</v>
      </c>
      <c r="K24" s="3235" t="s">
        <v>2932</v>
      </c>
      <c r="L24" s="3234" t="s">
        <v>281</v>
      </c>
      <c r="M24" s="3234" t="s">
        <v>282</v>
      </c>
      <c r="N24" s="3234" t="s">
        <v>2933</v>
      </c>
      <c r="O24" s="3234" t="s">
        <v>285</v>
      </c>
      <c r="P24" s="3234" t="s">
        <v>2934</v>
      </c>
      <c r="Q24" s="3243" t="s">
        <v>2935</v>
      </c>
      <c r="R24" s="3234" t="s">
        <v>2936</v>
      </c>
    </row>
    <row r="25" spans="1:19" ht="14.25" customHeight="1">
      <c r="A25" s="3234" t="s">
        <v>184</v>
      </c>
      <c r="B25" s="3235" t="s">
        <v>235</v>
      </c>
      <c r="C25" s="3234">
        <v>32230</v>
      </c>
      <c r="D25" s="3234">
        <v>29640</v>
      </c>
      <c r="E25" s="3234">
        <v>29510</v>
      </c>
      <c r="F25" s="3234"/>
      <c r="G25" s="3234">
        <v>21560</v>
      </c>
      <c r="K25" s="3235" t="s">
        <v>2937</v>
      </c>
      <c r="L25" s="3234" t="s">
        <v>2938</v>
      </c>
      <c r="M25" s="3234" t="s">
        <v>284</v>
      </c>
      <c r="N25" s="3234" t="s">
        <v>292</v>
      </c>
      <c r="O25" s="3234" t="s">
        <v>288</v>
      </c>
      <c r="P25" s="3234" t="s">
        <v>275</v>
      </c>
      <c r="Q25" s="3243" t="s">
        <v>271</v>
      </c>
      <c r="R25" s="3234" t="s">
        <v>2939</v>
      </c>
    </row>
    <row r="26" spans="1:19" ht="14.25" customHeight="1" thickBot="1">
      <c r="A26" s="3234" t="s">
        <v>184</v>
      </c>
      <c r="B26" s="3235" t="s">
        <v>244</v>
      </c>
      <c r="C26" s="3234">
        <v>31690</v>
      </c>
      <c r="D26" s="3234">
        <v>27650</v>
      </c>
      <c r="E26" s="3234">
        <v>28200</v>
      </c>
      <c r="F26" s="3234"/>
      <c r="G26" s="3234">
        <v>20110</v>
      </c>
      <c r="K26" s="3240" t="s">
        <v>2940</v>
      </c>
      <c r="L26" s="3234" t="s">
        <v>2941</v>
      </c>
      <c r="M26" s="3234" t="s">
        <v>287</v>
      </c>
      <c r="N26" s="3234" t="s">
        <v>294</v>
      </c>
      <c r="O26" s="3234" t="s">
        <v>2942</v>
      </c>
      <c r="P26" s="3234" t="s">
        <v>2943</v>
      </c>
      <c r="Q26" s="3243" t="s">
        <v>276</v>
      </c>
      <c r="R26" s="3234" t="s">
        <v>2944</v>
      </c>
    </row>
    <row r="27" spans="1:19" ht="14.25" customHeight="1">
      <c r="A27" s="3234" t="s">
        <v>184</v>
      </c>
      <c r="B27" s="3235" t="s">
        <v>251</v>
      </c>
      <c r="C27" s="3234">
        <v>29610</v>
      </c>
      <c r="D27" s="3234">
        <v>27770</v>
      </c>
      <c r="E27" s="3234">
        <v>28300</v>
      </c>
      <c r="F27" s="3234"/>
      <c r="G27" s="3234">
        <v>20210</v>
      </c>
      <c r="L27" s="3234" t="s">
        <v>2945</v>
      </c>
      <c r="M27" s="3234" t="s">
        <v>291</v>
      </c>
      <c r="N27" s="3234" t="s">
        <v>297</v>
      </c>
      <c r="O27" s="3234" t="s">
        <v>2946</v>
      </c>
      <c r="P27" s="3234" t="s">
        <v>2947</v>
      </c>
      <c r="Q27" s="3234" t="s">
        <v>2948</v>
      </c>
      <c r="R27" s="3234" t="s">
        <v>2949</v>
      </c>
    </row>
    <row r="28" spans="1:19" ht="14.25" customHeight="1">
      <c r="A28" s="3234" t="s">
        <v>184</v>
      </c>
      <c r="B28" s="3235" t="s">
        <v>259</v>
      </c>
      <c r="C28" s="3234"/>
      <c r="D28" s="3234">
        <v>31520</v>
      </c>
      <c r="E28" s="3234">
        <v>31410</v>
      </c>
      <c r="F28" s="3234"/>
      <c r="G28" s="3234">
        <v>22940</v>
      </c>
      <c r="L28" s="3234" t="s">
        <v>2950</v>
      </c>
      <c r="M28" s="3234" t="s">
        <v>2951</v>
      </c>
      <c r="N28" s="3234" t="s">
        <v>2952</v>
      </c>
      <c r="O28" s="3234" t="s">
        <v>2953</v>
      </c>
      <c r="P28" s="3234" t="s">
        <v>2954</v>
      </c>
      <c r="Q28" s="3234" t="s">
        <v>2955</v>
      </c>
      <c r="R28" s="3234" t="s">
        <v>2956</v>
      </c>
    </row>
    <row r="29" spans="1:19" ht="14.25" customHeight="1" thickBot="1">
      <c r="A29" s="3242" t="s">
        <v>184</v>
      </c>
      <c r="B29" s="3244" t="s">
        <v>2923</v>
      </c>
      <c r="C29" s="3245"/>
      <c r="D29" s="3245">
        <v>29460</v>
      </c>
      <c r="E29" s="3245">
        <v>28640</v>
      </c>
      <c r="F29" s="3245"/>
      <c r="G29" s="3245">
        <v>21430</v>
      </c>
      <c r="L29" s="3234" t="s">
        <v>2957</v>
      </c>
      <c r="M29" s="3234" t="s">
        <v>2958</v>
      </c>
      <c r="N29" s="3234" t="s">
        <v>2959</v>
      </c>
      <c r="O29" s="3234" t="s">
        <v>2960</v>
      </c>
      <c r="P29" s="3234" t="s">
        <v>2961</v>
      </c>
      <c r="Q29" s="3234" t="s">
        <v>2962</v>
      </c>
      <c r="R29" s="3234" t="s">
        <v>280</v>
      </c>
    </row>
    <row r="30" spans="1:19" ht="14.25" customHeight="1">
      <c r="A30" s="3239" t="s">
        <v>296</v>
      </c>
      <c r="B30" s="3230" t="s">
        <v>2856</v>
      </c>
      <c r="C30" s="3230">
        <v>26890</v>
      </c>
      <c r="D30" s="3230">
        <v>26770</v>
      </c>
      <c r="E30" s="3230">
        <v>25700</v>
      </c>
      <c r="F30" s="3230">
        <v>8180</v>
      </c>
      <c r="G30" s="3246">
        <v>18740</v>
      </c>
      <c r="L30" s="3234" t="s">
        <v>2963</v>
      </c>
      <c r="M30" s="3234" t="s">
        <v>2964</v>
      </c>
      <c r="N30" s="3234" t="s">
        <v>2965</v>
      </c>
      <c r="O30" s="3234" t="s">
        <v>2966</v>
      </c>
      <c r="P30" s="3234" t="s">
        <v>2967</v>
      </c>
      <c r="Q30" s="3234" t="s">
        <v>2968</v>
      </c>
      <c r="R30" s="3234" t="s">
        <v>2969</v>
      </c>
    </row>
    <row r="31" spans="1:19" ht="14.25" customHeight="1">
      <c r="A31" s="3234" t="s">
        <v>296</v>
      </c>
      <c r="B31" s="3235" t="s">
        <v>129</v>
      </c>
      <c r="C31" s="3234">
        <v>24550</v>
      </c>
      <c r="D31" s="3234">
        <v>23990</v>
      </c>
      <c r="E31" s="3234">
        <v>22930</v>
      </c>
      <c r="F31" s="3234">
        <v>7470</v>
      </c>
      <c r="G31" s="3247">
        <v>16790</v>
      </c>
      <c r="L31" s="3234" t="s">
        <v>2970</v>
      </c>
      <c r="M31" s="3234" t="s">
        <v>2971</v>
      </c>
      <c r="N31" s="3234" t="s">
        <v>2972</v>
      </c>
      <c r="O31" s="3234" t="s">
        <v>2973</v>
      </c>
      <c r="P31" s="3234" t="s">
        <v>2974</v>
      </c>
      <c r="Q31" s="3234" t="s">
        <v>2975</v>
      </c>
      <c r="R31" s="3234" t="s">
        <v>2976</v>
      </c>
    </row>
    <row r="32" spans="1:19" ht="14.25" customHeight="1" thickBot="1">
      <c r="A32" s="3234" t="s">
        <v>296</v>
      </c>
      <c r="B32" s="3235" t="s">
        <v>138</v>
      </c>
      <c r="C32" s="3234">
        <v>27210</v>
      </c>
      <c r="D32" s="3234">
        <v>23240</v>
      </c>
      <c r="E32" s="3234">
        <v>23260</v>
      </c>
      <c r="F32" s="3234">
        <v>7130</v>
      </c>
      <c r="G32" s="3247">
        <v>16270</v>
      </c>
      <c r="L32" s="3234" t="s">
        <v>2977</v>
      </c>
      <c r="M32" s="3234" t="s">
        <v>2978</v>
      </c>
      <c r="N32" s="3234" t="s">
        <v>300</v>
      </c>
      <c r="O32" s="3234" t="s">
        <v>2979</v>
      </c>
      <c r="P32" s="3234" t="s">
        <v>299</v>
      </c>
      <c r="Q32" s="3234" t="s">
        <v>2980</v>
      </c>
      <c r="R32" s="3241" t="s">
        <v>2981</v>
      </c>
    </row>
    <row r="33" spans="1:17" ht="14.25" customHeight="1" thickBot="1">
      <c r="A33" s="3234" t="s">
        <v>296</v>
      </c>
      <c r="B33" s="3235" t="s">
        <v>147</v>
      </c>
      <c r="C33" s="3234">
        <v>27300</v>
      </c>
      <c r="D33" s="3234">
        <v>22980</v>
      </c>
      <c r="E33" s="3234">
        <v>24260</v>
      </c>
      <c r="F33" s="3234">
        <v>5860</v>
      </c>
      <c r="G33" s="3247">
        <v>16090</v>
      </c>
      <c r="L33" s="3241" t="s">
        <v>2982</v>
      </c>
      <c r="M33" s="3234" t="s">
        <v>2983</v>
      </c>
      <c r="N33" s="3234" t="s">
        <v>301</v>
      </c>
      <c r="O33" s="3234" t="s">
        <v>2984</v>
      </c>
      <c r="P33" s="3234" t="s">
        <v>2985</v>
      </c>
      <c r="Q33" s="3234" t="s">
        <v>2986</v>
      </c>
    </row>
    <row r="34" spans="1:17" ht="14.25" customHeight="1">
      <c r="A34" s="3234" t="s">
        <v>296</v>
      </c>
      <c r="B34" s="3235" t="s">
        <v>156</v>
      </c>
      <c r="C34" s="3234">
        <v>23090</v>
      </c>
      <c r="D34" s="3234">
        <v>23390</v>
      </c>
      <c r="E34" s="3234">
        <v>23510</v>
      </c>
      <c r="F34" s="3234">
        <v>6700</v>
      </c>
      <c r="G34" s="3247">
        <v>16370</v>
      </c>
      <c r="M34" s="3234" t="s">
        <v>2987</v>
      </c>
      <c r="N34" s="3234" t="s">
        <v>302</v>
      </c>
      <c r="O34" s="3234" t="s">
        <v>2988</v>
      </c>
      <c r="P34" s="3234" t="s">
        <v>2989</v>
      </c>
      <c r="Q34" s="3234" t="s">
        <v>2990</v>
      </c>
    </row>
    <row r="35" spans="1:17" ht="14.25" customHeight="1">
      <c r="A35" s="3234" t="s">
        <v>296</v>
      </c>
      <c r="B35" s="3235" t="s">
        <v>163</v>
      </c>
      <c r="C35" s="3234">
        <v>27270</v>
      </c>
      <c r="D35" s="3234">
        <v>24270</v>
      </c>
      <c r="E35" s="3234">
        <v>24950</v>
      </c>
      <c r="F35" s="3234">
        <v>6600</v>
      </c>
      <c r="G35" s="3247">
        <v>16990</v>
      </c>
      <c r="M35" s="3234" t="s">
        <v>2991</v>
      </c>
      <c r="N35" s="3234" t="s">
        <v>2992</v>
      </c>
      <c r="O35" s="3234" t="s">
        <v>2993</v>
      </c>
      <c r="P35" s="3234" t="s">
        <v>2994</v>
      </c>
      <c r="Q35" s="3234" t="s">
        <v>2995</v>
      </c>
    </row>
    <row r="36" spans="1:17" ht="14.25" customHeight="1">
      <c r="A36" s="3234" t="s">
        <v>296</v>
      </c>
      <c r="B36" s="3235" t="s">
        <v>169</v>
      </c>
      <c r="C36" s="3234">
        <v>23490</v>
      </c>
      <c r="D36" s="3234">
        <v>23020</v>
      </c>
      <c r="E36" s="3234">
        <v>25230</v>
      </c>
      <c r="F36" s="3234">
        <v>6780</v>
      </c>
      <c r="G36" s="3247">
        <v>16120</v>
      </c>
      <c r="M36" s="3234" t="s">
        <v>2996</v>
      </c>
      <c r="N36" s="3234" t="s">
        <v>2997</v>
      </c>
      <c r="O36" s="3234" t="s">
        <v>2998</v>
      </c>
      <c r="P36" s="3234" t="s">
        <v>2999</v>
      </c>
      <c r="Q36" s="3234" t="s">
        <v>3000</v>
      </c>
    </row>
    <row r="37" spans="1:17" ht="14.25" customHeight="1">
      <c r="A37" s="3234" t="s">
        <v>296</v>
      </c>
      <c r="B37" s="3235" t="s">
        <v>176</v>
      </c>
      <c r="C37" s="3234">
        <v>24380</v>
      </c>
      <c r="D37" s="3234">
        <v>22240</v>
      </c>
      <c r="E37" s="3234">
        <v>25980</v>
      </c>
      <c r="F37" s="3234">
        <v>8160</v>
      </c>
      <c r="G37" s="3247">
        <v>15570</v>
      </c>
      <c r="M37" s="3234" t="s">
        <v>3001</v>
      </c>
      <c r="N37" s="3234" t="s">
        <v>3002</v>
      </c>
      <c r="O37" s="3234" t="s">
        <v>3003</v>
      </c>
      <c r="P37" s="3234" t="s">
        <v>3004</v>
      </c>
      <c r="Q37" s="3234" t="s">
        <v>3005</v>
      </c>
    </row>
    <row r="38" spans="1:17" ht="14.25" customHeight="1">
      <c r="A38" s="3234" t="s">
        <v>296</v>
      </c>
      <c r="B38" s="3235" t="s">
        <v>186</v>
      </c>
      <c r="C38" s="3234">
        <v>23120</v>
      </c>
      <c r="D38" s="3234">
        <v>24630</v>
      </c>
      <c r="E38" s="3234">
        <v>25030</v>
      </c>
      <c r="F38" s="3234">
        <v>7710</v>
      </c>
      <c r="G38" s="3247">
        <v>17240</v>
      </c>
      <c r="M38" s="3234" t="s">
        <v>3006</v>
      </c>
      <c r="N38" s="3234" t="s">
        <v>3007</v>
      </c>
      <c r="O38" s="3234" t="s">
        <v>3008</v>
      </c>
      <c r="P38" s="3234" t="s">
        <v>3009</v>
      </c>
      <c r="Q38" s="3234" t="s">
        <v>3010</v>
      </c>
    </row>
    <row r="39" spans="1:17" ht="14.25" customHeight="1">
      <c r="A39" s="3234" t="s">
        <v>296</v>
      </c>
      <c r="B39" s="3235" t="s">
        <v>195</v>
      </c>
      <c r="C39" s="3234">
        <v>22330</v>
      </c>
      <c r="D39" s="3234">
        <v>21140</v>
      </c>
      <c r="E39" s="3234">
        <v>23970</v>
      </c>
      <c r="F39" s="3234">
        <v>7940</v>
      </c>
      <c r="G39" s="3247">
        <v>14790</v>
      </c>
      <c r="M39" s="3234" t="s">
        <v>3011</v>
      </c>
      <c r="N39" s="3234" t="s">
        <v>3012</v>
      </c>
      <c r="O39" s="3234" t="s">
        <v>3013</v>
      </c>
      <c r="P39" s="3234" t="s">
        <v>3014</v>
      </c>
      <c r="Q39" s="3234" t="s">
        <v>3015</v>
      </c>
    </row>
    <row r="40" spans="1:17" ht="14.25" customHeight="1">
      <c r="A40" s="3234" t="s">
        <v>296</v>
      </c>
      <c r="B40" s="3235" t="s">
        <v>202</v>
      </c>
      <c r="C40" s="3234">
        <v>24740</v>
      </c>
      <c r="D40" s="3234">
        <v>24690</v>
      </c>
      <c r="E40" s="3234">
        <v>22610</v>
      </c>
      <c r="F40" s="3234"/>
      <c r="G40" s="3247">
        <v>17280</v>
      </c>
      <c r="M40" s="3234" t="s">
        <v>3016</v>
      </c>
      <c r="N40" s="3234" t="s">
        <v>3017</v>
      </c>
      <c r="O40" s="3234" t="s">
        <v>3018</v>
      </c>
      <c r="P40" s="3234" t="s">
        <v>3019</v>
      </c>
      <c r="Q40" s="3234" t="s">
        <v>3020</v>
      </c>
    </row>
    <row r="41" spans="1:17" ht="14.25" customHeight="1" thickBot="1">
      <c r="A41" s="3234" t="s">
        <v>296</v>
      </c>
      <c r="B41" s="3235" t="s">
        <v>209</v>
      </c>
      <c r="C41" s="3234">
        <v>21220</v>
      </c>
      <c r="D41" s="3234">
        <v>21120</v>
      </c>
      <c r="E41" s="3234">
        <v>22590</v>
      </c>
      <c r="F41" s="3234"/>
      <c r="G41" s="3247">
        <v>14780</v>
      </c>
      <c r="M41" s="3241" t="s">
        <v>3021</v>
      </c>
      <c r="N41" s="3234" t="s">
        <v>3022</v>
      </c>
      <c r="O41" s="3234" t="s">
        <v>3023</v>
      </c>
      <c r="P41" s="3234" t="s">
        <v>3024</v>
      </c>
      <c r="Q41" s="3234" t="s">
        <v>3025</v>
      </c>
    </row>
    <row r="42" spans="1:17" ht="14.25" customHeight="1">
      <c r="A42" s="3234" t="s">
        <v>296</v>
      </c>
      <c r="B42" s="3235" t="s">
        <v>215</v>
      </c>
      <c r="C42" s="3234">
        <v>24800</v>
      </c>
      <c r="D42" s="3234">
        <v>22280</v>
      </c>
      <c r="E42" s="3234">
        <v>24350</v>
      </c>
      <c r="F42" s="3234"/>
      <c r="G42" s="3247">
        <v>15590</v>
      </c>
      <c r="N42" s="3234" t="s">
        <v>3026</v>
      </c>
      <c r="O42" s="3234" t="s">
        <v>3027</v>
      </c>
      <c r="P42" s="3234" t="s">
        <v>3028</v>
      </c>
      <c r="Q42" s="3234" t="s">
        <v>3029</v>
      </c>
    </row>
    <row r="43" spans="1:17" ht="14.25" customHeight="1">
      <c r="A43" s="3234" t="s">
        <v>3030</v>
      </c>
      <c r="B43" s="3235" t="s">
        <v>223</v>
      </c>
      <c r="C43" s="3234">
        <v>21210</v>
      </c>
      <c r="D43" s="3234">
        <v>21160</v>
      </c>
      <c r="E43" s="3234">
        <v>22650</v>
      </c>
      <c r="F43" s="3234"/>
      <c r="G43" s="3247">
        <v>14800</v>
      </c>
      <c r="N43" s="3234" t="s">
        <v>3031</v>
      </c>
      <c r="O43" s="3234" t="s">
        <v>3032</v>
      </c>
      <c r="P43" s="3234" t="s">
        <v>3033</v>
      </c>
      <c r="Q43" s="3234" t="s">
        <v>3034</v>
      </c>
    </row>
    <row r="44" spans="1:17" ht="14.25" customHeight="1" thickBot="1">
      <c r="A44" s="3234" t="s">
        <v>296</v>
      </c>
      <c r="B44" s="3235" t="s">
        <v>231</v>
      </c>
      <c r="C44" s="3234">
        <v>22370</v>
      </c>
      <c r="D44" s="3234">
        <v>23140</v>
      </c>
      <c r="E44" s="3234">
        <v>25090</v>
      </c>
      <c r="F44" s="3234"/>
      <c r="G44" s="3247">
        <v>16190</v>
      </c>
      <c r="N44" s="3234" t="s">
        <v>3035</v>
      </c>
      <c r="O44" s="3234" t="s">
        <v>3036</v>
      </c>
      <c r="P44" s="3241" t="s">
        <v>3037</v>
      </c>
      <c r="Q44" s="3234" t="s">
        <v>3038</v>
      </c>
    </row>
    <row r="45" spans="1:17" ht="14.25" customHeight="1" thickBot="1">
      <c r="A45" s="3234" t="s">
        <v>296</v>
      </c>
      <c r="B45" s="3235" t="s">
        <v>236</v>
      </c>
      <c r="C45" s="3234">
        <v>21240</v>
      </c>
      <c r="D45" s="3234">
        <v>27050</v>
      </c>
      <c r="E45" s="3234">
        <v>28000</v>
      </c>
      <c r="F45" s="3234"/>
      <c r="G45" s="3247">
        <v>18940</v>
      </c>
      <c r="N45" s="3234" t="s">
        <v>3039</v>
      </c>
      <c r="O45" s="3241" t="s">
        <v>3040</v>
      </c>
      <c r="Q45" s="3234" t="s">
        <v>3041</v>
      </c>
    </row>
    <row r="46" spans="1:17" ht="14.25" customHeight="1">
      <c r="A46" s="3234" t="s">
        <v>296</v>
      </c>
      <c r="B46" s="3235" t="s">
        <v>245</v>
      </c>
      <c r="C46" s="3234">
        <v>23240</v>
      </c>
      <c r="D46" s="3234">
        <v>23000</v>
      </c>
      <c r="E46" s="3234">
        <v>24980</v>
      </c>
      <c r="F46" s="3234"/>
      <c r="G46" s="3247">
        <v>16100</v>
      </c>
      <c r="N46" s="3234" t="s">
        <v>3042</v>
      </c>
      <c r="Q46" s="3234" t="s">
        <v>3043</v>
      </c>
    </row>
    <row r="47" spans="1:17" ht="14.25" customHeight="1">
      <c r="A47" s="3234" t="s">
        <v>296</v>
      </c>
      <c r="B47" s="3235" t="s">
        <v>252</v>
      </c>
      <c r="C47" s="3234">
        <v>27150</v>
      </c>
      <c r="D47" s="3234">
        <v>23310</v>
      </c>
      <c r="E47" s="3234">
        <v>25150</v>
      </c>
      <c r="F47" s="3234"/>
      <c r="G47" s="3247">
        <v>16310</v>
      </c>
      <c r="N47" s="3234" t="s">
        <v>3044</v>
      </c>
      <c r="Q47" s="3234" t="s">
        <v>3045</v>
      </c>
    </row>
    <row r="48" spans="1:17" ht="14.25" customHeight="1">
      <c r="A48" s="3234" t="s">
        <v>296</v>
      </c>
      <c r="B48" s="3235" t="s">
        <v>260</v>
      </c>
      <c r="C48" s="3234">
        <v>23100</v>
      </c>
      <c r="D48" s="3234">
        <v>21110</v>
      </c>
      <c r="E48" s="3234">
        <v>23080</v>
      </c>
      <c r="F48" s="3234"/>
      <c r="G48" s="3247">
        <v>14780</v>
      </c>
      <c r="N48" s="3234" t="s">
        <v>3046</v>
      </c>
      <c r="Q48" s="3234" t="s">
        <v>3047</v>
      </c>
    </row>
    <row r="49" spans="1:17" ht="14.25" customHeight="1">
      <c r="A49" s="3234" t="s">
        <v>296</v>
      </c>
      <c r="B49" s="3235" t="s">
        <v>267</v>
      </c>
      <c r="C49" s="3234">
        <v>23400</v>
      </c>
      <c r="D49" s="3234">
        <v>22920</v>
      </c>
      <c r="E49" s="3234">
        <v>24900</v>
      </c>
      <c r="F49" s="3234"/>
      <c r="G49" s="3247">
        <v>16040</v>
      </c>
      <c r="N49" s="3234" t="s">
        <v>3048</v>
      </c>
      <c r="Q49" s="3234" t="s">
        <v>3049</v>
      </c>
    </row>
    <row r="50" spans="1:17" ht="14.25" customHeight="1">
      <c r="A50" s="3234" t="s">
        <v>296</v>
      </c>
      <c r="B50" s="3235" t="s">
        <v>2926</v>
      </c>
      <c r="C50" s="3234">
        <v>21200</v>
      </c>
      <c r="D50" s="3234">
        <v>26540</v>
      </c>
      <c r="E50" s="3234">
        <v>23200</v>
      </c>
      <c r="F50" s="3234"/>
      <c r="G50" s="3247">
        <v>18580</v>
      </c>
      <c r="N50" s="3234" t="s">
        <v>3050</v>
      </c>
      <c r="Q50" s="3235" t="s">
        <v>3051</v>
      </c>
    </row>
    <row r="51" spans="1:17" ht="14.25" customHeight="1" thickBot="1">
      <c r="A51" s="3234" t="s">
        <v>296</v>
      </c>
      <c r="B51" s="3235" t="s">
        <v>2928</v>
      </c>
      <c r="C51" s="3234">
        <v>23000</v>
      </c>
      <c r="D51" s="3234">
        <v>23460</v>
      </c>
      <c r="E51" s="3234">
        <v>25290</v>
      </c>
      <c r="F51" s="3234"/>
      <c r="G51" s="3247">
        <v>16420</v>
      </c>
      <c r="N51" s="3234" t="s">
        <v>3052</v>
      </c>
      <c r="Q51" s="3241" t="s">
        <v>3053</v>
      </c>
    </row>
    <row r="52" spans="1:17" ht="14.25" customHeight="1">
      <c r="A52" s="3234" t="s">
        <v>296</v>
      </c>
      <c r="B52" s="3235" t="s">
        <v>2932</v>
      </c>
      <c r="C52" s="3234">
        <v>26660</v>
      </c>
      <c r="D52" s="3234">
        <v>22350</v>
      </c>
      <c r="E52" s="3234">
        <v>22920</v>
      </c>
      <c r="F52" s="3234"/>
      <c r="G52" s="3247">
        <v>15640</v>
      </c>
      <c r="N52" s="3234" t="s">
        <v>3054</v>
      </c>
    </row>
    <row r="53" spans="1:17" ht="14.25" customHeight="1">
      <c r="A53" s="3234" t="s">
        <v>296</v>
      </c>
      <c r="B53" s="3235" t="s">
        <v>2937</v>
      </c>
      <c r="C53" s="3234">
        <v>23580</v>
      </c>
      <c r="D53" s="3234"/>
      <c r="E53" s="3234">
        <v>24280</v>
      </c>
      <c r="F53" s="3234"/>
      <c r="G53" s="3247"/>
      <c r="N53" s="3234" t="s">
        <v>3055</v>
      </c>
    </row>
    <row r="54" spans="1:17" ht="14.25" customHeight="1" thickBot="1">
      <c r="A54" s="3248" t="s">
        <v>296</v>
      </c>
      <c r="B54" s="3240" t="s">
        <v>2940</v>
      </c>
      <c r="C54" s="3241">
        <v>22460</v>
      </c>
      <c r="D54" s="3241"/>
      <c r="E54" s="3241"/>
      <c r="F54" s="3241"/>
      <c r="G54" s="3249"/>
      <c r="N54" s="3234" t="s">
        <v>3056</v>
      </c>
    </row>
    <row r="55" spans="1:17" ht="14.25" customHeight="1">
      <c r="A55" s="3239" t="s">
        <v>110</v>
      </c>
      <c r="B55" s="3230" t="s">
        <v>3057</v>
      </c>
      <c r="C55" s="3234">
        <v>21970</v>
      </c>
      <c r="D55" s="3234">
        <v>20370</v>
      </c>
      <c r="E55" s="3234">
        <v>20180</v>
      </c>
      <c r="F55" s="3234">
        <v>5730</v>
      </c>
      <c r="G55" s="3234">
        <v>13820</v>
      </c>
      <c r="N55" s="3234" t="s">
        <v>3058</v>
      </c>
    </row>
    <row r="56" spans="1:17" ht="14.25" customHeight="1">
      <c r="A56" s="3234" t="s">
        <v>110</v>
      </c>
      <c r="B56" s="3234" t="s">
        <v>130</v>
      </c>
      <c r="C56" s="3234">
        <v>20470</v>
      </c>
      <c r="D56" s="3234">
        <v>20700</v>
      </c>
      <c r="E56" s="3234">
        <v>20380</v>
      </c>
      <c r="F56" s="3234">
        <v>4760</v>
      </c>
      <c r="G56" s="3234">
        <v>14050</v>
      </c>
      <c r="N56" s="3234" t="s">
        <v>3059</v>
      </c>
    </row>
    <row r="57" spans="1:17" ht="14.25" customHeight="1">
      <c r="A57" s="3234" t="s">
        <v>110</v>
      </c>
      <c r="B57" s="3234" t="s">
        <v>139</v>
      </c>
      <c r="C57" s="3234">
        <v>20790</v>
      </c>
      <c r="D57" s="3234">
        <v>21370</v>
      </c>
      <c r="E57" s="3234">
        <v>20890</v>
      </c>
      <c r="F57" s="3234">
        <v>4910</v>
      </c>
      <c r="G57" s="3234">
        <v>14510</v>
      </c>
      <c r="N57" s="3234" t="s">
        <v>3060</v>
      </c>
    </row>
    <row r="58" spans="1:17" ht="14.25" customHeight="1">
      <c r="A58" s="3234" t="s">
        <v>110</v>
      </c>
      <c r="B58" s="3234" t="s">
        <v>148</v>
      </c>
      <c r="C58" s="3234">
        <v>21460</v>
      </c>
      <c r="D58" s="3234">
        <v>20920</v>
      </c>
      <c r="E58" s="3234">
        <v>23410</v>
      </c>
      <c r="F58" s="3234">
        <v>5100</v>
      </c>
      <c r="G58" s="3234">
        <v>14200</v>
      </c>
      <c r="N58" s="3234" t="s">
        <v>3061</v>
      </c>
    </row>
    <row r="59" spans="1:17" ht="14.25" customHeight="1">
      <c r="A59" s="3234" t="s">
        <v>110</v>
      </c>
      <c r="B59" s="3234" t="s">
        <v>157</v>
      </c>
      <c r="C59" s="3234">
        <v>21000</v>
      </c>
      <c r="D59" s="3234">
        <v>21550</v>
      </c>
      <c r="E59" s="3234">
        <v>21150</v>
      </c>
      <c r="F59" s="3234">
        <v>5250</v>
      </c>
      <c r="G59" s="3234">
        <v>14630</v>
      </c>
      <c r="N59" s="3234" t="s">
        <v>3062</v>
      </c>
    </row>
    <row r="60" spans="1:17" ht="14.25" customHeight="1">
      <c r="A60" s="3234" t="s">
        <v>110</v>
      </c>
      <c r="B60" s="3234" t="s">
        <v>164</v>
      </c>
      <c r="C60" s="3234">
        <v>21640</v>
      </c>
      <c r="D60" s="3234">
        <v>21260</v>
      </c>
      <c r="E60" s="3234">
        <v>24040</v>
      </c>
      <c r="F60" s="3234">
        <v>4470</v>
      </c>
      <c r="G60" s="3234">
        <v>14430</v>
      </c>
      <c r="N60" s="3234" t="s">
        <v>3063</v>
      </c>
    </row>
    <row r="61" spans="1:17" ht="14.25" customHeight="1">
      <c r="A61" s="3234" t="s">
        <v>110</v>
      </c>
      <c r="B61" s="3234" t="s">
        <v>170</v>
      </c>
      <c r="C61" s="3234">
        <v>21330</v>
      </c>
      <c r="D61" s="3234">
        <v>18640</v>
      </c>
      <c r="E61" s="3234">
        <v>21190</v>
      </c>
      <c r="F61" s="3234">
        <v>4180</v>
      </c>
      <c r="G61" s="3234">
        <v>12650</v>
      </c>
      <c r="N61" s="3234" t="s">
        <v>3064</v>
      </c>
    </row>
    <row r="62" spans="1:17" ht="14.25" customHeight="1">
      <c r="A62" s="3234" t="s">
        <v>110</v>
      </c>
      <c r="B62" s="3234" t="s">
        <v>177</v>
      </c>
      <c r="C62" s="3234">
        <v>18710</v>
      </c>
      <c r="D62" s="3234">
        <v>19400</v>
      </c>
      <c r="E62" s="3234">
        <v>23750</v>
      </c>
      <c r="F62" s="3234">
        <v>4860</v>
      </c>
      <c r="G62" s="3234">
        <v>13170</v>
      </c>
      <c r="N62" s="3234" t="s">
        <v>3065</v>
      </c>
    </row>
    <row r="63" spans="1:17" ht="14.25" customHeight="1">
      <c r="A63" s="3234" t="s">
        <v>110</v>
      </c>
      <c r="B63" s="3234" t="s">
        <v>187</v>
      </c>
      <c r="C63" s="3234">
        <v>19480</v>
      </c>
      <c r="D63" s="3234">
        <v>16830</v>
      </c>
      <c r="E63" s="3234">
        <v>21590</v>
      </c>
      <c r="F63" s="3234">
        <v>4560</v>
      </c>
      <c r="G63" s="3234">
        <v>11420</v>
      </c>
      <c r="N63" s="3234" t="s">
        <v>3066</v>
      </c>
    </row>
    <row r="64" spans="1:17" ht="14.25" customHeight="1" thickBot="1">
      <c r="A64" s="3234" t="s">
        <v>110</v>
      </c>
      <c r="B64" s="3234" t="s">
        <v>196</v>
      </c>
      <c r="C64" s="3234">
        <v>16920</v>
      </c>
      <c r="D64" s="3234">
        <v>19190</v>
      </c>
      <c r="E64" s="3234">
        <v>22200</v>
      </c>
      <c r="F64" s="3234">
        <v>4390</v>
      </c>
      <c r="G64" s="3234">
        <v>13030</v>
      </c>
      <c r="N64" s="3241" t="s">
        <v>3067</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2938</v>
      </c>
      <c r="C78" s="3234">
        <v>19820</v>
      </c>
      <c r="D78" s="3234">
        <v>19780</v>
      </c>
      <c r="E78" s="3234">
        <v>18560</v>
      </c>
      <c r="F78" s="3234"/>
      <c r="G78" s="3234">
        <v>13430</v>
      </c>
    </row>
    <row r="79" spans="1:7" s="3223" customFormat="1" ht="14.25" customHeight="1">
      <c r="A79" s="3234" t="s">
        <v>110</v>
      </c>
      <c r="B79" s="3234" t="s">
        <v>2941</v>
      </c>
      <c r="C79" s="3234">
        <v>21660</v>
      </c>
      <c r="D79" s="3234">
        <v>18000</v>
      </c>
      <c r="E79" s="3234">
        <v>22570</v>
      </c>
      <c r="F79" s="3234"/>
      <c r="G79" s="3234">
        <v>12220</v>
      </c>
    </row>
    <row r="80" spans="1:7" s="3223" customFormat="1" ht="14.25" customHeight="1">
      <c r="A80" s="3234" t="s">
        <v>110</v>
      </c>
      <c r="B80" s="3234" t="s">
        <v>2945</v>
      </c>
      <c r="C80" s="3234">
        <v>19850</v>
      </c>
      <c r="D80" s="3234"/>
      <c r="E80" s="3234">
        <v>21700</v>
      </c>
      <c r="F80" s="3234"/>
      <c r="G80" s="3234"/>
    </row>
    <row r="81" spans="1:7" s="3223" customFormat="1" ht="14.25" customHeight="1">
      <c r="A81" s="3234" t="s">
        <v>110</v>
      </c>
      <c r="B81" s="3234" t="s">
        <v>2950</v>
      </c>
      <c r="C81" s="3234">
        <v>18080</v>
      </c>
      <c r="D81" s="3234"/>
      <c r="E81" s="3234">
        <v>20900</v>
      </c>
      <c r="F81" s="3234"/>
      <c r="G81" s="3234"/>
    </row>
    <row r="82" spans="1:7" s="3223" customFormat="1" ht="14.25" customHeight="1">
      <c r="A82" s="3234" t="s">
        <v>110</v>
      </c>
      <c r="B82" s="3234" t="s">
        <v>2957</v>
      </c>
      <c r="C82" s="3234"/>
      <c r="D82" s="3234"/>
      <c r="E82" s="3234">
        <v>20840</v>
      </c>
      <c r="F82" s="3234"/>
      <c r="G82" s="3234"/>
    </row>
    <row r="83" spans="1:7" s="3223" customFormat="1" ht="14.25" customHeight="1">
      <c r="A83" s="3234" t="s">
        <v>110</v>
      </c>
      <c r="B83" s="3234" t="s">
        <v>3068</v>
      </c>
      <c r="C83" s="3234"/>
      <c r="D83" s="3234"/>
      <c r="E83" s="3234"/>
      <c r="F83" s="3234">
        <v>4770</v>
      </c>
      <c r="G83" s="3234"/>
    </row>
    <row r="84" spans="1:7" s="3223" customFormat="1" ht="14.25" customHeight="1">
      <c r="A84" s="3234" t="s">
        <v>110</v>
      </c>
      <c r="B84" s="3234" t="s">
        <v>3069</v>
      </c>
      <c r="C84" s="3234"/>
      <c r="D84" s="3234"/>
      <c r="E84" s="3234"/>
      <c r="F84" s="3234">
        <v>4600</v>
      </c>
      <c r="G84" s="3234"/>
    </row>
    <row r="85" spans="1:7" s="3223" customFormat="1" ht="14.25" customHeight="1">
      <c r="A85" s="3234" t="s">
        <v>110</v>
      </c>
      <c r="B85" s="3234" t="s">
        <v>3070</v>
      </c>
      <c r="C85" s="3234"/>
      <c r="D85" s="3234"/>
      <c r="E85" s="3234"/>
      <c r="F85" s="3234">
        <v>4680</v>
      </c>
      <c r="G85" s="3234"/>
    </row>
    <row r="86" spans="1:7" s="3223" customFormat="1" ht="14.25" customHeight="1" thickBot="1">
      <c r="A86" s="3242" t="s">
        <v>110</v>
      </c>
      <c r="B86" s="3244" t="s">
        <v>3071</v>
      </c>
      <c r="C86" s="3245">
        <v>16610</v>
      </c>
      <c r="D86" s="3245">
        <v>16540</v>
      </c>
      <c r="E86" s="3245">
        <v>18850</v>
      </c>
      <c r="F86" s="3245"/>
      <c r="G86" s="3245">
        <v>11220</v>
      </c>
    </row>
    <row r="87" spans="1:7" s="3223" customFormat="1" ht="14.25" customHeight="1">
      <c r="A87" s="3239" t="s">
        <v>303</v>
      </c>
      <c r="B87" s="3230" t="s">
        <v>3072</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2951</v>
      </c>
      <c r="C113" s="3234">
        <v>15520</v>
      </c>
      <c r="D113" s="3234">
        <v>15450</v>
      </c>
      <c r="E113" s="3234"/>
      <c r="F113" s="3234"/>
      <c r="G113" s="3247">
        <v>10210</v>
      </c>
    </row>
    <row r="114" spans="1:7" s="3223" customFormat="1" ht="14.25" customHeight="1">
      <c r="A114" s="3234" t="s">
        <v>303</v>
      </c>
      <c r="B114" s="3234" t="s">
        <v>2958</v>
      </c>
      <c r="C114" s="3234">
        <v>13110</v>
      </c>
      <c r="D114" s="3234">
        <v>13050</v>
      </c>
      <c r="E114" s="3234"/>
      <c r="F114" s="3234"/>
      <c r="G114" s="3247">
        <v>8620</v>
      </c>
    </row>
    <row r="115" spans="1:7" s="3223" customFormat="1" ht="14.25" customHeight="1">
      <c r="A115" s="3234" t="s">
        <v>303</v>
      </c>
      <c r="B115" s="3234" t="s">
        <v>2964</v>
      </c>
      <c r="C115" s="3234">
        <v>12460</v>
      </c>
      <c r="D115" s="3234">
        <v>12390</v>
      </c>
      <c r="E115" s="3234"/>
      <c r="F115" s="3234"/>
      <c r="G115" s="3247">
        <v>8190</v>
      </c>
    </row>
    <row r="116" spans="1:7" s="3223" customFormat="1" ht="14.25" customHeight="1">
      <c r="A116" s="3234" t="s">
        <v>303</v>
      </c>
      <c r="B116" s="3234" t="s">
        <v>2971</v>
      </c>
      <c r="C116" s="3234">
        <v>13580</v>
      </c>
      <c r="D116" s="3234">
        <v>13520</v>
      </c>
      <c r="E116" s="3234"/>
      <c r="F116" s="3234"/>
      <c r="G116" s="3247">
        <v>8930</v>
      </c>
    </row>
    <row r="117" spans="1:7" s="3223" customFormat="1" ht="14.25" customHeight="1">
      <c r="A117" s="3234" t="s">
        <v>303</v>
      </c>
      <c r="B117" s="3234" t="s">
        <v>2978</v>
      </c>
      <c r="C117" s="3234">
        <v>17120</v>
      </c>
      <c r="D117" s="3234">
        <v>17040</v>
      </c>
      <c r="E117" s="3234"/>
      <c r="F117" s="3234"/>
      <c r="G117" s="3247">
        <v>11260</v>
      </c>
    </row>
    <row r="118" spans="1:7" s="3223" customFormat="1" ht="14.25" customHeight="1">
      <c r="A118" s="3234" t="s">
        <v>303</v>
      </c>
      <c r="B118" s="3234" t="s">
        <v>2983</v>
      </c>
      <c r="C118" s="3234">
        <v>14860</v>
      </c>
      <c r="D118" s="3234">
        <v>14790</v>
      </c>
      <c r="E118" s="3234"/>
      <c r="F118" s="3234"/>
      <c r="G118" s="3247">
        <v>9780</v>
      </c>
    </row>
    <row r="119" spans="1:7" s="3223" customFormat="1" ht="14.25" customHeight="1">
      <c r="A119" s="3234" t="s">
        <v>303</v>
      </c>
      <c r="B119" s="3234" t="s">
        <v>2987</v>
      </c>
      <c r="C119" s="3234">
        <v>16470</v>
      </c>
      <c r="D119" s="3234">
        <v>16400</v>
      </c>
      <c r="E119" s="3234"/>
      <c r="F119" s="3234"/>
      <c r="G119" s="3247">
        <v>10840</v>
      </c>
    </row>
    <row r="120" spans="1:7" s="3223" customFormat="1" ht="14.25" customHeight="1">
      <c r="A120" s="3234" t="s">
        <v>303</v>
      </c>
      <c r="B120" s="3234" t="s">
        <v>3073</v>
      </c>
      <c r="C120" s="3234"/>
      <c r="D120" s="3234"/>
      <c r="E120" s="3234"/>
      <c r="F120" s="3234">
        <v>4160</v>
      </c>
      <c r="G120" s="3247"/>
    </row>
    <row r="121" spans="1:7" s="3223" customFormat="1" ht="14.25" customHeight="1">
      <c r="A121" s="3234" t="s">
        <v>303</v>
      </c>
      <c r="B121" s="3234" t="s">
        <v>3074</v>
      </c>
      <c r="C121" s="3234"/>
      <c r="D121" s="3234"/>
      <c r="E121" s="3234"/>
      <c r="F121" s="3234">
        <v>3880</v>
      </c>
      <c r="G121" s="3247"/>
    </row>
    <row r="122" spans="1:7" s="3223" customFormat="1" ht="14.25" customHeight="1">
      <c r="A122" s="3234" t="s">
        <v>303</v>
      </c>
      <c r="B122" s="3234" t="s">
        <v>3075</v>
      </c>
      <c r="C122" s="3234">
        <v>13750</v>
      </c>
      <c r="D122" s="3234">
        <v>13680</v>
      </c>
      <c r="E122" s="3234">
        <v>16460</v>
      </c>
      <c r="F122" s="3234">
        <v>2880</v>
      </c>
      <c r="G122" s="3247">
        <v>9040</v>
      </c>
    </row>
    <row r="123" spans="1:7" s="3223" customFormat="1" ht="14.25" customHeight="1">
      <c r="A123" s="3234" t="s">
        <v>303</v>
      </c>
      <c r="B123" s="3234" t="s">
        <v>3006</v>
      </c>
      <c r="C123" s="3234">
        <v>13590</v>
      </c>
      <c r="D123" s="3234">
        <v>13520</v>
      </c>
      <c r="E123" s="3234">
        <v>16290</v>
      </c>
      <c r="F123" s="3234">
        <v>2790</v>
      </c>
      <c r="G123" s="3247">
        <v>8930</v>
      </c>
    </row>
    <row r="124" spans="1:7" s="3223" customFormat="1" ht="14.25" customHeight="1">
      <c r="A124" s="3234" t="s">
        <v>303</v>
      </c>
      <c r="B124" s="3234" t="s">
        <v>3011</v>
      </c>
      <c r="C124" s="3234">
        <v>13400</v>
      </c>
      <c r="D124" s="3234">
        <v>13320</v>
      </c>
      <c r="E124" s="3234">
        <v>16100</v>
      </c>
      <c r="F124" s="3234">
        <v>2320</v>
      </c>
      <c r="G124" s="3247">
        <v>8800</v>
      </c>
    </row>
    <row r="125" spans="1:7" s="3223" customFormat="1" ht="14.25" customHeight="1">
      <c r="A125" s="3234" t="s">
        <v>303</v>
      </c>
      <c r="B125" s="3234" t="s">
        <v>3016</v>
      </c>
      <c r="C125" s="3234">
        <v>12860</v>
      </c>
      <c r="D125" s="3234">
        <v>12790</v>
      </c>
      <c r="E125" s="3234">
        <v>15370</v>
      </c>
      <c r="F125" s="3234">
        <v>2280</v>
      </c>
      <c r="G125" s="3247">
        <v>8450</v>
      </c>
    </row>
    <row r="126" spans="1:7" s="3223" customFormat="1" ht="14.25" customHeight="1" thickBot="1">
      <c r="A126" s="3248" t="s">
        <v>303</v>
      </c>
      <c r="B126" s="3241" t="s">
        <v>3021</v>
      </c>
      <c r="C126" s="3241">
        <v>12960</v>
      </c>
      <c r="D126" s="3241">
        <v>12890</v>
      </c>
      <c r="E126" s="3241">
        <v>15530</v>
      </c>
      <c r="F126" s="3241">
        <v>2910</v>
      </c>
      <c r="G126" s="3249">
        <v>8520</v>
      </c>
    </row>
    <row r="127" spans="1:7" s="3223" customFormat="1" ht="14.25" customHeight="1">
      <c r="A127" s="3239" t="s">
        <v>29</v>
      </c>
      <c r="B127" s="3230" t="s">
        <v>3076</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3077</v>
      </c>
      <c r="C148" s="3234">
        <v>10370</v>
      </c>
      <c r="D148" s="3234">
        <v>10310</v>
      </c>
      <c r="E148" s="3234">
        <v>12970</v>
      </c>
      <c r="F148" s="3234"/>
      <c r="G148" s="3234">
        <v>6630</v>
      </c>
    </row>
    <row r="149" spans="1:7" s="3223" customFormat="1" ht="14.25" customHeight="1">
      <c r="A149" s="3234" t="s">
        <v>29</v>
      </c>
      <c r="B149" s="3234" t="s">
        <v>3078</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2952</v>
      </c>
      <c r="C153" s="3234">
        <v>10880</v>
      </c>
      <c r="D153" s="3234">
        <v>10820</v>
      </c>
      <c r="E153" s="3234">
        <v>13660</v>
      </c>
      <c r="F153" s="3234">
        <v>2260</v>
      </c>
      <c r="G153" s="3234">
        <v>6970</v>
      </c>
    </row>
    <row r="154" spans="1:7" s="3223" customFormat="1" ht="14.25" customHeight="1">
      <c r="A154" s="3234" t="s">
        <v>29</v>
      </c>
      <c r="B154" s="3234" t="s">
        <v>3079</v>
      </c>
      <c r="C154" s="3234">
        <v>11220</v>
      </c>
      <c r="D154" s="3234">
        <v>11160</v>
      </c>
      <c r="E154" s="3234">
        <v>14130</v>
      </c>
      <c r="F154" s="3234">
        <v>2230</v>
      </c>
      <c r="G154" s="3234">
        <v>7180</v>
      </c>
    </row>
    <row r="155" spans="1:7" s="3223" customFormat="1" ht="14.25" customHeight="1">
      <c r="A155" s="3234" t="s">
        <v>29</v>
      </c>
      <c r="B155" s="3234" t="s">
        <v>2965</v>
      </c>
      <c r="C155" s="3234">
        <v>10430</v>
      </c>
      <c r="D155" s="3234">
        <v>10380</v>
      </c>
      <c r="E155" s="3234">
        <v>13140</v>
      </c>
      <c r="F155" s="3234">
        <v>2080</v>
      </c>
      <c r="G155" s="3234">
        <v>6650</v>
      </c>
    </row>
    <row r="156" spans="1:7" s="3223" customFormat="1" ht="14.25" customHeight="1">
      <c r="A156" s="3234" t="s">
        <v>29</v>
      </c>
      <c r="B156" s="3234" t="s">
        <v>3080</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3081</v>
      </c>
      <c r="C160" s="3234">
        <v>11180</v>
      </c>
      <c r="D160" s="3234">
        <v>11140</v>
      </c>
      <c r="E160" s="3234">
        <v>14050</v>
      </c>
      <c r="F160" s="3234">
        <v>2270</v>
      </c>
      <c r="G160" s="3234">
        <v>7170</v>
      </c>
    </row>
    <row r="161" spans="1:7" s="3223" customFormat="1" ht="14.25" customHeight="1">
      <c r="A161" s="3234" t="s">
        <v>29</v>
      </c>
      <c r="B161" s="3234" t="s">
        <v>2997</v>
      </c>
      <c r="C161" s="3234">
        <v>11160</v>
      </c>
      <c r="D161" s="3234">
        <v>11120</v>
      </c>
      <c r="E161" s="3234">
        <v>14020</v>
      </c>
      <c r="F161" s="3234">
        <v>2150</v>
      </c>
      <c r="G161" s="3234">
        <v>7160</v>
      </c>
    </row>
    <row r="162" spans="1:7" s="3223" customFormat="1" ht="14.25" customHeight="1">
      <c r="A162" s="3234" t="s">
        <v>29</v>
      </c>
      <c r="B162" s="3234" t="s">
        <v>3002</v>
      </c>
      <c r="C162" s="3234">
        <v>9620</v>
      </c>
      <c r="D162" s="3234">
        <v>9570</v>
      </c>
      <c r="E162" s="3234">
        <v>12320</v>
      </c>
      <c r="F162" s="3234">
        <v>2010</v>
      </c>
      <c r="G162" s="3234">
        <v>6160</v>
      </c>
    </row>
    <row r="163" spans="1:7" s="3223" customFormat="1" ht="14.25" customHeight="1">
      <c r="A163" s="3234" t="s">
        <v>29</v>
      </c>
      <c r="B163" s="3234" t="s">
        <v>3007</v>
      </c>
      <c r="C163" s="3234">
        <v>9320</v>
      </c>
      <c r="D163" s="3234">
        <v>9270</v>
      </c>
      <c r="E163" s="3234">
        <v>11790</v>
      </c>
      <c r="F163" s="3234">
        <v>1920</v>
      </c>
      <c r="G163" s="3234">
        <v>5960</v>
      </c>
    </row>
    <row r="164" spans="1:7" s="3223" customFormat="1" ht="14.25" customHeight="1">
      <c r="A164" s="3234" t="s">
        <v>29</v>
      </c>
      <c r="B164" s="3234" t="s">
        <v>3012</v>
      </c>
      <c r="C164" s="3234"/>
      <c r="D164" s="3234"/>
      <c r="E164" s="3234"/>
      <c r="F164" s="3234">
        <v>1980</v>
      </c>
      <c r="G164" s="3234"/>
    </row>
    <row r="165" spans="1:7" s="3223" customFormat="1" ht="14.25" customHeight="1">
      <c r="A165" s="3234" t="s">
        <v>29</v>
      </c>
      <c r="B165" s="3234" t="s">
        <v>3082</v>
      </c>
      <c r="C165" s="3234">
        <v>11060</v>
      </c>
      <c r="D165" s="3234">
        <v>11030</v>
      </c>
      <c r="E165" s="3234">
        <v>13850</v>
      </c>
      <c r="F165" s="3234">
        <v>2170</v>
      </c>
      <c r="G165" s="3234">
        <v>7090</v>
      </c>
    </row>
    <row r="166" spans="1:7" s="3223" customFormat="1" ht="14.25" customHeight="1">
      <c r="A166" s="3234" t="s">
        <v>29</v>
      </c>
      <c r="B166" s="3234" t="s">
        <v>3022</v>
      </c>
      <c r="C166" s="3234">
        <v>11050</v>
      </c>
      <c r="D166" s="3234">
        <v>11010</v>
      </c>
      <c r="E166" s="3234">
        <v>13920</v>
      </c>
      <c r="F166" s="3234">
        <v>2140</v>
      </c>
      <c r="G166" s="3234">
        <v>7080</v>
      </c>
    </row>
    <row r="167" spans="1:7" s="3223" customFormat="1" ht="14.25" customHeight="1">
      <c r="A167" s="3234" t="s">
        <v>29</v>
      </c>
      <c r="B167" s="3234" t="s">
        <v>3026</v>
      </c>
      <c r="C167" s="3234">
        <v>10930</v>
      </c>
      <c r="D167" s="3234">
        <v>10890</v>
      </c>
      <c r="E167" s="3234">
        <v>13790</v>
      </c>
      <c r="F167" s="3234">
        <v>2010</v>
      </c>
      <c r="G167" s="3234">
        <v>7000</v>
      </c>
    </row>
    <row r="168" spans="1:7" s="3223" customFormat="1" ht="14.25" customHeight="1">
      <c r="A168" s="3234" t="s">
        <v>29</v>
      </c>
      <c r="B168" s="3234" t="s">
        <v>3031</v>
      </c>
      <c r="C168" s="3234">
        <v>9420</v>
      </c>
      <c r="D168" s="3234">
        <v>9380</v>
      </c>
      <c r="E168" s="3234">
        <v>11970</v>
      </c>
      <c r="F168" s="3234"/>
      <c r="G168" s="3234">
        <v>6040</v>
      </c>
    </row>
    <row r="169" spans="1:7" s="3223" customFormat="1" ht="14.25" customHeight="1">
      <c r="A169" s="3234" t="s">
        <v>29</v>
      </c>
      <c r="B169" s="3234" t="s">
        <v>3083</v>
      </c>
      <c r="C169" s="3234"/>
      <c r="D169" s="3234"/>
      <c r="E169" s="3234"/>
      <c r="F169" s="3234">
        <v>2880</v>
      </c>
      <c r="G169" s="3234"/>
    </row>
    <row r="170" spans="1:7" s="3223" customFormat="1" ht="14.25" customHeight="1">
      <c r="A170" s="3234" t="s">
        <v>29</v>
      </c>
      <c r="B170" s="3234" t="s">
        <v>3039</v>
      </c>
      <c r="C170" s="3234"/>
      <c r="D170" s="3234"/>
      <c r="E170" s="3234"/>
      <c r="F170" s="3234">
        <v>2880</v>
      </c>
      <c r="G170" s="3234"/>
    </row>
    <row r="171" spans="1:7" s="3223" customFormat="1" ht="14.25" customHeight="1">
      <c r="A171" s="3234" t="s">
        <v>29</v>
      </c>
      <c r="B171" s="3234" t="s">
        <v>3042</v>
      </c>
      <c r="C171" s="3234"/>
      <c r="D171" s="3234"/>
      <c r="E171" s="3234"/>
      <c r="F171" s="3234">
        <v>2880</v>
      </c>
      <c r="G171" s="3234"/>
    </row>
    <row r="172" spans="1:7" s="3223" customFormat="1" ht="14.25" customHeight="1">
      <c r="A172" s="3234" t="s">
        <v>29</v>
      </c>
      <c r="B172" s="3234" t="s">
        <v>3044</v>
      </c>
      <c r="C172" s="3234"/>
      <c r="D172" s="3234"/>
      <c r="E172" s="3234"/>
      <c r="F172" s="3234">
        <v>2880</v>
      </c>
      <c r="G172" s="3234"/>
    </row>
    <row r="173" spans="1:7" s="3223" customFormat="1" ht="14.25" customHeight="1">
      <c r="A173" s="3234" t="s">
        <v>29</v>
      </c>
      <c r="B173" s="3234" t="s">
        <v>3046</v>
      </c>
      <c r="C173" s="3234"/>
      <c r="D173" s="3234"/>
      <c r="E173" s="3234"/>
      <c r="F173" s="3234">
        <v>2150</v>
      </c>
      <c r="G173" s="3234"/>
    </row>
    <row r="174" spans="1:7" s="3223" customFormat="1" ht="14.25" customHeight="1">
      <c r="A174" s="3234" t="s">
        <v>29</v>
      </c>
      <c r="B174" s="3234" t="s">
        <v>3048</v>
      </c>
      <c r="C174" s="3234"/>
      <c r="D174" s="3234"/>
      <c r="E174" s="3234"/>
      <c r="F174" s="3234">
        <v>2030</v>
      </c>
      <c r="G174" s="3234"/>
    </row>
    <row r="175" spans="1:7" s="3223" customFormat="1" ht="14.25" customHeight="1">
      <c r="A175" s="3234" t="s">
        <v>29</v>
      </c>
      <c r="B175" s="3234" t="s">
        <v>3050</v>
      </c>
      <c r="C175" s="3234"/>
      <c r="D175" s="3234"/>
      <c r="E175" s="3234"/>
      <c r="F175" s="3234">
        <v>2780</v>
      </c>
      <c r="G175" s="3234"/>
    </row>
    <row r="176" spans="1:7" s="3223" customFormat="1" ht="14.25" customHeight="1">
      <c r="A176" s="3234" t="s">
        <v>29</v>
      </c>
      <c r="B176" s="3234" t="s">
        <v>3052</v>
      </c>
      <c r="C176" s="3234"/>
      <c r="D176" s="3234"/>
      <c r="E176" s="3234"/>
      <c r="F176" s="3234">
        <v>2780</v>
      </c>
      <c r="G176" s="3234"/>
    </row>
    <row r="177" spans="1:7" s="3223" customFormat="1" ht="14.25" customHeight="1">
      <c r="A177" s="3234" t="s">
        <v>29</v>
      </c>
      <c r="B177" s="3234" t="s">
        <v>3084</v>
      </c>
      <c r="C177" s="3234"/>
      <c r="D177" s="3234"/>
      <c r="E177" s="3234"/>
      <c r="F177" s="3234">
        <v>2780</v>
      </c>
      <c r="G177" s="3234"/>
    </row>
    <row r="178" spans="1:7" s="3223" customFormat="1" ht="14.25" customHeight="1">
      <c r="A178" s="3234" t="s">
        <v>29</v>
      </c>
      <c r="B178" s="3234" t="s">
        <v>3085</v>
      </c>
      <c r="C178" s="3234"/>
      <c r="D178" s="3234"/>
      <c r="E178" s="3234"/>
      <c r="F178" s="3234">
        <v>2060</v>
      </c>
      <c r="G178" s="3234"/>
    </row>
    <row r="179" spans="1:7" s="3223" customFormat="1" ht="14.25" customHeight="1">
      <c r="A179" s="3234" t="s">
        <v>29</v>
      </c>
      <c r="B179" s="3234" t="s">
        <v>3086</v>
      </c>
      <c r="C179" s="3234"/>
      <c r="D179" s="3234"/>
      <c r="E179" s="3234"/>
      <c r="F179" s="3234">
        <v>2120</v>
      </c>
      <c r="G179" s="3234"/>
    </row>
    <row r="180" spans="1:7" s="3223" customFormat="1" ht="14.25" customHeight="1">
      <c r="A180" s="3234" t="s">
        <v>29</v>
      </c>
      <c r="B180" s="3234" t="s">
        <v>3058</v>
      </c>
      <c r="C180" s="3234"/>
      <c r="D180" s="3234"/>
      <c r="E180" s="3234"/>
      <c r="F180" s="3234">
        <v>2340</v>
      </c>
      <c r="G180" s="3234"/>
    </row>
    <row r="181" spans="1:7" s="3223" customFormat="1" ht="14.25" customHeight="1">
      <c r="A181" s="3234" t="s">
        <v>29</v>
      </c>
      <c r="B181" s="3234" t="s">
        <v>3059</v>
      </c>
      <c r="C181" s="3234"/>
      <c r="D181" s="3234"/>
      <c r="E181" s="3234"/>
      <c r="F181" s="3234">
        <v>2340</v>
      </c>
      <c r="G181" s="3234"/>
    </row>
    <row r="182" spans="1:7" s="3223" customFormat="1" ht="14.25" customHeight="1">
      <c r="A182" s="3234" t="s">
        <v>29</v>
      </c>
      <c r="B182" s="3234" t="s">
        <v>3060</v>
      </c>
      <c r="C182" s="3234"/>
      <c r="D182" s="3234"/>
      <c r="E182" s="3234"/>
      <c r="F182" s="3234">
        <v>2340</v>
      </c>
      <c r="G182" s="3234"/>
    </row>
    <row r="183" spans="1:7" s="3223" customFormat="1" ht="14.25" customHeight="1">
      <c r="A183" s="3234" t="s">
        <v>29</v>
      </c>
      <c r="B183" s="3234" t="s">
        <v>3061</v>
      </c>
      <c r="C183" s="3234"/>
      <c r="D183" s="3234"/>
      <c r="E183" s="3234"/>
      <c r="F183" s="3234">
        <v>2340</v>
      </c>
      <c r="G183" s="3234"/>
    </row>
    <row r="184" spans="1:7" s="3223" customFormat="1" ht="14.25" customHeight="1">
      <c r="A184" s="3234" t="s">
        <v>29</v>
      </c>
      <c r="B184" s="3234" t="s">
        <v>3062</v>
      </c>
      <c r="C184" s="3234"/>
      <c r="D184" s="3234"/>
      <c r="E184" s="3234"/>
      <c r="F184" s="3234">
        <v>2340</v>
      </c>
      <c r="G184" s="3234"/>
    </row>
    <row r="185" spans="1:7" s="3223" customFormat="1" ht="14.25" customHeight="1">
      <c r="A185" s="3234" t="s">
        <v>29</v>
      </c>
      <c r="B185" s="3234" t="s">
        <v>3063</v>
      </c>
      <c r="C185" s="3234"/>
      <c r="D185" s="3234"/>
      <c r="E185" s="3234"/>
      <c r="F185" s="3234">
        <v>2530</v>
      </c>
      <c r="G185" s="3234"/>
    </row>
    <row r="186" spans="1:7" s="3223" customFormat="1" ht="14.25" customHeight="1">
      <c r="A186" s="3234" t="s">
        <v>29</v>
      </c>
      <c r="B186" s="3234" t="s">
        <v>3064</v>
      </c>
      <c r="C186" s="3234"/>
      <c r="D186" s="3234"/>
      <c r="E186" s="3234"/>
      <c r="F186" s="3234">
        <v>2550</v>
      </c>
      <c r="G186" s="3234"/>
    </row>
    <row r="187" spans="1:7" s="3223" customFormat="1" ht="14.25" customHeight="1">
      <c r="A187" s="3234" t="s">
        <v>29</v>
      </c>
      <c r="B187" s="3234" t="s">
        <v>3065</v>
      </c>
      <c r="C187" s="3234"/>
      <c r="D187" s="3234"/>
      <c r="E187" s="3234"/>
      <c r="F187" s="3234">
        <v>2070</v>
      </c>
      <c r="G187" s="3234"/>
    </row>
    <row r="188" spans="1:7" s="3223" customFormat="1" ht="14.25" customHeight="1">
      <c r="A188" s="3234" t="s">
        <v>29</v>
      </c>
      <c r="B188" s="3234" t="s">
        <v>3066</v>
      </c>
      <c r="C188" s="3234"/>
      <c r="D188" s="3234"/>
      <c r="E188" s="3234"/>
      <c r="F188" s="3234">
        <v>2340</v>
      </c>
      <c r="G188" s="3234"/>
    </row>
    <row r="189" spans="1:7" s="3223" customFormat="1" ht="14.25" customHeight="1" thickBot="1">
      <c r="A189" s="3242" t="s">
        <v>29</v>
      </c>
      <c r="B189" s="3245" t="s">
        <v>3067</v>
      </c>
      <c r="C189" s="3245"/>
      <c r="D189" s="3245"/>
      <c r="E189" s="3245"/>
      <c r="F189" s="3245">
        <v>2050</v>
      </c>
      <c r="G189" s="3245"/>
    </row>
    <row r="190" spans="1:7" s="3223" customFormat="1" ht="14.25" customHeight="1">
      <c r="A190" s="3239" t="s">
        <v>304</v>
      </c>
      <c r="B190" s="3230" t="s">
        <v>3087</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3088</v>
      </c>
      <c r="C199" s="3234">
        <v>8690</v>
      </c>
      <c r="D199" s="3234">
        <v>8630</v>
      </c>
      <c r="E199" s="3234">
        <v>11350</v>
      </c>
      <c r="F199" s="3234">
        <v>1600</v>
      </c>
      <c r="G199" s="3247">
        <v>5450</v>
      </c>
    </row>
    <row r="200" spans="1:7" s="3223" customFormat="1" ht="14.25" customHeight="1">
      <c r="A200" s="3234" t="s">
        <v>304</v>
      </c>
      <c r="B200" s="3234" t="s">
        <v>2899</v>
      </c>
      <c r="C200" s="3234"/>
      <c r="D200" s="3234"/>
      <c r="E200" s="3234"/>
      <c r="F200" s="3234">
        <v>1510</v>
      </c>
      <c r="G200" s="3247"/>
    </row>
    <row r="201" spans="1:7" s="3223" customFormat="1" ht="14.25" customHeight="1">
      <c r="A201" s="3234" t="s">
        <v>304</v>
      </c>
      <c r="B201" s="3234" t="s">
        <v>3089</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3090</v>
      </c>
      <c r="C203" s="3234">
        <v>8130</v>
      </c>
      <c r="D203" s="3234">
        <v>8070</v>
      </c>
      <c r="E203" s="3234">
        <v>10820</v>
      </c>
      <c r="F203" s="3234">
        <v>1690</v>
      </c>
      <c r="G203" s="3247">
        <v>5100</v>
      </c>
    </row>
    <row r="204" spans="1:7" s="3223" customFormat="1" ht="14.25" customHeight="1">
      <c r="A204" s="3234" t="s">
        <v>304</v>
      </c>
      <c r="B204" s="3234" t="s">
        <v>2910</v>
      </c>
      <c r="C204" s="3234">
        <v>8350</v>
      </c>
      <c r="D204" s="3234">
        <v>8290</v>
      </c>
      <c r="E204" s="3234">
        <v>11080</v>
      </c>
      <c r="F204" s="3234">
        <v>1450</v>
      </c>
      <c r="G204" s="3247">
        <v>5240</v>
      </c>
    </row>
    <row r="205" spans="1:7" s="3223" customFormat="1" ht="14.25" customHeight="1">
      <c r="A205" s="3234" t="s">
        <v>304</v>
      </c>
      <c r="B205" s="3234" t="s">
        <v>2912</v>
      </c>
      <c r="C205" s="3234">
        <v>7190</v>
      </c>
      <c r="D205" s="3234">
        <v>7130</v>
      </c>
      <c r="E205" s="3234">
        <v>9490</v>
      </c>
      <c r="F205" s="3234">
        <v>1470</v>
      </c>
      <c r="G205" s="3247">
        <v>4510</v>
      </c>
    </row>
    <row r="206" spans="1:7" s="3223" customFormat="1" ht="14.25" customHeight="1">
      <c r="A206" s="3234" t="s">
        <v>304</v>
      </c>
      <c r="B206" s="3234" t="s">
        <v>2915</v>
      </c>
      <c r="C206" s="3234">
        <v>7000</v>
      </c>
      <c r="D206" s="3234">
        <v>6950</v>
      </c>
      <c r="E206" s="3234">
        <v>9170</v>
      </c>
      <c r="F206" s="3234">
        <v>1400</v>
      </c>
      <c r="G206" s="3247">
        <v>4380</v>
      </c>
    </row>
    <row r="207" spans="1:7" s="3223" customFormat="1" ht="14.25" customHeight="1">
      <c r="A207" s="3234" t="s">
        <v>304</v>
      </c>
      <c r="B207" s="3234" t="s">
        <v>2917</v>
      </c>
      <c r="C207" s="3234">
        <v>6950</v>
      </c>
      <c r="D207" s="3234">
        <v>6900</v>
      </c>
      <c r="E207" s="3234">
        <v>9110</v>
      </c>
      <c r="F207" s="3234">
        <v>1790</v>
      </c>
      <c r="G207" s="3247">
        <v>4360</v>
      </c>
    </row>
    <row r="208" spans="1:7" s="3223" customFormat="1" ht="14.25" customHeight="1">
      <c r="A208" s="3234" t="s">
        <v>304</v>
      </c>
      <c r="B208" s="3234" t="s">
        <v>3091</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2927</v>
      </c>
      <c r="C210" s="3234">
        <v>8710</v>
      </c>
      <c r="D210" s="3234">
        <v>8660</v>
      </c>
      <c r="E210" s="3234">
        <v>11440</v>
      </c>
      <c r="F210" s="3234">
        <v>1740</v>
      </c>
      <c r="G210" s="3247">
        <v>5470</v>
      </c>
    </row>
    <row r="211" spans="1:7" s="3223" customFormat="1" ht="14.25" customHeight="1">
      <c r="A211" s="3234" t="s">
        <v>304</v>
      </c>
      <c r="B211" s="3234" t="s">
        <v>3092</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3093</v>
      </c>
      <c r="C214" s="3234">
        <v>8090</v>
      </c>
      <c r="D214" s="3234">
        <v>8030</v>
      </c>
      <c r="E214" s="3234">
        <v>10780</v>
      </c>
      <c r="F214" s="3234">
        <v>1570</v>
      </c>
      <c r="G214" s="3247">
        <v>5070</v>
      </c>
    </row>
    <row r="215" spans="1:7" s="3223" customFormat="1" ht="14.25" customHeight="1">
      <c r="A215" s="3234" t="s">
        <v>304</v>
      </c>
      <c r="B215" s="3234" t="s">
        <v>3094</v>
      </c>
      <c r="C215" s="3234">
        <v>7950</v>
      </c>
      <c r="D215" s="3234">
        <v>7900</v>
      </c>
      <c r="E215" s="3234">
        <v>10560</v>
      </c>
      <c r="F215" s="3234">
        <v>1630</v>
      </c>
      <c r="G215" s="3247">
        <v>4990</v>
      </c>
    </row>
    <row r="216" spans="1:7" s="3223" customFormat="1" ht="14.25" customHeight="1">
      <c r="A216" s="3234" t="s">
        <v>304</v>
      </c>
      <c r="B216" s="3234" t="s">
        <v>3095</v>
      </c>
      <c r="C216" s="3234">
        <v>8490</v>
      </c>
      <c r="D216" s="3234">
        <v>8440</v>
      </c>
      <c r="E216" s="3234">
        <v>11260</v>
      </c>
      <c r="F216" s="3234">
        <v>1690</v>
      </c>
      <c r="G216" s="3247">
        <v>5330</v>
      </c>
    </row>
    <row r="217" spans="1:7" s="3223" customFormat="1" ht="14.25" customHeight="1">
      <c r="A217" s="3234" t="s">
        <v>304</v>
      </c>
      <c r="B217" s="3234" t="s">
        <v>2960</v>
      </c>
      <c r="C217" s="3234">
        <v>8200</v>
      </c>
      <c r="D217" s="3234">
        <v>8150</v>
      </c>
      <c r="E217" s="3234">
        <v>10910</v>
      </c>
      <c r="F217" s="3234">
        <v>1670</v>
      </c>
      <c r="G217" s="3247">
        <v>5150</v>
      </c>
    </row>
    <row r="218" spans="1:7" s="3223" customFormat="1" ht="14.25" customHeight="1">
      <c r="A218" s="3234" t="s">
        <v>304</v>
      </c>
      <c r="B218" s="3234" t="s">
        <v>3096</v>
      </c>
      <c r="C218" s="3234"/>
      <c r="D218" s="3234"/>
      <c r="E218" s="3234"/>
      <c r="F218" s="3234">
        <v>2040</v>
      </c>
      <c r="G218" s="3247"/>
    </row>
    <row r="219" spans="1:7" s="3223" customFormat="1" ht="14.25" customHeight="1">
      <c r="A219" s="3234" t="s">
        <v>304</v>
      </c>
      <c r="B219" s="3234" t="s">
        <v>3097</v>
      </c>
      <c r="C219" s="3234"/>
      <c r="D219" s="3234"/>
      <c r="E219" s="3234"/>
      <c r="F219" s="3234">
        <v>2040</v>
      </c>
      <c r="G219" s="3247"/>
    </row>
    <row r="220" spans="1:7" s="3223" customFormat="1" ht="14.25" customHeight="1">
      <c r="A220" s="3234" t="s">
        <v>304</v>
      </c>
      <c r="B220" s="3234" t="s">
        <v>3098</v>
      </c>
      <c r="C220" s="3234"/>
      <c r="D220" s="3234"/>
      <c r="E220" s="3234"/>
      <c r="F220" s="3234">
        <v>2040</v>
      </c>
      <c r="G220" s="3247"/>
    </row>
    <row r="221" spans="1:7" s="3223" customFormat="1" ht="14.25" customHeight="1">
      <c r="A221" s="3234" t="s">
        <v>304</v>
      </c>
      <c r="B221" s="3234" t="s">
        <v>3099</v>
      </c>
      <c r="C221" s="3234"/>
      <c r="D221" s="3234"/>
      <c r="E221" s="3234"/>
      <c r="F221" s="3234">
        <v>2040</v>
      </c>
      <c r="G221" s="3247"/>
    </row>
    <row r="222" spans="1:7" s="3223" customFormat="1" ht="14.25" customHeight="1">
      <c r="A222" s="3234" t="s">
        <v>304</v>
      </c>
      <c r="B222" s="3234" t="s">
        <v>3100</v>
      </c>
      <c r="C222" s="3234"/>
      <c r="D222" s="3234"/>
      <c r="E222" s="3234"/>
      <c r="F222" s="3234">
        <v>2040</v>
      </c>
      <c r="G222" s="3247"/>
    </row>
    <row r="223" spans="1:7" s="3223" customFormat="1" ht="14.25" customHeight="1">
      <c r="A223" s="3234" t="s">
        <v>304</v>
      </c>
      <c r="B223" s="3234" t="s">
        <v>3101</v>
      </c>
      <c r="C223" s="3234"/>
      <c r="D223" s="3234"/>
      <c r="E223" s="3234"/>
      <c r="F223" s="3234">
        <v>1930</v>
      </c>
      <c r="G223" s="3247"/>
    </row>
    <row r="224" spans="1:7" s="3223" customFormat="1" ht="14.25" customHeight="1">
      <c r="A224" s="3234" t="s">
        <v>304</v>
      </c>
      <c r="B224" s="3234" t="s">
        <v>3102</v>
      </c>
      <c r="C224" s="3234"/>
      <c r="D224" s="3234"/>
      <c r="E224" s="3234"/>
      <c r="F224" s="3234">
        <v>1930</v>
      </c>
      <c r="G224" s="3247"/>
    </row>
    <row r="225" spans="1:7" s="3223" customFormat="1" ht="14.25" customHeight="1">
      <c r="A225" s="3234" t="s">
        <v>304</v>
      </c>
      <c r="B225" s="3234" t="s">
        <v>3103</v>
      </c>
      <c r="C225" s="3234"/>
      <c r="D225" s="3234"/>
      <c r="E225" s="3234"/>
      <c r="F225" s="3234">
        <v>1930</v>
      </c>
      <c r="G225" s="3247"/>
    </row>
    <row r="226" spans="1:7" s="3223" customFormat="1" ht="14.25" customHeight="1">
      <c r="A226" s="3234" t="s">
        <v>304</v>
      </c>
      <c r="B226" s="3234" t="s">
        <v>3104</v>
      </c>
      <c r="C226" s="3234"/>
      <c r="D226" s="3234"/>
      <c r="E226" s="3234"/>
      <c r="F226" s="3234">
        <v>1700</v>
      </c>
      <c r="G226" s="3247"/>
    </row>
    <row r="227" spans="1:7" s="3223" customFormat="1" ht="14.25" customHeight="1">
      <c r="A227" s="3234" t="s">
        <v>304</v>
      </c>
      <c r="B227" s="3234" t="s">
        <v>3105</v>
      </c>
      <c r="C227" s="3234"/>
      <c r="D227" s="3234"/>
      <c r="E227" s="3234"/>
      <c r="F227" s="3234">
        <v>1520</v>
      </c>
      <c r="G227" s="3247"/>
    </row>
    <row r="228" spans="1:7" s="3223" customFormat="1" ht="14.25" customHeight="1">
      <c r="A228" s="3234" t="s">
        <v>304</v>
      </c>
      <c r="B228" s="3234" t="s">
        <v>3106</v>
      </c>
      <c r="C228" s="3234"/>
      <c r="D228" s="3234"/>
      <c r="E228" s="3234"/>
      <c r="F228" s="3234">
        <v>1520</v>
      </c>
      <c r="G228" s="3247"/>
    </row>
    <row r="229" spans="1:7" s="3223" customFormat="1" ht="14.25" customHeight="1">
      <c r="A229" s="3234" t="s">
        <v>304</v>
      </c>
      <c r="B229" s="3234" t="s">
        <v>3023</v>
      </c>
      <c r="C229" s="3234"/>
      <c r="D229" s="3234"/>
      <c r="E229" s="3234"/>
      <c r="F229" s="3234">
        <v>1520</v>
      </c>
      <c r="G229" s="3247"/>
    </row>
    <row r="230" spans="1:7" s="3223" customFormat="1" ht="14.25" customHeight="1">
      <c r="A230" s="3234" t="s">
        <v>304</v>
      </c>
      <c r="B230" s="3234" t="s">
        <v>3107</v>
      </c>
      <c r="C230" s="3234"/>
      <c r="D230" s="3234"/>
      <c r="E230" s="3234"/>
      <c r="F230" s="3234">
        <v>1820</v>
      </c>
      <c r="G230" s="3247"/>
    </row>
    <row r="231" spans="1:7" s="3223" customFormat="1" ht="14.25" customHeight="1">
      <c r="A231" s="3234" t="s">
        <v>304</v>
      </c>
      <c r="B231" s="3234" t="s">
        <v>3108</v>
      </c>
      <c r="C231" s="3234"/>
      <c r="D231" s="3234"/>
      <c r="E231" s="3234"/>
      <c r="F231" s="3234">
        <v>1760</v>
      </c>
      <c r="G231" s="3247"/>
    </row>
    <row r="232" spans="1:7" s="3223" customFormat="1" ht="14.25" customHeight="1">
      <c r="A232" s="3234" t="s">
        <v>304</v>
      </c>
      <c r="B232" s="3234" t="s">
        <v>3109</v>
      </c>
      <c r="C232" s="3234"/>
      <c r="D232" s="3234"/>
      <c r="E232" s="3234"/>
      <c r="F232" s="3234">
        <v>1840</v>
      </c>
      <c r="G232" s="3247"/>
    </row>
    <row r="233" spans="1:7" s="3223" customFormat="1" ht="14.25" customHeight="1" thickBot="1">
      <c r="A233" s="3248" t="s">
        <v>304</v>
      </c>
      <c r="B233" s="3241" t="s">
        <v>3040</v>
      </c>
      <c r="C233" s="3241"/>
      <c r="D233" s="3241"/>
      <c r="E233" s="3241"/>
      <c r="F233" s="3241">
        <v>1770</v>
      </c>
      <c r="G233" s="3249"/>
    </row>
    <row r="234" spans="1:7" s="3223" customFormat="1" ht="14.25" customHeight="1">
      <c r="A234" s="3239" t="s">
        <v>305</v>
      </c>
      <c r="B234" s="3230" t="s">
        <v>3110</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2881</v>
      </c>
      <c r="C238" s="3234">
        <v>6920</v>
      </c>
      <c r="D238" s="3234">
        <v>6890</v>
      </c>
      <c r="E238" s="3234">
        <v>8640</v>
      </c>
      <c r="F238" s="3234">
        <v>1310</v>
      </c>
      <c r="G238" s="3234">
        <v>4230</v>
      </c>
    </row>
    <row r="239" spans="1:7" s="3223" customFormat="1" ht="14.25" customHeight="1">
      <c r="A239" s="3234" t="s">
        <v>305</v>
      </c>
      <c r="B239" s="3234" t="s">
        <v>3111</v>
      </c>
      <c r="C239" s="3234">
        <v>6780</v>
      </c>
      <c r="D239" s="3234">
        <v>6750</v>
      </c>
      <c r="E239" s="3234">
        <v>8440</v>
      </c>
      <c r="F239" s="3234">
        <v>1160</v>
      </c>
      <c r="G239" s="3234">
        <v>4140</v>
      </c>
    </row>
    <row r="240" spans="1:7" s="3223" customFormat="1" ht="14.25" customHeight="1">
      <c r="A240" s="3234" t="s">
        <v>305</v>
      </c>
      <c r="B240" s="3234" t="s">
        <v>3112</v>
      </c>
      <c r="C240" s="3234">
        <v>5420</v>
      </c>
      <c r="D240" s="3234">
        <v>5380</v>
      </c>
      <c r="E240" s="3234">
        <v>6640</v>
      </c>
      <c r="F240" s="3234">
        <v>1020</v>
      </c>
      <c r="G240" s="3234">
        <v>3300</v>
      </c>
    </row>
    <row r="241" spans="1:7" s="3223" customFormat="1" ht="14.25" customHeight="1">
      <c r="A241" s="3234" t="s">
        <v>305</v>
      </c>
      <c r="B241" s="3234" t="s">
        <v>3113</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3114</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3115</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3116</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3117</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3118</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2943</v>
      </c>
      <c r="C258" s="3234">
        <v>6190</v>
      </c>
      <c r="D258" s="3234">
        <v>6160</v>
      </c>
      <c r="E258" s="3234">
        <v>7680</v>
      </c>
      <c r="F258" s="3234">
        <v>1170</v>
      </c>
      <c r="G258" s="3234">
        <v>3780</v>
      </c>
    </row>
    <row r="259" spans="1:7" s="3223" customFormat="1" ht="14.25" customHeight="1">
      <c r="A259" s="3234" t="s">
        <v>305</v>
      </c>
      <c r="B259" s="3234" t="s">
        <v>3119</v>
      </c>
      <c r="C259" s="3234">
        <v>7610</v>
      </c>
      <c r="D259" s="3234">
        <v>7570</v>
      </c>
      <c r="E259" s="3234">
        <v>9350</v>
      </c>
      <c r="F259" s="3234">
        <v>1350</v>
      </c>
      <c r="G259" s="3234">
        <v>4650</v>
      </c>
    </row>
    <row r="260" spans="1:7" s="3223" customFormat="1" ht="14.25" customHeight="1">
      <c r="A260" s="3234" t="s">
        <v>305</v>
      </c>
      <c r="B260" s="3234" t="s">
        <v>3120</v>
      </c>
      <c r="C260" s="3234">
        <v>6920</v>
      </c>
      <c r="D260" s="3234">
        <v>6880</v>
      </c>
      <c r="E260" s="3234">
        <v>8380</v>
      </c>
      <c r="F260" s="3234">
        <v>1160</v>
      </c>
      <c r="G260" s="3234">
        <v>4220</v>
      </c>
    </row>
    <row r="261" spans="1:7" s="3223" customFormat="1" ht="14.25" customHeight="1">
      <c r="A261" s="3234" t="s">
        <v>305</v>
      </c>
      <c r="B261" s="3234" t="s">
        <v>3121</v>
      </c>
      <c r="C261" s="3234">
        <v>6850</v>
      </c>
      <c r="D261" s="3234">
        <v>6810</v>
      </c>
      <c r="E261" s="3234">
        <v>8290</v>
      </c>
      <c r="F261" s="3234">
        <v>1130</v>
      </c>
      <c r="G261" s="3234">
        <v>4180</v>
      </c>
    </row>
    <row r="262" spans="1:7" s="3223" customFormat="1" ht="14.25" customHeight="1">
      <c r="A262" s="3234" t="s">
        <v>305</v>
      </c>
      <c r="B262" s="3234" t="s">
        <v>3122</v>
      </c>
      <c r="C262" s="3234">
        <v>5860</v>
      </c>
      <c r="D262" s="3234">
        <v>5820</v>
      </c>
      <c r="E262" s="3234">
        <v>7640</v>
      </c>
      <c r="F262" s="3234">
        <v>1070</v>
      </c>
      <c r="G262" s="3234">
        <v>3570</v>
      </c>
    </row>
    <row r="263" spans="1:7" s="3223" customFormat="1" ht="14.25" customHeight="1">
      <c r="A263" s="3234" t="s">
        <v>305</v>
      </c>
      <c r="B263" s="3234" t="s">
        <v>3123</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3124</v>
      </c>
      <c r="C265" s="3234"/>
      <c r="D265" s="3234"/>
      <c r="E265" s="3234"/>
      <c r="F265" s="3234">
        <v>1500</v>
      </c>
      <c r="G265" s="3234"/>
    </row>
    <row r="266" spans="1:7" s="3223" customFormat="1" ht="14.25" customHeight="1">
      <c r="A266" s="3234" t="s">
        <v>305</v>
      </c>
      <c r="B266" s="3234" t="s">
        <v>3125</v>
      </c>
      <c r="C266" s="3234"/>
      <c r="D266" s="3234"/>
      <c r="E266" s="3234"/>
      <c r="F266" s="3234">
        <v>1500</v>
      </c>
      <c r="G266" s="3234"/>
    </row>
    <row r="267" spans="1:7" s="3223" customFormat="1" ht="14.25" customHeight="1">
      <c r="A267" s="3234" t="s">
        <v>305</v>
      </c>
      <c r="B267" s="3234" t="s">
        <v>3126</v>
      </c>
      <c r="C267" s="3234"/>
      <c r="D267" s="3234"/>
      <c r="E267" s="3234"/>
      <c r="F267" s="3234">
        <v>1500</v>
      </c>
      <c r="G267" s="3234"/>
    </row>
    <row r="268" spans="1:7" s="3223" customFormat="1" ht="14.25" customHeight="1">
      <c r="A268" s="3234" t="s">
        <v>305</v>
      </c>
      <c r="B268" s="3234" t="s">
        <v>3127</v>
      </c>
      <c r="C268" s="3234"/>
      <c r="D268" s="3234"/>
      <c r="E268" s="3234"/>
      <c r="F268" s="3234">
        <v>1290</v>
      </c>
      <c r="G268" s="3234"/>
    </row>
    <row r="269" spans="1:7" s="3223" customFormat="1" ht="14.25" customHeight="1">
      <c r="A269" s="3234" t="s">
        <v>305</v>
      </c>
      <c r="B269" s="3234" t="s">
        <v>3128</v>
      </c>
      <c r="C269" s="3234"/>
      <c r="D269" s="3234"/>
      <c r="E269" s="3234"/>
      <c r="F269" s="3234">
        <v>1150</v>
      </c>
      <c r="G269" s="3234"/>
    </row>
    <row r="270" spans="1:7" s="3223" customFormat="1" ht="14.25" customHeight="1">
      <c r="A270" s="3234" t="s">
        <v>305</v>
      </c>
      <c r="B270" s="3234" t="s">
        <v>3129</v>
      </c>
      <c r="C270" s="3234"/>
      <c r="D270" s="3234"/>
      <c r="E270" s="3234"/>
      <c r="F270" s="3234">
        <v>1380</v>
      </c>
      <c r="G270" s="3234"/>
    </row>
    <row r="271" spans="1:7" s="3223" customFormat="1" ht="14.25" customHeight="1">
      <c r="A271" s="3234" t="s">
        <v>305</v>
      </c>
      <c r="B271" s="3234" t="s">
        <v>3130</v>
      </c>
      <c r="C271" s="3234"/>
      <c r="D271" s="3234"/>
      <c r="E271" s="3234"/>
      <c r="F271" s="3234">
        <v>1460</v>
      </c>
      <c r="G271" s="3234"/>
    </row>
    <row r="272" spans="1:7" s="3223" customFormat="1" ht="14.25" customHeight="1">
      <c r="A272" s="3234" t="s">
        <v>305</v>
      </c>
      <c r="B272" s="3234" t="s">
        <v>3131</v>
      </c>
      <c r="C272" s="3234"/>
      <c r="D272" s="3234"/>
      <c r="E272" s="3234"/>
      <c r="F272" s="3234">
        <v>1460</v>
      </c>
      <c r="G272" s="3234"/>
    </row>
    <row r="273" spans="1:7" s="3223" customFormat="1" ht="14.25" customHeight="1">
      <c r="A273" s="3234" t="s">
        <v>305</v>
      </c>
      <c r="B273" s="3234" t="s">
        <v>3024</v>
      </c>
      <c r="C273" s="3234"/>
      <c r="D273" s="3234"/>
      <c r="E273" s="3234"/>
      <c r="F273" s="3234">
        <v>1490</v>
      </c>
      <c r="G273" s="3234"/>
    </row>
    <row r="274" spans="1:7" s="3223" customFormat="1" ht="14.25" customHeight="1">
      <c r="A274" s="3234" t="s">
        <v>305</v>
      </c>
      <c r="B274" s="3234" t="s">
        <v>3132</v>
      </c>
      <c r="C274" s="3234"/>
      <c r="D274" s="3234"/>
      <c r="E274" s="3234"/>
      <c r="F274" s="3234">
        <v>1490</v>
      </c>
      <c r="G274" s="3234"/>
    </row>
    <row r="275" spans="1:7" s="3223" customFormat="1" ht="14.25" customHeight="1">
      <c r="A275" s="3234" t="s">
        <v>305</v>
      </c>
      <c r="B275" s="3234" t="s">
        <v>3133</v>
      </c>
      <c r="C275" s="3234"/>
      <c r="D275" s="3234"/>
      <c r="E275" s="3234"/>
      <c r="F275" s="3234">
        <v>1220</v>
      </c>
      <c r="G275" s="3234"/>
    </row>
    <row r="276" spans="1:7" s="3223" customFormat="1" ht="14.25" customHeight="1" thickBot="1">
      <c r="A276" s="3242" t="s">
        <v>305</v>
      </c>
      <c r="B276" s="3244" t="s">
        <v>3134</v>
      </c>
      <c r="C276" s="3245"/>
      <c r="D276" s="3245"/>
      <c r="E276" s="3245"/>
      <c r="F276" s="3245">
        <v>1380</v>
      </c>
      <c r="G276" s="3245"/>
    </row>
    <row r="277" spans="1:7" s="3223" customFormat="1" ht="14.25" customHeight="1">
      <c r="A277" s="3239" t="s">
        <v>306</v>
      </c>
      <c r="B277" s="3230" t="s">
        <v>3135</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3136</v>
      </c>
      <c r="C279" s="3234">
        <v>4760</v>
      </c>
      <c r="D279" s="3234">
        <v>4720</v>
      </c>
      <c r="E279" s="3234">
        <v>5540</v>
      </c>
      <c r="F279" s="3234">
        <v>810</v>
      </c>
      <c r="G279" s="3247">
        <v>2850</v>
      </c>
    </row>
    <row r="280" spans="1:7" s="3223" customFormat="1" ht="14.25" customHeight="1">
      <c r="A280" s="3234" t="s">
        <v>306</v>
      </c>
      <c r="B280" s="3234" t="s">
        <v>3137</v>
      </c>
      <c r="C280" s="3234">
        <v>4010</v>
      </c>
      <c r="D280" s="3234">
        <v>3950</v>
      </c>
      <c r="E280" s="3234">
        <v>4710</v>
      </c>
      <c r="F280" s="3234">
        <v>800</v>
      </c>
      <c r="G280" s="3247">
        <v>2390</v>
      </c>
    </row>
    <row r="281" spans="1:7" s="3223" customFormat="1" ht="14.25" customHeight="1">
      <c r="A281" s="3234" t="s">
        <v>306</v>
      </c>
      <c r="B281" s="3234" t="s">
        <v>3138</v>
      </c>
      <c r="C281" s="3234">
        <v>4480</v>
      </c>
      <c r="D281" s="3234">
        <v>4420</v>
      </c>
      <c r="E281" s="3234">
        <v>5230</v>
      </c>
      <c r="F281" s="3234">
        <v>870</v>
      </c>
      <c r="G281" s="3247">
        <v>2660</v>
      </c>
    </row>
    <row r="282" spans="1:7" s="3223" customFormat="1" ht="14.25" customHeight="1">
      <c r="A282" s="3234" t="s">
        <v>306</v>
      </c>
      <c r="B282" s="3234" t="s">
        <v>3139</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3140</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3141</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2916</v>
      </c>
      <c r="C293" s="3234">
        <v>5320</v>
      </c>
      <c r="D293" s="3234">
        <v>5270</v>
      </c>
      <c r="E293" s="3234">
        <v>6160</v>
      </c>
      <c r="F293" s="3234">
        <v>990</v>
      </c>
      <c r="G293" s="3247">
        <v>3170</v>
      </c>
    </row>
    <row r="294" spans="1:7" s="3223" customFormat="1" ht="14.25" customHeight="1">
      <c r="A294" s="3234" t="s">
        <v>306</v>
      </c>
      <c r="B294" s="3234" t="s">
        <v>3142</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2935</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3143</v>
      </c>
      <c r="C302" s="3234">
        <v>5520</v>
      </c>
      <c r="D302" s="3234">
        <v>5470</v>
      </c>
      <c r="E302" s="3234">
        <v>6410</v>
      </c>
      <c r="F302" s="3234">
        <v>950</v>
      </c>
      <c r="G302" s="3247">
        <v>3300</v>
      </c>
    </row>
    <row r="303" spans="1:7" s="3223" customFormat="1" ht="14.25" customHeight="1">
      <c r="A303" s="3234" t="s">
        <v>306</v>
      </c>
      <c r="B303" s="3234" t="s">
        <v>2955</v>
      </c>
      <c r="C303" s="3234">
        <v>5630</v>
      </c>
      <c r="D303" s="3234">
        <v>5590</v>
      </c>
      <c r="E303" s="3234">
        <v>6550</v>
      </c>
      <c r="F303" s="3234">
        <v>1010</v>
      </c>
      <c r="G303" s="3247">
        <v>3370</v>
      </c>
    </row>
    <row r="304" spans="1:7" s="3223" customFormat="1" ht="14.25" customHeight="1">
      <c r="A304" s="3234" t="s">
        <v>306</v>
      </c>
      <c r="B304" s="3234" t="s">
        <v>2962</v>
      </c>
      <c r="C304" s="3234">
        <v>5680</v>
      </c>
      <c r="D304" s="3234">
        <v>5620</v>
      </c>
      <c r="E304" s="3234">
        <v>6620</v>
      </c>
      <c r="F304" s="3234">
        <v>1050</v>
      </c>
      <c r="G304" s="3247">
        <v>3390</v>
      </c>
    </row>
    <row r="305" spans="1:7" s="3223" customFormat="1" ht="14.25" customHeight="1">
      <c r="A305" s="3234" t="s">
        <v>306</v>
      </c>
      <c r="B305" s="3234" t="s">
        <v>2968</v>
      </c>
      <c r="C305" s="3234">
        <v>5590</v>
      </c>
      <c r="D305" s="3234">
        <v>5530</v>
      </c>
      <c r="E305" s="3234">
        <v>6460</v>
      </c>
      <c r="F305" s="3234">
        <v>900</v>
      </c>
      <c r="G305" s="3247">
        <v>3340</v>
      </c>
    </row>
    <row r="306" spans="1:7" s="3223" customFormat="1" ht="14.25" customHeight="1">
      <c r="A306" s="3234" t="s">
        <v>306</v>
      </c>
      <c r="B306" s="3234" t="s">
        <v>3144</v>
      </c>
      <c r="C306" s="3234">
        <v>5560</v>
      </c>
      <c r="D306" s="3234">
        <v>5510</v>
      </c>
      <c r="E306" s="3234">
        <v>6440</v>
      </c>
      <c r="F306" s="3234">
        <v>900</v>
      </c>
      <c r="G306" s="3247">
        <v>3320</v>
      </c>
    </row>
    <row r="307" spans="1:7" s="3223" customFormat="1" ht="14.25" customHeight="1">
      <c r="A307" s="3234" t="s">
        <v>306</v>
      </c>
      <c r="B307" s="3234" t="s">
        <v>2980</v>
      </c>
      <c r="C307" s="3234">
        <v>5650</v>
      </c>
      <c r="D307" s="3234">
        <v>5600</v>
      </c>
      <c r="E307" s="3234">
        <v>6590</v>
      </c>
      <c r="F307" s="3234">
        <v>930</v>
      </c>
      <c r="G307" s="3247">
        <v>3380</v>
      </c>
    </row>
    <row r="308" spans="1:7" s="3223" customFormat="1" ht="14.25" customHeight="1">
      <c r="A308" s="3234" t="s">
        <v>306</v>
      </c>
      <c r="B308" s="3234" t="s">
        <v>3145</v>
      </c>
      <c r="C308" s="3234">
        <v>5620</v>
      </c>
      <c r="D308" s="3234">
        <v>5580</v>
      </c>
      <c r="E308" s="3234">
        <v>6540</v>
      </c>
      <c r="F308" s="3234">
        <v>910</v>
      </c>
      <c r="G308" s="3247">
        <v>3370</v>
      </c>
    </row>
    <row r="309" spans="1:7" s="3223" customFormat="1" ht="14.25" customHeight="1">
      <c r="A309" s="3234" t="s">
        <v>306</v>
      </c>
      <c r="B309" s="3234" t="s">
        <v>3146</v>
      </c>
      <c r="C309" s="3234">
        <v>5060</v>
      </c>
      <c r="D309" s="3234">
        <v>5020</v>
      </c>
      <c r="E309" s="3234">
        <v>6370</v>
      </c>
      <c r="F309" s="3234">
        <v>800</v>
      </c>
      <c r="G309" s="3247">
        <v>3020</v>
      </c>
    </row>
    <row r="310" spans="1:7" s="3223" customFormat="1" ht="14.25" customHeight="1">
      <c r="A310" s="3234" t="s">
        <v>306</v>
      </c>
      <c r="B310" s="3234" t="s">
        <v>2995</v>
      </c>
      <c r="C310" s="3234">
        <v>5150</v>
      </c>
      <c r="D310" s="3234">
        <v>5110</v>
      </c>
      <c r="E310" s="3234">
        <v>6500</v>
      </c>
      <c r="F310" s="3234">
        <v>880</v>
      </c>
      <c r="G310" s="3247">
        <v>3080</v>
      </c>
    </row>
    <row r="311" spans="1:7" s="3223" customFormat="1" ht="14.25" customHeight="1">
      <c r="A311" s="3234" t="s">
        <v>306</v>
      </c>
      <c r="B311" s="3234" t="s">
        <v>3147</v>
      </c>
      <c r="C311" s="3234">
        <v>4750</v>
      </c>
      <c r="D311" s="3234">
        <v>4710</v>
      </c>
      <c r="E311" s="3234">
        <v>5510</v>
      </c>
      <c r="F311" s="3234">
        <v>880</v>
      </c>
      <c r="G311" s="3247">
        <v>2840</v>
      </c>
    </row>
    <row r="312" spans="1:7" s="3223" customFormat="1" ht="14.25" customHeight="1">
      <c r="A312" s="3234" t="s">
        <v>306</v>
      </c>
      <c r="B312" s="3234" t="s">
        <v>3005</v>
      </c>
      <c r="C312" s="3234">
        <v>4690</v>
      </c>
      <c r="D312" s="3234">
        <v>4640</v>
      </c>
      <c r="E312" s="3234">
        <v>5420</v>
      </c>
      <c r="F312" s="3234">
        <v>800</v>
      </c>
      <c r="G312" s="3247">
        <v>2800</v>
      </c>
    </row>
    <row r="313" spans="1:7" s="3223" customFormat="1" ht="14.25" customHeight="1">
      <c r="A313" s="3234" t="s">
        <v>306</v>
      </c>
      <c r="B313" s="3234" t="s">
        <v>3010</v>
      </c>
      <c r="C313" s="3234">
        <v>4810</v>
      </c>
      <c r="D313" s="3234">
        <v>4760</v>
      </c>
      <c r="E313" s="3234">
        <v>5550</v>
      </c>
      <c r="F313" s="3234">
        <v>920</v>
      </c>
      <c r="G313" s="3247">
        <v>2870</v>
      </c>
    </row>
    <row r="314" spans="1:7" s="3223" customFormat="1" ht="14.25" customHeight="1">
      <c r="A314" s="3234" t="s">
        <v>306</v>
      </c>
      <c r="B314" s="3234" t="s">
        <v>3148</v>
      </c>
      <c r="C314" s="3234"/>
      <c r="D314" s="3234"/>
      <c r="E314" s="3234"/>
      <c r="F314" s="3234">
        <v>1020</v>
      </c>
      <c r="G314" s="3247"/>
    </row>
    <row r="315" spans="1:7" s="3223" customFormat="1" ht="14.25" customHeight="1">
      <c r="A315" s="3234" t="s">
        <v>306</v>
      </c>
      <c r="B315" s="3234" t="s">
        <v>3149</v>
      </c>
      <c r="C315" s="3234"/>
      <c r="D315" s="3234"/>
      <c r="E315" s="3234"/>
      <c r="F315" s="3234">
        <v>1050</v>
      </c>
      <c r="G315" s="3247"/>
    </row>
    <row r="316" spans="1:7" s="3223" customFormat="1" ht="14.25" customHeight="1">
      <c r="A316" s="3234" t="s">
        <v>306</v>
      </c>
      <c r="B316" s="3234" t="s">
        <v>3025</v>
      </c>
      <c r="C316" s="3234"/>
      <c r="D316" s="3234"/>
      <c r="E316" s="3234"/>
      <c r="F316" s="3234">
        <v>900</v>
      </c>
      <c r="G316" s="3247"/>
    </row>
    <row r="317" spans="1:7" s="3223" customFormat="1" ht="14.25" customHeight="1">
      <c r="A317" s="3234" t="s">
        <v>306</v>
      </c>
      <c r="B317" s="3234" t="s">
        <v>3150</v>
      </c>
      <c r="C317" s="3234"/>
      <c r="D317" s="3234"/>
      <c r="E317" s="3234"/>
      <c r="F317" s="3234">
        <v>920</v>
      </c>
      <c r="G317" s="3247"/>
    </row>
    <row r="318" spans="1:7" s="3223" customFormat="1" ht="14.25" customHeight="1">
      <c r="A318" s="3234" t="s">
        <v>306</v>
      </c>
      <c r="B318" s="3234" t="s">
        <v>3151</v>
      </c>
      <c r="C318" s="3234"/>
      <c r="D318" s="3234"/>
      <c r="E318" s="3234"/>
      <c r="F318" s="3234">
        <v>1080</v>
      </c>
      <c r="G318" s="3247"/>
    </row>
    <row r="319" spans="1:7" s="3223" customFormat="1" ht="14.25" customHeight="1">
      <c r="A319" s="3234" t="s">
        <v>306</v>
      </c>
      <c r="B319" s="3234" t="s">
        <v>3038</v>
      </c>
      <c r="C319" s="3234"/>
      <c r="D319" s="3234"/>
      <c r="E319" s="3234"/>
      <c r="F319" s="3234">
        <v>1020</v>
      </c>
      <c r="G319" s="3247"/>
    </row>
    <row r="320" spans="1:7" s="3223" customFormat="1" ht="14.25" customHeight="1">
      <c r="A320" s="3234" t="s">
        <v>306</v>
      </c>
      <c r="B320" s="3234" t="s">
        <v>3041</v>
      </c>
      <c r="C320" s="3234"/>
      <c r="D320" s="3234"/>
      <c r="E320" s="3234"/>
      <c r="F320" s="3234">
        <v>1050</v>
      </c>
      <c r="G320" s="3247"/>
    </row>
    <row r="321" spans="1:7" s="3223" customFormat="1" ht="14.25" customHeight="1">
      <c r="A321" s="3234" t="s">
        <v>306</v>
      </c>
      <c r="B321" s="3234" t="s">
        <v>3043</v>
      </c>
      <c r="C321" s="3234"/>
      <c r="D321" s="3234"/>
      <c r="E321" s="3234"/>
      <c r="F321" s="3234">
        <v>960</v>
      </c>
      <c r="G321" s="3247"/>
    </row>
    <row r="322" spans="1:7" s="3223" customFormat="1" ht="14.25" customHeight="1">
      <c r="A322" s="3234" t="s">
        <v>306</v>
      </c>
      <c r="B322" s="3234" t="s">
        <v>3045</v>
      </c>
      <c r="C322" s="3234"/>
      <c r="D322" s="3234"/>
      <c r="E322" s="3234"/>
      <c r="F322" s="3234">
        <v>960</v>
      </c>
      <c r="G322" s="3247"/>
    </row>
    <row r="323" spans="1:7" s="3223" customFormat="1" ht="14.25" customHeight="1">
      <c r="A323" s="3234" t="s">
        <v>306</v>
      </c>
      <c r="B323" s="3234" t="s">
        <v>3047</v>
      </c>
      <c r="C323" s="3234"/>
      <c r="D323" s="3234"/>
      <c r="E323" s="3234"/>
      <c r="F323" s="3234">
        <v>880</v>
      </c>
      <c r="G323" s="3247"/>
    </row>
    <row r="324" spans="1:7" s="3223" customFormat="1" ht="14.25" customHeight="1">
      <c r="A324" s="3234" t="s">
        <v>306</v>
      </c>
      <c r="B324" s="3234" t="s">
        <v>3049</v>
      </c>
      <c r="C324" s="3234"/>
      <c r="D324" s="3234"/>
      <c r="E324" s="3234"/>
      <c r="F324" s="3234">
        <v>930</v>
      </c>
      <c r="G324" s="3247"/>
    </row>
    <row r="325" spans="1:7" s="3223" customFormat="1" ht="14.25" customHeight="1">
      <c r="A325" s="3234" t="s">
        <v>306</v>
      </c>
      <c r="B325" s="3235" t="s">
        <v>3051</v>
      </c>
      <c r="C325" s="3234"/>
      <c r="D325" s="3234"/>
      <c r="E325" s="3234"/>
      <c r="F325" s="3234">
        <v>900</v>
      </c>
      <c r="G325" s="3247"/>
    </row>
    <row r="326" spans="1:7" s="3223" customFormat="1" ht="14.25" customHeight="1" thickBot="1">
      <c r="A326" s="3248" t="s">
        <v>306</v>
      </c>
      <c r="B326" s="3241" t="s">
        <v>3053</v>
      </c>
      <c r="C326" s="3241"/>
      <c r="D326" s="3241"/>
      <c r="E326" s="3241"/>
      <c r="F326" s="3241">
        <v>790</v>
      </c>
      <c r="G326" s="3249"/>
    </row>
    <row r="327" spans="1:7" s="3223" customFormat="1" ht="14.25" customHeight="1">
      <c r="A327" s="3239" t="s">
        <v>307</v>
      </c>
      <c r="B327" s="3230" t="s">
        <v>3152</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3153</v>
      </c>
      <c r="C329" s="3234">
        <v>2730</v>
      </c>
      <c r="D329" s="3234">
        <v>2690</v>
      </c>
      <c r="E329" s="3234">
        <v>3100</v>
      </c>
      <c r="F329" s="3234">
        <v>660</v>
      </c>
      <c r="G329" s="3234">
        <v>1610</v>
      </c>
    </row>
    <row r="330" spans="1:7" s="3223" customFormat="1" ht="14.25" customHeight="1">
      <c r="A330" s="3234" t="s">
        <v>307</v>
      </c>
      <c r="B330" s="3234" t="s">
        <v>3154</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2887</v>
      </c>
      <c r="C332" s="3234">
        <v>3520</v>
      </c>
      <c r="D332" s="3234">
        <v>3480</v>
      </c>
      <c r="E332" s="3234">
        <v>3830</v>
      </c>
      <c r="F332" s="3234">
        <v>720</v>
      </c>
      <c r="G332" s="3234">
        <v>2090</v>
      </c>
    </row>
    <row r="333" spans="1:7" s="3223" customFormat="1" ht="14.25" customHeight="1">
      <c r="A333" s="3234" t="s">
        <v>307</v>
      </c>
      <c r="B333" s="3234" t="s">
        <v>3155</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2897</v>
      </c>
      <c r="C336" s="3234">
        <v>3570</v>
      </c>
      <c r="D336" s="3234">
        <v>3530</v>
      </c>
      <c r="E336" s="3234">
        <v>3880</v>
      </c>
      <c r="F336" s="3234">
        <v>770</v>
      </c>
      <c r="G336" s="3234">
        <v>2110</v>
      </c>
    </row>
    <row r="337" spans="1:10" s="3223" customFormat="1" ht="14.25" customHeight="1">
      <c r="A337" s="3234" t="s">
        <v>307</v>
      </c>
      <c r="B337" s="3234" t="s">
        <v>3156</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3157</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3158</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ht="14">
      <c r="A345" s="3234" t="s">
        <v>307</v>
      </c>
      <c r="B345" s="3234" t="s">
        <v>2922</v>
      </c>
      <c r="C345" s="3234">
        <v>3190</v>
      </c>
      <c r="D345" s="3234">
        <v>3140</v>
      </c>
      <c r="E345" s="3234">
        <v>3450</v>
      </c>
      <c r="F345" s="3234">
        <v>720</v>
      </c>
      <c r="G345" s="3234">
        <v>1880</v>
      </c>
      <c r="J345" s="3223"/>
    </row>
    <row r="346" spans="1:10" ht="14">
      <c r="A346" s="3234" t="s">
        <v>307</v>
      </c>
      <c r="B346" s="3234" t="s">
        <v>3159</v>
      </c>
      <c r="C346" s="3234">
        <v>3630</v>
      </c>
      <c r="D346" s="3234">
        <v>3590</v>
      </c>
      <c r="E346" s="3234">
        <v>3940</v>
      </c>
      <c r="F346" s="3234">
        <v>730</v>
      </c>
      <c r="G346" s="3234">
        <v>2150</v>
      </c>
      <c r="J346" s="3223"/>
    </row>
    <row r="347" spans="1:10" ht="14">
      <c r="A347" s="3234" t="s">
        <v>307</v>
      </c>
      <c r="B347" s="3234" t="s">
        <v>243</v>
      </c>
      <c r="C347" s="3234">
        <v>3860</v>
      </c>
      <c r="D347" s="3234">
        <v>3820</v>
      </c>
      <c r="E347" s="3234">
        <v>4220</v>
      </c>
      <c r="F347" s="3234">
        <v>750</v>
      </c>
      <c r="G347" s="3234">
        <v>2280</v>
      </c>
      <c r="J347" s="3223"/>
    </row>
    <row r="348" spans="1:10" ht="14">
      <c r="A348" s="3234" t="s">
        <v>307</v>
      </c>
      <c r="B348" s="3234" t="s">
        <v>2931</v>
      </c>
      <c r="C348" s="3234">
        <v>4000</v>
      </c>
      <c r="D348" s="3234">
        <v>3950</v>
      </c>
      <c r="E348" s="3234">
        <v>4430</v>
      </c>
      <c r="F348" s="3234">
        <v>760</v>
      </c>
      <c r="G348" s="3234">
        <v>2360</v>
      </c>
      <c r="J348" s="3223"/>
    </row>
    <row r="349" spans="1:10" ht="14">
      <c r="A349" s="3234" t="s">
        <v>307</v>
      </c>
      <c r="B349" s="3234" t="s">
        <v>2936</v>
      </c>
      <c r="C349" s="3234">
        <v>3820</v>
      </c>
      <c r="D349" s="3234">
        <v>3780</v>
      </c>
      <c r="E349" s="3234">
        <v>4170</v>
      </c>
      <c r="F349" s="3234">
        <v>710</v>
      </c>
      <c r="G349" s="3234">
        <v>2260</v>
      </c>
      <c r="J349" s="3223"/>
    </row>
    <row r="350" spans="1:10" ht="14">
      <c r="A350" s="3234" t="s">
        <v>307</v>
      </c>
      <c r="B350" s="3234" t="s">
        <v>3160</v>
      </c>
      <c r="C350" s="3234">
        <v>3760</v>
      </c>
      <c r="D350" s="3234">
        <v>3730</v>
      </c>
      <c r="E350" s="3234">
        <v>4100</v>
      </c>
      <c r="F350" s="3234">
        <v>800</v>
      </c>
      <c r="G350" s="3234">
        <v>2230</v>
      </c>
      <c r="J350" s="3223"/>
    </row>
    <row r="351" spans="1:10" ht="14">
      <c r="A351" s="3234" t="s">
        <v>307</v>
      </c>
      <c r="B351" s="3234" t="s">
        <v>2944</v>
      </c>
      <c r="C351" s="3234">
        <v>3610</v>
      </c>
      <c r="D351" s="3234">
        <v>3580</v>
      </c>
      <c r="E351" s="3234">
        <v>3930</v>
      </c>
      <c r="F351" s="3234">
        <v>700</v>
      </c>
      <c r="G351" s="3234">
        <v>2140</v>
      </c>
      <c r="J351" s="3223"/>
    </row>
    <row r="352" spans="1:10" ht="14">
      <c r="A352" s="3234" t="s">
        <v>307</v>
      </c>
      <c r="B352" s="3234" t="s">
        <v>2949</v>
      </c>
      <c r="C352" s="3234">
        <v>3670</v>
      </c>
      <c r="D352" s="3234">
        <v>3630</v>
      </c>
      <c r="E352" s="3234">
        <v>4000</v>
      </c>
      <c r="F352" s="3234">
        <v>750</v>
      </c>
      <c r="G352" s="3234">
        <v>2180</v>
      </c>
    </row>
    <row r="353" spans="1:7" s="3227" customFormat="1" ht="14">
      <c r="A353" s="3234" t="s">
        <v>307</v>
      </c>
      <c r="B353" s="3234" t="s">
        <v>3161</v>
      </c>
      <c r="C353" s="3234">
        <v>3190</v>
      </c>
      <c r="D353" s="3234">
        <v>3150</v>
      </c>
      <c r="E353" s="3234">
        <v>3640</v>
      </c>
      <c r="F353" s="3234">
        <v>630</v>
      </c>
      <c r="G353" s="3234">
        <v>1890</v>
      </c>
    </row>
    <row r="354" spans="1:7" s="3227" customFormat="1" ht="14">
      <c r="A354" s="3234" t="s">
        <v>307</v>
      </c>
      <c r="B354" s="3234" t="s">
        <v>280</v>
      </c>
      <c r="C354" s="3234">
        <v>3450</v>
      </c>
      <c r="D354" s="3234">
        <v>3420</v>
      </c>
      <c r="E354" s="3234">
        <v>3960</v>
      </c>
      <c r="F354" s="3234">
        <v>660</v>
      </c>
      <c r="G354" s="3234">
        <v>2050</v>
      </c>
    </row>
    <row r="355" spans="1:7" s="3227" customFormat="1" ht="14">
      <c r="A355" s="3234" t="s">
        <v>307</v>
      </c>
      <c r="B355" s="3234" t="s">
        <v>2969</v>
      </c>
      <c r="C355" s="3234">
        <v>3650</v>
      </c>
      <c r="D355" s="3234">
        <v>3610</v>
      </c>
      <c r="E355" s="3234">
        <v>4200</v>
      </c>
      <c r="F355" s="3234">
        <v>640</v>
      </c>
      <c r="G355" s="3234">
        <v>2160</v>
      </c>
    </row>
    <row r="356" spans="1:7" s="3227" customFormat="1" ht="14">
      <c r="A356" s="3234" t="s">
        <v>307</v>
      </c>
      <c r="B356" s="3234" t="s">
        <v>2976</v>
      </c>
      <c r="C356" s="3234">
        <v>3260</v>
      </c>
      <c r="D356" s="3234">
        <v>3230</v>
      </c>
      <c r="E356" s="3234">
        <v>3740</v>
      </c>
      <c r="F356" s="3234">
        <v>600</v>
      </c>
      <c r="G356" s="3234">
        <v>1930</v>
      </c>
    </row>
    <row r="357" spans="1:7" s="3227" customFormat="1" ht="15" thickBot="1">
      <c r="A357" s="3242" t="s">
        <v>307</v>
      </c>
      <c r="B357" s="3245" t="s">
        <v>3162</v>
      </c>
      <c r="C357" s="3245">
        <v>3690</v>
      </c>
      <c r="D357" s="3245">
        <v>3650</v>
      </c>
      <c r="E357" s="3245">
        <v>4020</v>
      </c>
      <c r="F357" s="3245">
        <v>700</v>
      </c>
      <c r="G357" s="3245">
        <v>2190</v>
      </c>
    </row>
    <row r="358" spans="1:7" s="3227" customFormat="1" ht="14">
      <c r="A358" s="3239" t="s">
        <v>3163</v>
      </c>
      <c r="B358" s="3230" t="s">
        <v>3164</v>
      </c>
      <c r="C358" s="3230">
        <v>2080</v>
      </c>
      <c r="D358" s="3230">
        <v>2040</v>
      </c>
      <c r="E358" s="3230">
        <v>2010</v>
      </c>
      <c r="F358" s="3230">
        <v>530</v>
      </c>
      <c r="G358" s="3246">
        <v>1230</v>
      </c>
    </row>
    <row r="359" spans="1:7" s="3227" customFormat="1" ht="14">
      <c r="A359" s="3234" t="s">
        <v>3163</v>
      </c>
      <c r="B359" s="3234" t="s">
        <v>3165</v>
      </c>
      <c r="C359" s="3234">
        <v>1850</v>
      </c>
      <c r="D359" s="3234">
        <v>1820</v>
      </c>
      <c r="E359" s="3234">
        <v>1780</v>
      </c>
      <c r="F359" s="3234">
        <v>520</v>
      </c>
      <c r="G359" s="3247">
        <v>1100</v>
      </c>
    </row>
    <row r="360" spans="1:7" s="3227" customFormat="1" ht="14">
      <c r="A360" s="3234" t="s">
        <v>3163</v>
      </c>
      <c r="B360" s="3234" t="s">
        <v>3166</v>
      </c>
      <c r="C360" s="3234">
        <v>2020</v>
      </c>
      <c r="D360" s="3234">
        <v>1990</v>
      </c>
      <c r="E360" s="3234">
        <v>1950</v>
      </c>
      <c r="F360" s="3234">
        <v>500</v>
      </c>
      <c r="G360" s="3247">
        <v>1200</v>
      </c>
    </row>
    <row r="361" spans="1:7" s="3227" customFormat="1" ht="14">
      <c r="A361" s="3234" t="s">
        <v>3163</v>
      </c>
      <c r="B361" s="3234" t="s">
        <v>153</v>
      </c>
      <c r="C361" s="3234">
        <v>2260</v>
      </c>
      <c r="D361" s="3234">
        <v>2220</v>
      </c>
      <c r="E361" s="3234">
        <v>2180</v>
      </c>
      <c r="F361" s="3234">
        <v>580</v>
      </c>
      <c r="G361" s="3247">
        <v>1340</v>
      </c>
    </row>
    <row r="362" spans="1:7" s="3227" customFormat="1" ht="14">
      <c r="A362" s="3234" t="s">
        <v>3163</v>
      </c>
      <c r="B362" s="3234" t="s">
        <v>3167</v>
      </c>
      <c r="C362" s="3234">
        <v>2650</v>
      </c>
      <c r="D362" s="3234">
        <v>2610</v>
      </c>
      <c r="E362" s="3234">
        <v>2570</v>
      </c>
      <c r="F362" s="3234">
        <v>630</v>
      </c>
      <c r="G362" s="3247">
        <v>1570</v>
      </c>
    </row>
    <row r="363" spans="1:7" s="3227" customFormat="1" ht="14">
      <c r="A363" s="3234" t="s">
        <v>3163</v>
      </c>
      <c r="B363" s="3234" t="s">
        <v>2888</v>
      </c>
      <c r="C363" s="3234">
        <v>2390</v>
      </c>
      <c r="D363" s="3234">
        <v>2360</v>
      </c>
      <c r="E363" s="3234">
        <v>2320</v>
      </c>
      <c r="F363" s="3234">
        <v>600</v>
      </c>
      <c r="G363" s="3247">
        <v>1420</v>
      </c>
    </row>
    <row r="364" spans="1:7" s="3227" customFormat="1" ht="14">
      <c r="A364" s="3234" t="s">
        <v>3163</v>
      </c>
      <c r="B364" s="3234" t="s">
        <v>3168</v>
      </c>
      <c r="C364" s="3234">
        <v>2050</v>
      </c>
      <c r="D364" s="3234">
        <v>2030</v>
      </c>
      <c r="E364" s="3234">
        <v>1990</v>
      </c>
      <c r="F364" s="3234">
        <v>550</v>
      </c>
      <c r="G364" s="3247">
        <v>1220</v>
      </c>
    </row>
    <row r="365" spans="1:7" s="3227" customFormat="1" ht="14">
      <c r="A365" s="3234" t="s">
        <v>3163</v>
      </c>
      <c r="B365" s="3234" t="s">
        <v>200</v>
      </c>
      <c r="C365" s="3234">
        <v>2140</v>
      </c>
      <c r="D365" s="3234">
        <v>2100</v>
      </c>
      <c r="E365" s="3234">
        <v>2060</v>
      </c>
      <c r="F365" s="3234">
        <v>540</v>
      </c>
      <c r="G365" s="3247">
        <v>1270</v>
      </c>
    </row>
    <row r="366" spans="1:7" s="3227" customFormat="1" ht="14">
      <c r="A366" s="3234" t="s">
        <v>3163</v>
      </c>
      <c r="B366" s="3234" t="s">
        <v>2895</v>
      </c>
      <c r="C366" s="3234">
        <v>2410</v>
      </c>
      <c r="D366" s="3234">
        <v>2370</v>
      </c>
      <c r="E366" s="3234">
        <v>2330</v>
      </c>
      <c r="F366" s="3234">
        <v>570</v>
      </c>
      <c r="G366" s="3247">
        <v>1440</v>
      </c>
    </row>
    <row r="367" spans="1:7" s="3227" customFormat="1" ht="14">
      <c r="A367" s="3234" t="s">
        <v>3163</v>
      </c>
      <c r="B367" s="3234" t="s">
        <v>3169</v>
      </c>
      <c r="C367" s="3234">
        <v>2300</v>
      </c>
      <c r="D367" s="3234">
        <v>2260</v>
      </c>
      <c r="E367" s="3234">
        <v>2220</v>
      </c>
      <c r="F367" s="3234">
        <v>560</v>
      </c>
      <c r="G367" s="3247">
        <v>1370</v>
      </c>
    </row>
    <row r="368" spans="1:7" s="3227" customFormat="1" ht="14">
      <c r="A368" s="3234" t="s">
        <v>3163</v>
      </c>
      <c r="B368" s="3234" t="s">
        <v>3170</v>
      </c>
      <c r="C368" s="3234">
        <v>2430</v>
      </c>
      <c r="D368" s="3234">
        <v>2390</v>
      </c>
      <c r="E368" s="3234">
        <v>2350</v>
      </c>
      <c r="F368" s="3234">
        <v>570</v>
      </c>
      <c r="G368" s="3247">
        <v>1450</v>
      </c>
    </row>
    <row r="369" spans="1:7" s="3227" customFormat="1" ht="14">
      <c r="A369" s="3234" t="s">
        <v>3163</v>
      </c>
      <c r="B369" s="3234" t="s">
        <v>214</v>
      </c>
      <c r="C369" s="3234">
        <v>2320</v>
      </c>
      <c r="D369" s="3234">
        <v>2290</v>
      </c>
      <c r="E369" s="3234">
        <v>2250</v>
      </c>
      <c r="F369" s="3234">
        <v>550</v>
      </c>
      <c r="G369" s="3247">
        <v>1380</v>
      </c>
    </row>
    <row r="370" spans="1:7" s="3227" customFormat="1" ht="14">
      <c r="A370" s="3234" t="s">
        <v>3163</v>
      </c>
      <c r="B370" s="3234" t="s">
        <v>221</v>
      </c>
      <c r="C370" s="3234">
        <v>2190</v>
      </c>
      <c r="D370" s="3234">
        <v>2170</v>
      </c>
      <c r="E370" s="3234">
        <v>2130</v>
      </c>
      <c r="F370" s="3234">
        <v>530</v>
      </c>
      <c r="G370" s="3247">
        <v>1310</v>
      </c>
    </row>
    <row r="371" spans="1:7" s="3227" customFormat="1" ht="14">
      <c r="A371" s="3234" t="s">
        <v>3163</v>
      </c>
      <c r="B371" s="3234" t="s">
        <v>229</v>
      </c>
      <c r="C371" s="3234">
        <v>2460</v>
      </c>
      <c r="D371" s="3234">
        <v>2420</v>
      </c>
      <c r="E371" s="3234">
        <v>2370</v>
      </c>
      <c r="F371" s="3234">
        <v>560</v>
      </c>
      <c r="G371" s="3247">
        <v>1470</v>
      </c>
    </row>
    <row r="372" spans="1:7" s="3227" customFormat="1" ht="14">
      <c r="A372" s="3234" t="s">
        <v>3163</v>
      </c>
      <c r="B372" s="3234" t="s">
        <v>3171</v>
      </c>
      <c r="C372" s="3234">
        <v>2250</v>
      </c>
      <c r="D372" s="3234">
        <v>2210</v>
      </c>
      <c r="E372" s="3234">
        <v>2180</v>
      </c>
      <c r="F372" s="3234">
        <v>550</v>
      </c>
      <c r="G372" s="3247">
        <v>1340</v>
      </c>
    </row>
    <row r="373" spans="1:7" s="3227" customFormat="1" ht="14">
      <c r="A373" s="3234" t="s">
        <v>3163</v>
      </c>
      <c r="B373" s="3234" t="s">
        <v>258</v>
      </c>
      <c r="C373" s="3234">
        <v>2210</v>
      </c>
      <c r="D373" s="3234">
        <v>2190</v>
      </c>
      <c r="E373" s="3234">
        <v>2150</v>
      </c>
      <c r="F373" s="3234">
        <v>530</v>
      </c>
      <c r="G373" s="3247">
        <v>1320</v>
      </c>
    </row>
    <row r="374" spans="1:7" s="3227" customFormat="1" ht="14">
      <c r="A374" s="3234" t="s">
        <v>3163</v>
      </c>
      <c r="B374" s="3234" t="s">
        <v>266</v>
      </c>
      <c r="C374" s="3234">
        <v>2320</v>
      </c>
      <c r="D374" s="3234">
        <v>2280</v>
      </c>
      <c r="E374" s="3234">
        <v>2230</v>
      </c>
      <c r="F374" s="3234">
        <v>580</v>
      </c>
      <c r="G374" s="3247">
        <v>1380</v>
      </c>
    </row>
    <row r="375" spans="1:7" s="3227" customFormat="1" ht="14">
      <c r="A375" s="3234" t="s">
        <v>3163</v>
      </c>
      <c r="B375" s="3234" t="s">
        <v>3172</v>
      </c>
      <c r="C375" s="3234">
        <v>2090</v>
      </c>
      <c r="D375" s="3234">
        <v>2050</v>
      </c>
      <c r="E375" s="3234">
        <v>2020</v>
      </c>
      <c r="F375" s="3234">
        <v>520</v>
      </c>
      <c r="G375" s="3247">
        <v>1240</v>
      </c>
    </row>
    <row r="376" spans="1:7" s="3227" customFormat="1" ht="14">
      <c r="A376" s="3234" t="s">
        <v>3163</v>
      </c>
      <c r="B376" s="3234" t="s">
        <v>277</v>
      </c>
      <c r="C376" s="3234">
        <v>2010</v>
      </c>
      <c r="D376" s="3234">
        <v>1980</v>
      </c>
      <c r="E376" s="3234">
        <v>1940</v>
      </c>
      <c r="F376" s="3234">
        <v>540</v>
      </c>
      <c r="G376" s="3247">
        <v>1190</v>
      </c>
    </row>
    <row r="377" spans="1:7" s="3227" customFormat="1" ht="15" thickBot="1">
      <c r="A377" s="3242" t="s">
        <v>3163</v>
      </c>
      <c r="B377" s="3245" t="s">
        <v>2925</v>
      </c>
      <c r="C377" s="3245">
        <v>1930</v>
      </c>
      <c r="D377" s="3245">
        <v>1890</v>
      </c>
      <c r="E377" s="3245">
        <v>1860</v>
      </c>
      <c r="F377" s="3245">
        <v>530</v>
      </c>
      <c r="G377" s="3250">
        <v>1150</v>
      </c>
    </row>
    <row r="378" spans="1:7" s="3227" customFormat="1" ht="14">
      <c r="A378" s="3251" t="s">
        <v>3173</v>
      </c>
      <c r="B378" s="3230" t="s">
        <v>3174</v>
      </c>
      <c r="C378" s="3230">
        <v>1520</v>
      </c>
      <c r="D378" s="3230">
        <v>1490</v>
      </c>
      <c r="E378" s="3230">
        <v>1460</v>
      </c>
      <c r="F378" s="3230">
        <v>460</v>
      </c>
      <c r="G378" s="3246">
        <v>940</v>
      </c>
    </row>
    <row r="379" spans="1:7" s="3227" customFormat="1" ht="14">
      <c r="A379" s="3252" t="s">
        <v>3173</v>
      </c>
      <c r="B379" s="3234" t="s">
        <v>3175</v>
      </c>
      <c r="C379" s="3234">
        <v>1500</v>
      </c>
      <c r="D379" s="3234">
        <v>1470</v>
      </c>
      <c r="E379" s="3234">
        <v>1430</v>
      </c>
      <c r="F379" s="3234">
        <v>460</v>
      </c>
      <c r="G379" s="3247">
        <v>920</v>
      </c>
    </row>
    <row r="380" spans="1:7" s="3227" customFormat="1" ht="14">
      <c r="A380" s="3252" t="s">
        <v>3173</v>
      </c>
      <c r="B380" s="3234" t="s">
        <v>3176</v>
      </c>
      <c r="C380" s="3234">
        <v>1620</v>
      </c>
      <c r="D380" s="3234">
        <v>1590</v>
      </c>
      <c r="E380" s="3234">
        <v>1560</v>
      </c>
      <c r="F380" s="3234">
        <v>480</v>
      </c>
      <c r="G380" s="3247">
        <v>1000</v>
      </c>
    </row>
    <row r="381" spans="1:7" s="3227" customFormat="1" ht="14">
      <c r="A381" s="3252" t="s">
        <v>3173</v>
      </c>
      <c r="B381" s="3234" t="s">
        <v>3177</v>
      </c>
      <c r="C381" s="3234">
        <v>1460</v>
      </c>
      <c r="D381" s="3234">
        <v>1430</v>
      </c>
      <c r="E381" s="3234">
        <v>1390</v>
      </c>
      <c r="F381" s="3234">
        <v>450</v>
      </c>
      <c r="G381" s="3247">
        <v>900</v>
      </c>
    </row>
    <row r="382" spans="1:7" s="3227" customFormat="1" ht="14">
      <c r="A382" s="3252" t="s">
        <v>3173</v>
      </c>
      <c r="B382" s="3234" t="s">
        <v>3178</v>
      </c>
      <c r="C382" s="3234">
        <v>1310</v>
      </c>
      <c r="D382" s="3234">
        <v>1280</v>
      </c>
      <c r="E382" s="3234">
        <v>1250</v>
      </c>
      <c r="F382" s="3234">
        <v>440</v>
      </c>
      <c r="G382" s="3247">
        <v>800</v>
      </c>
    </row>
    <row r="383" spans="1:7" s="3227" customFormat="1" ht="14">
      <c r="A383" s="3252" t="s">
        <v>3173</v>
      </c>
      <c r="B383" s="3234" t="s">
        <v>3179</v>
      </c>
      <c r="C383" s="3234">
        <v>1260</v>
      </c>
      <c r="D383" s="3234">
        <v>1230</v>
      </c>
      <c r="E383" s="3234">
        <v>1200</v>
      </c>
      <c r="F383" s="3234">
        <v>420</v>
      </c>
      <c r="G383" s="3247">
        <v>770</v>
      </c>
    </row>
    <row r="384" spans="1:7" s="3227" customFormat="1" ht="15" thickBot="1">
      <c r="A384" s="3253" t="s">
        <v>3173</v>
      </c>
      <c r="B384" s="3241" t="s">
        <v>3180</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baseColWidth="10" defaultColWidth="8.83203125" defaultRowHeight="14"/>
  <cols>
    <col min="1" max="1" width="12.6640625" style="3290" customWidth="1"/>
    <col min="2" max="2" width="20" style="3290" customWidth="1"/>
    <col min="3" max="7" width="8.83203125" style="3254"/>
    <col min="8" max="16384" width="8.83203125" style="3255"/>
  </cols>
  <sheetData>
    <row r="1" spans="1:7">
      <c r="A1" s="3779" t="s">
        <v>3181</v>
      </c>
      <c r="B1" s="3779"/>
    </row>
    <row r="2" spans="1:7" ht="15" thickBot="1">
      <c r="A2" s="3256"/>
      <c r="B2" s="3256"/>
    </row>
    <row r="3" spans="1:7" ht="15" thickBot="1">
      <c r="A3" s="3256"/>
      <c r="B3" s="3256"/>
      <c r="C3" s="3257" t="s">
        <v>2805</v>
      </c>
      <c r="D3" s="3257" t="s">
        <v>2867</v>
      </c>
      <c r="E3" s="3257" t="s">
        <v>2807</v>
      </c>
      <c r="F3" s="3257" t="s">
        <v>2868</v>
      </c>
      <c r="G3" s="3257" t="s">
        <v>2625</v>
      </c>
    </row>
    <row r="4" spans="1:7" ht="16" thickBot="1">
      <c r="A4" s="3258" t="s">
        <v>2866</v>
      </c>
      <c r="B4" s="3259" t="s">
        <v>2872</v>
      </c>
      <c r="C4" s="3257"/>
      <c r="D4" s="3257"/>
      <c r="E4" s="3257"/>
      <c r="F4" s="3257"/>
      <c r="G4" s="3257"/>
    </row>
    <row r="5" spans="1:7" ht="15">
      <c r="A5" s="3260" t="s">
        <v>2840</v>
      </c>
      <c r="B5" s="3261" t="s">
        <v>2854</v>
      </c>
      <c r="C5" s="3262">
        <v>9.8000000000000004E-2</v>
      </c>
      <c r="D5" s="3262">
        <v>8.6999999999999994E-2</v>
      </c>
      <c r="E5" s="3262">
        <v>8.6999999999999994E-2</v>
      </c>
      <c r="F5" s="3262">
        <v>9.8000000000000004E-2</v>
      </c>
      <c r="G5" s="3263">
        <v>9.5000000000000001E-2</v>
      </c>
    </row>
    <row r="6" spans="1:7" ht="15">
      <c r="A6" s="3264" t="s">
        <v>144</v>
      </c>
      <c r="B6" s="3265" t="s">
        <v>2869</v>
      </c>
      <c r="C6" s="3266">
        <v>9.8000000000000004E-2</v>
      </c>
      <c r="D6" s="3266">
        <v>9.8000000000000004E-2</v>
      </c>
      <c r="E6" s="3266">
        <v>9.8000000000000004E-2</v>
      </c>
      <c r="F6" s="3266">
        <v>0.1</v>
      </c>
      <c r="G6" s="3267">
        <v>9.9000000000000005E-2</v>
      </c>
    </row>
    <row r="7" spans="1:7" ht="15">
      <c r="A7" s="3264" t="s">
        <v>144</v>
      </c>
      <c r="B7" s="3265" t="s">
        <v>137</v>
      </c>
      <c r="C7" s="3266">
        <v>9.7000000000000003E-2</v>
      </c>
      <c r="D7" s="3266">
        <v>9.7000000000000003E-2</v>
      </c>
      <c r="E7" s="3266">
        <v>9.6000000000000002E-2</v>
      </c>
      <c r="F7" s="3266">
        <v>0.1</v>
      </c>
      <c r="G7" s="3267">
        <v>9.8000000000000004E-2</v>
      </c>
    </row>
    <row r="8" spans="1:7" ht="15">
      <c r="A8" s="3264" t="s">
        <v>144</v>
      </c>
      <c r="B8" s="3265" t="s">
        <v>145</v>
      </c>
      <c r="C8" s="3266">
        <v>8.1000000000000003E-2</v>
      </c>
      <c r="D8" s="3266">
        <v>8.2000000000000003E-2</v>
      </c>
      <c r="E8" s="3266">
        <v>7.0000000000000007E-2</v>
      </c>
      <c r="F8" s="3266">
        <v>9.6000000000000002E-2</v>
      </c>
      <c r="G8" s="3267">
        <v>8.8999999999999996E-2</v>
      </c>
    </row>
    <row r="9" spans="1:7" ht="16" thickBot="1">
      <c r="A9" s="3268" t="s">
        <v>144</v>
      </c>
      <c r="B9" s="3269" t="s">
        <v>154</v>
      </c>
      <c r="C9" s="3270">
        <v>0.1</v>
      </c>
      <c r="D9" s="3270">
        <v>0.1</v>
      </c>
      <c r="E9" s="3270">
        <v>0.1</v>
      </c>
      <c r="F9" s="3271"/>
      <c r="G9" s="3272">
        <v>0.1</v>
      </c>
    </row>
    <row r="10" spans="1:7" ht="15">
      <c r="A10" s="3260" t="s">
        <v>184</v>
      </c>
      <c r="B10" s="3261" t="s">
        <v>2855</v>
      </c>
      <c r="C10" s="3262">
        <v>6.7000000000000004E-2</v>
      </c>
      <c r="D10" s="3262">
        <v>7.9000000000000001E-2</v>
      </c>
      <c r="E10" s="3262">
        <v>7.9000000000000001E-2</v>
      </c>
      <c r="F10" s="3262">
        <v>0.1</v>
      </c>
      <c r="G10" s="3263">
        <v>9.0999999999999998E-2</v>
      </c>
    </row>
    <row r="11" spans="1:7" ht="15">
      <c r="A11" s="3264" t="s">
        <v>184</v>
      </c>
      <c r="B11" s="3265" t="s">
        <v>128</v>
      </c>
      <c r="C11" s="3266">
        <v>0.05</v>
      </c>
      <c r="D11" s="3266">
        <v>5.2999999999999999E-2</v>
      </c>
      <c r="E11" s="3266">
        <v>6.3E-2</v>
      </c>
      <c r="F11" s="3266">
        <v>0.1</v>
      </c>
      <c r="G11" s="3267">
        <v>7.1999999999999995E-2</v>
      </c>
    </row>
    <row r="12" spans="1:7" ht="15">
      <c r="A12" s="3264" t="s">
        <v>184</v>
      </c>
      <c r="B12" s="3265" t="s">
        <v>111</v>
      </c>
      <c r="C12" s="3266">
        <v>5.2999999999999999E-2</v>
      </c>
      <c r="D12" s="3266">
        <v>0.09</v>
      </c>
      <c r="E12" s="3266">
        <v>7.1999999999999995E-2</v>
      </c>
      <c r="F12" s="3266">
        <v>0.1</v>
      </c>
      <c r="G12" s="3267">
        <v>9.7000000000000003E-2</v>
      </c>
    </row>
    <row r="13" spans="1:7" ht="15">
      <c r="A13" s="3264" t="s">
        <v>184</v>
      </c>
      <c r="B13" s="3265" t="s">
        <v>146</v>
      </c>
      <c r="C13" s="3266">
        <v>9.7000000000000003E-2</v>
      </c>
      <c r="D13" s="3266">
        <v>9.1999999999999998E-2</v>
      </c>
      <c r="E13" s="3266">
        <v>9.5000000000000001E-2</v>
      </c>
      <c r="F13" s="3266">
        <v>0.1</v>
      </c>
      <c r="G13" s="3267">
        <v>9.7000000000000003E-2</v>
      </c>
    </row>
    <row r="14" spans="1:7" ht="15">
      <c r="A14" s="3264" t="s">
        <v>184</v>
      </c>
      <c r="B14" s="3265" t="s">
        <v>155</v>
      </c>
      <c r="C14" s="3266">
        <v>9.7000000000000003E-2</v>
      </c>
      <c r="D14" s="3266">
        <v>9.7000000000000003E-2</v>
      </c>
      <c r="E14" s="3266">
        <v>9.7000000000000003E-2</v>
      </c>
      <c r="F14" s="3266">
        <v>0.1</v>
      </c>
      <c r="G14" s="3267">
        <v>9.8000000000000004E-2</v>
      </c>
    </row>
    <row r="15" spans="1:7" ht="15">
      <c r="A15" s="3264" t="s">
        <v>184</v>
      </c>
      <c r="B15" s="3265" t="s">
        <v>162</v>
      </c>
      <c r="C15" s="3266">
        <v>9.8000000000000004E-2</v>
      </c>
      <c r="D15" s="3266">
        <v>9.0999999999999998E-2</v>
      </c>
      <c r="E15" s="3266">
        <v>0.06</v>
      </c>
      <c r="F15" s="3266">
        <v>0.1</v>
      </c>
      <c r="G15" s="3267">
        <v>9.7000000000000003E-2</v>
      </c>
    </row>
    <row r="16" spans="1:7" ht="15">
      <c r="A16" s="3264" t="s">
        <v>184</v>
      </c>
      <c r="B16" s="3265" t="s">
        <v>168</v>
      </c>
      <c r="C16" s="3266">
        <v>9.8000000000000004E-2</v>
      </c>
      <c r="D16" s="3266">
        <v>9.7000000000000003E-2</v>
      </c>
      <c r="E16" s="3266">
        <v>9.5000000000000001E-2</v>
      </c>
      <c r="F16" s="3266">
        <v>0.1</v>
      </c>
      <c r="G16" s="3267">
        <v>9.9000000000000005E-2</v>
      </c>
    </row>
    <row r="17" spans="1:7" ht="15">
      <c r="A17" s="3264" t="s">
        <v>184</v>
      </c>
      <c r="B17" s="3265" t="s">
        <v>175</v>
      </c>
      <c r="C17" s="3266">
        <v>8.8999999999999996E-2</v>
      </c>
      <c r="D17" s="3266">
        <v>9.1999999999999998E-2</v>
      </c>
      <c r="E17" s="3266">
        <v>6.0999999999999999E-2</v>
      </c>
      <c r="F17" s="3266">
        <v>0.1</v>
      </c>
      <c r="G17" s="3267">
        <v>9.7000000000000003E-2</v>
      </c>
    </row>
    <row r="18" spans="1:7" ht="15">
      <c r="A18" s="3264" t="s">
        <v>184</v>
      </c>
      <c r="B18" s="3265" t="s">
        <v>185</v>
      </c>
      <c r="C18" s="3266">
        <v>9.8000000000000004E-2</v>
      </c>
      <c r="D18" s="3266">
        <v>9.8000000000000004E-2</v>
      </c>
      <c r="E18" s="3266">
        <v>9.8000000000000004E-2</v>
      </c>
      <c r="F18" s="3273"/>
      <c r="G18" s="3267">
        <v>9.9000000000000005E-2</v>
      </c>
    </row>
    <row r="19" spans="1:7" ht="15">
      <c r="A19" s="3264" t="s">
        <v>184</v>
      </c>
      <c r="B19" s="3265" t="s">
        <v>194</v>
      </c>
      <c r="C19" s="3266">
        <v>9.9000000000000005E-2</v>
      </c>
      <c r="D19" s="3266">
        <v>7.3999999999999996E-2</v>
      </c>
      <c r="E19" s="3266">
        <v>8.1000000000000003E-2</v>
      </c>
      <c r="F19" s="3273"/>
      <c r="G19" s="3267">
        <v>9.2999999999999999E-2</v>
      </c>
    </row>
    <row r="20" spans="1:7" ht="15">
      <c r="A20" s="3264" t="s">
        <v>184</v>
      </c>
      <c r="B20" s="3265" t="s">
        <v>201</v>
      </c>
      <c r="C20" s="3266">
        <v>0.1</v>
      </c>
      <c r="D20" s="3266">
        <v>8.8999999999999996E-2</v>
      </c>
      <c r="E20" s="3266">
        <v>8.8999999999999996E-2</v>
      </c>
      <c r="F20" s="3273"/>
      <c r="G20" s="3267">
        <v>9.5000000000000001E-2</v>
      </c>
    </row>
    <row r="21" spans="1:7" ht="15">
      <c r="A21" s="3264" t="s">
        <v>184</v>
      </c>
      <c r="B21" s="3265" t="s">
        <v>208</v>
      </c>
      <c r="C21" s="3266">
        <v>0.1</v>
      </c>
      <c r="D21" s="3266">
        <v>9.0999999999999998E-2</v>
      </c>
      <c r="E21" s="3266">
        <v>8.2000000000000003E-2</v>
      </c>
      <c r="F21" s="3273"/>
      <c r="G21" s="3267">
        <v>9.7000000000000003E-2</v>
      </c>
    </row>
    <row r="22" spans="1:7" ht="15">
      <c r="A22" s="3264" t="s">
        <v>184</v>
      </c>
      <c r="B22" s="3265" t="s">
        <v>2905</v>
      </c>
      <c r="C22" s="3266">
        <v>9.5000000000000001E-2</v>
      </c>
      <c r="D22" s="3266">
        <v>9.9000000000000005E-2</v>
      </c>
      <c r="E22" s="3266">
        <v>9.8000000000000004E-2</v>
      </c>
      <c r="F22" s="3273"/>
      <c r="G22" s="3267">
        <v>0.1</v>
      </c>
    </row>
    <row r="23" spans="1:7" ht="15">
      <c r="A23" s="3264" t="s">
        <v>184</v>
      </c>
      <c r="B23" s="3265" t="s">
        <v>222</v>
      </c>
      <c r="C23" s="3266">
        <v>9.9000000000000005E-2</v>
      </c>
      <c r="D23" s="3266">
        <v>0.1</v>
      </c>
      <c r="E23" s="3266">
        <v>0.1</v>
      </c>
      <c r="F23" s="3273"/>
      <c r="G23" s="3267">
        <v>0.1</v>
      </c>
    </row>
    <row r="24" spans="1:7" ht="15">
      <c r="A24" s="3264" t="s">
        <v>184</v>
      </c>
      <c r="B24" s="3265" t="s">
        <v>230</v>
      </c>
      <c r="C24" s="3266">
        <v>9.5000000000000001E-2</v>
      </c>
      <c r="D24" s="3266">
        <v>0.1</v>
      </c>
      <c r="E24" s="3266">
        <v>9.8000000000000004E-2</v>
      </c>
      <c r="F24" s="3273"/>
      <c r="G24" s="3267">
        <v>0.1</v>
      </c>
    </row>
    <row r="25" spans="1:7" ht="15">
      <c r="A25" s="3264" t="s">
        <v>184</v>
      </c>
      <c r="B25" s="3265" t="s">
        <v>235</v>
      </c>
      <c r="C25" s="3266">
        <v>0.05</v>
      </c>
      <c r="D25" s="3266">
        <v>9.6000000000000002E-2</v>
      </c>
      <c r="E25" s="3266">
        <v>9.6000000000000002E-2</v>
      </c>
      <c r="F25" s="3273"/>
      <c r="G25" s="3267">
        <v>9.6000000000000002E-2</v>
      </c>
    </row>
    <row r="26" spans="1:7" ht="15">
      <c r="A26" s="3264" t="s">
        <v>184</v>
      </c>
      <c r="B26" s="3265" t="s">
        <v>244</v>
      </c>
      <c r="C26" s="3266">
        <v>6.3E-2</v>
      </c>
      <c r="D26" s="3266">
        <v>9.9000000000000005E-2</v>
      </c>
      <c r="E26" s="3266">
        <v>9.8000000000000004E-2</v>
      </c>
      <c r="F26" s="3273"/>
      <c r="G26" s="3267">
        <v>0.1</v>
      </c>
    </row>
    <row r="27" spans="1:7" ht="15">
      <c r="A27" s="3264" t="s">
        <v>184</v>
      </c>
      <c r="B27" s="3265" t="s">
        <v>251</v>
      </c>
      <c r="C27" s="3266">
        <v>5.1999999999999998E-2</v>
      </c>
      <c r="D27" s="3266">
        <v>9.5000000000000001E-2</v>
      </c>
      <c r="E27" s="3266">
        <v>6.4000000000000001E-2</v>
      </c>
      <c r="F27" s="3273"/>
      <c r="G27" s="3267">
        <v>9.7000000000000003E-2</v>
      </c>
    </row>
    <row r="28" spans="1:7" ht="15">
      <c r="A28" s="3264" t="s">
        <v>184</v>
      </c>
      <c r="B28" s="3265" t="s">
        <v>259</v>
      </c>
      <c r="C28" s="3273"/>
      <c r="D28" s="3266">
        <v>6.3E-2</v>
      </c>
      <c r="E28" s="3266">
        <v>5.1999999999999998E-2</v>
      </c>
      <c r="F28" s="3273"/>
      <c r="G28" s="3267">
        <v>6.3E-2</v>
      </c>
    </row>
    <row r="29" spans="1:7" ht="16" thickBot="1">
      <c r="A29" s="3268" t="s">
        <v>184</v>
      </c>
      <c r="B29" s="3269" t="s">
        <v>2923</v>
      </c>
      <c r="C29" s="3274"/>
      <c r="D29" s="3270">
        <v>5.1999999999999998E-2</v>
      </c>
      <c r="E29" s="3270">
        <v>7.0000000000000007E-2</v>
      </c>
      <c r="F29" s="3274"/>
      <c r="G29" s="3272">
        <v>7.0999999999999994E-2</v>
      </c>
    </row>
    <row r="30" spans="1:7">
      <c r="A30" s="3275" t="s">
        <v>296</v>
      </c>
      <c r="B30" s="3261" t="s">
        <v>2856</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2842</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2926</v>
      </c>
      <c r="C50" s="3266">
        <v>9.8000000000000004E-2</v>
      </c>
      <c r="D50" s="3266">
        <v>7.2999999999999995E-2</v>
      </c>
      <c r="E50" s="3266">
        <v>7.0999999999999994E-2</v>
      </c>
      <c r="F50" s="3277"/>
      <c r="G50" s="3267">
        <v>7.2999999999999995E-2</v>
      </c>
    </row>
    <row r="51" spans="1:7">
      <c r="A51" s="3276" t="s">
        <v>296</v>
      </c>
      <c r="B51" s="3265" t="s">
        <v>2928</v>
      </c>
      <c r="C51" s="3266">
        <v>9.9000000000000005E-2</v>
      </c>
      <c r="D51" s="3266">
        <v>8.5000000000000006E-2</v>
      </c>
      <c r="E51" s="3266">
        <v>6.3E-2</v>
      </c>
      <c r="F51" s="3277"/>
      <c r="G51" s="3267">
        <v>9.6000000000000002E-2</v>
      </c>
    </row>
    <row r="52" spans="1:7">
      <c r="A52" s="3276" t="s">
        <v>296</v>
      </c>
      <c r="B52" s="3265" t="s">
        <v>2932</v>
      </c>
      <c r="C52" s="3266">
        <v>7.3999999999999996E-2</v>
      </c>
      <c r="D52" s="3266">
        <v>9.6000000000000002E-2</v>
      </c>
      <c r="E52" s="3266">
        <v>0.05</v>
      </c>
      <c r="F52" s="3277"/>
      <c r="G52" s="3267">
        <v>9.8000000000000004E-2</v>
      </c>
    </row>
    <row r="53" spans="1:7">
      <c r="A53" s="3276" t="s">
        <v>296</v>
      </c>
      <c r="B53" s="3265" t="s">
        <v>2937</v>
      </c>
      <c r="C53" s="3266">
        <v>8.5999999999999993E-2</v>
      </c>
      <c r="D53" s="3277"/>
      <c r="E53" s="3266">
        <v>9.1999999999999998E-2</v>
      </c>
      <c r="F53" s="3277"/>
      <c r="G53" s="3278"/>
    </row>
    <row r="54" spans="1:7" ht="15" thickBot="1">
      <c r="A54" s="3279" t="s">
        <v>296</v>
      </c>
      <c r="B54" s="3269" t="s">
        <v>2940</v>
      </c>
      <c r="C54" s="3270">
        <v>9.6000000000000002E-2</v>
      </c>
      <c r="D54" s="3271"/>
      <c r="E54" s="3280"/>
      <c r="F54" s="3271"/>
      <c r="G54" s="3281"/>
    </row>
    <row r="55" spans="1:7">
      <c r="A55" s="3275" t="s">
        <v>110</v>
      </c>
      <c r="B55" s="3261" t="s">
        <v>2857</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2938</v>
      </c>
      <c r="C78" s="3266">
        <v>0.1</v>
      </c>
      <c r="D78" s="3266">
        <v>8.5000000000000006E-2</v>
      </c>
      <c r="E78" s="3266">
        <v>9.6000000000000002E-2</v>
      </c>
      <c r="F78" s="3277"/>
      <c r="G78" s="3267">
        <v>9.6000000000000002E-2</v>
      </c>
    </row>
    <row r="79" spans="1:7">
      <c r="A79" s="3276" t="s">
        <v>110</v>
      </c>
      <c r="B79" s="3265" t="s">
        <v>2941</v>
      </c>
      <c r="C79" s="3266">
        <v>0.05</v>
      </c>
      <c r="D79" s="3266">
        <v>9.6000000000000002E-2</v>
      </c>
      <c r="E79" s="3266">
        <v>9.5000000000000001E-2</v>
      </c>
      <c r="F79" s="3277"/>
      <c r="G79" s="3267">
        <v>9.8000000000000004E-2</v>
      </c>
    </row>
    <row r="80" spans="1:7">
      <c r="A80" s="3276" t="s">
        <v>110</v>
      </c>
      <c r="B80" s="3265" t="s">
        <v>2945</v>
      </c>
      <c r="C80" s="3266">
        <v>8.5999999999999993E-2</v>
      </c>
      <c r="D80" s="3282"/>
      <c r="E80" s="3266">
        <v>0.1</v>
      </c>
      <c r="F80" s="3277"/>
      <c r="G80" s="3278"/>
    </row>
    <row r="81" spans="1:7">
      <c r="A81" s="3276" t="s">
        <v>110</v>
      </c>
      <c r="B81" s="3265" t="s">
        <v>2950</v>
      </c>
      <c r="C81" s="3266">
        <v>9.6000000000000002E-2</v>
      </c>
      <c r="D81" s="3277"/>
      <c r="E81" s="3266">
        <v>9.8000000000000004E-2</v>
      </c>
      <c r="F81" s="3277"/>
      <c r="G81" s="3278"/>
    </row>
    <row r="82" spans="1:7">
      <c r="A82" s="3276" t="s">
        <v>110</v>
      </c>
      <c r="B82" s="3265" t="s">
        <v>2957</v>
      </c>
      <c r="C82" s="3282"/>
      <c r="D82" s="3277"/>
      <c r="E82" s="3266">
        <v>7.6999999999999999E-2</v>
      </c>
      <c r="F82" s="3277"/>
      <c r="G82" s="3278"/>
    </row>
    <row r="83" spans="1:7">
      <c r="A83" s="3276" t="s">
        <v>110</v>
      </c>
      <c r="B83" s="3265" t="s">
        <v>2963</v>
      </c>
      <c r="C83" s="3277"/>
      <c r="D83" s="3277"/>
      <c r="E83" s="3277"/>
      <c r="F83" s="3266">
        <v>0.1</v>
      </c>
      <c r="G83" s="3283"/>
    </row>
    <row r="84" spans="1:7">
      <c r="A84" s="3276" t="s">
        <v>110</v>
      </c>
      <c r="B84" s="3265" t="s">
        <v>2970</v>
      </c>
      <c r="C84" s="3277"/>
      <c r="D84" s="3277"/>
      <c r="E84" s="3277"/>
      <c r="F84" s="3266">
        <v>0.1</v>
      </c>
      <c r="G84" s="3283"/>
    </row>
    <row r="85" spans="1:7">
      <c r="A85" s="3276" t="s">
        <v>110</v>
      </c>
      <c r="B85" s="3265" t="s">
        <v>2977</v>
      </c>
      <c r="C85" s="3277"/>
      <c r="D85" s="3277"/>
      <c r="E85" s="3277"/>
      <c r="F85" s="3266">
        <v>0.1</v>
      </c>
      <c r="G85" s="3283"/>
    </row>
    <row r="86" spans="1:7" ht="15" thickBot="1">
      <c r="A86" s="3279" t="s">
        <v>110</v>
      </c>
      <c r="B86" s="3269" t="s">
        <v>2982</v>
      </c>
      <c r="C86" s="3270">
        <v>9.8000000000000004E-2</v>
      </c>
      <c r="D86" s="3270">
        <v>9.8000000000000004E-2</v>
      </c>
      <c r="E86" s="3270">
        <v>9.6000000000000002E-2</v>
      </c>
      <c r="F86" s="3280"/>
      <c r="G86" s="3272">
        <v>0.1</v>
      </c>
    </row>
    <row r="87" spans="1:7">
      <c r="A87" s="3275" t="s">
        <v>303</v>
      </c>
      <c r="B87" s="3261" t="s">
        <v>2858</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2951</v>
      </c>
      <c r="C113" s="3266">
        <v>0.1</v>
      </c>
      <c r="D113" s="3266">
        <v>0.1</v>
      </c>
      <c r="E113" s="3277"/>
      <c r="F113" s="3277"/>
      <c r="G113" s="3267">
        <v>0.1</v>
      </c>
    </row>
    <row r="114" spans="1:7">
      <c r="A114" s="3276" t="s">
        <v>303</v>
      </c>
      <c r="B114" s="3265" t="s">
        <v>2958</v>
      </c>
      <c r="C114" s="3266">
        <v>9.7000000000000003E-2</v>
      </c>
      <c r="D114" s="3266">
        <v>9.7000000000000003E-2</v>
      </c>
      <c r="E114" s="3277"/>
      <c r="F114" s="3277"/>
      <c r="G114" s="3267">
        <v>9.9000000000000005E-2</v>
      </c>
    </row>
    <row r="115" spans="1:7">
      <c r="A115" s="3276" t="s">
        <v>303</v>
      </c>
      <c r="B115" s="3265" t="s">
        <v>2964</v>
      </c>
      <c r="C115" s="3266">
        <v>0.1</v>
      </c>
      <c r="D115" s="3266">
        <v>0.1</v>
      </c>
      <c r="E115" s="3277"/>
      <c r="F115" s="3277"/>
      <c r="G115" s="3267">
        <v>0.1</v>
      </c>
    </row>
    <row r="116" spans="1:7">
      <c r="A116" s="3276" t="s">
        <v>303</v>
      </c>
      <c r="B116" s="3265" t="s">
        <v>2971</v>
      </c>
      <c r="C116" s="3266">
        <v>0.1</v>
      </c>
      <c r="D116" s="3266">
        <v>0.1</v>
      </c>
      <c r="E116" s="3277"/>
      <c r="F116" s="3277"/>
      <c r="G116" s="3267">
        <v>0.1</v>
      </c>
    </row>
    <row r="117" spans="1:7">
      <c r="A117" s="3276" t="s">
        <v>303</v>
      </c>
      <c r="B117" s="3265" t="s">
        <v>2978</v>
      </c>
      <c r="C117" s="3266">
        <v>9.7000000000000003E-2</v>
      </c>
      <c r="D117" s="3266">
        <v>9.7000000000000003E-2</v>
      </c>
      <c r="E117" s="3277"/>
      <c r="F117" s="3277"/>
      <c r="G117" s="3267">
        <v>9.7000000000000003E-2</v>
      </c>
    </row>
    <row r="118" spans="1:7">
      <c r="A118" s="3276" t="s">
        <v>303</v>
      </c>
      <c r="B118" s="3265" t="s">
        <v>2983</v>
      </c>
      <c r="C118" s="3266">
        <v>0.1</v>
      </c>
      <c r="D118" s="3266">
        <v>0.1</v>
      </c>
      <c r="E118" s="3277"/>
      <c r="F118" s="3277"/>
      <c r="G118" s="3267">
        <v>0.1</v>
      </c>
    </row>
    <row r="119" spans="1:7">
      <c r="A119" s="3276" t="s">
        <v>303</v>
      </c>
      <c r="B119" s="3265" t="s">
        <v>2987</v>
      </c>
      <c r="C119" s="3266">
        <v>5.0999999999999997E-2</v>
      </c>
      <c r="D119" s="3266">
        <v>5.1999999999999998E-2</v>
      </c>
      <c r="E119" s="3277"/>
      <c r="F119" s="3282"/>
      <c r="G119" s="3267">
        <v>0.06</v>
      </c>
    </row>
    <row r="120" spans="1:7">
      <c r="A120" s="3276" t="s">
        <v>303</v>
      </c>
      <c r="B120" s="3265" t="s">
        <v>2991</v>
      </c>
      <c r="C120" s="3277"/>
      <c r="D120" s="3277"/>
      <c r="E120" s="3277"/>
      <c r="F120" s="3266">
        <v>0.1</v>
      </c>
      <c r="G120" s="3283"/>
    </row>
    <row r="121" spans="1:7">
      <c r="A121" s="3276" t="s">
        <v>303</v>
      </c>
      <c r="B121" s="3265" t="s">
        <v>2996</v>
      </c>
      <c r="C121" s="3277"/>
      <c r="D121" s="3277"/>
      <c r="E121" s="3277"/>
      <c r="F121" s="3266">
        <v>0.1</v>
      </c>
      <c r="G121" s="3283"/>
    </row>
    <row r="122" spans="1:7">
      <c r="A122" s="3276" t="s">
        <v>303</v>
      </c>
      <c r="B122" s="3265" t="s">
        <v>3001</v>
      </c>
      <c r="C122" s="3266">
        <v>0.1</v>
      </c>
      <c r="D122" s="3266">
        <v>0.1</v>
      </c>
      <c r="E122" s="3266">
        <v>9.8000000000000004E-2</v>
      </c>
      <c r="F122" s="3266">
        <v>0.1</v>
      </c>
      <c r="G122" s="3267">
        <v>0.1</v>
      </c>
    </row>
    <row r="123" spans="1:7">
      <c r="A123" s="3276" t="s">
        <v>303</v>
      </c>
      <c r="B123" s="3265" t="s">
        <v>3006</v>
      </c>
      <c r="C123" s="3266">
        <v>0.1</v>
      </c>
      <c r="D123" s="3266">
        <v>0.1</v>
      </c>
      <c r="E123" s="3266">
        <v>9.8000000000000004E-2</v>
      </c>
      <c r="F123" s="3266">
        <v>0.1</v>
      </c>
      <c r="G123" s="3267">
        <v>0.1</v>
      </c>
    </row>
    <row r="124" spans="1:7">
      <c r="A124" s="3276" t="s">
        <v>303</v>
      </c>
      <c r="B124" s="3265" t="s">
        <v>3011</v>
      </c>
      <c r="C124" s="3266">
        <v>0.1</v>
      </c>
      <c r="D124" s="3266">
        <v>0.1</v>
      </c>
      <c r="E124" s="3266">
        <v>9.8000000000000004E-2</v>
      </c>
      <c r="F124" s="3282"/>
      <c r="G124" s="3267">
        <v>0.1</v>
      </c>
    </row>
    <row r="125" spans="1:7">
      <c r="A125" s="3276" t="s">
        <v>303</v>
      </c>
      <c r="B125" s="3265" t="s">
        <v>3016</v>
      </c>
      <c r="C125" s="3266">
        <v>9.8000000000000004E-2</v>
      </c>
      <c r="D125" s="3266">
        <v>9.8000000000000004E-2</v>
      </c>
      <c r="E125" s="3266">
        <v>9.6000000000000002E-2</v>
      </c>
      <c r="F125" s="3282"/>
      <c r="G125" s="3267">
        <v>0.1</v>
      </c>
    </row>
    <row r="126" spans="1:7" ht="15" thickBot="1">
      <c r="A126" s="3279" t="s">
        <v>303</v>
      </c>
      <c r="B126" s="3269" t="s">
        <v>3182</v>
      </c>
      <c r="C126" s="3270">
        <v>0.1</v>
      </c>
      <c r="D126" s="3270">
        <v>0.1</v>
      </c>
      <c r="E126" s="3270">
        <v>9.8000000000000004E-2</v>
      </c>
      <c r="F126" s="3270">
        <v>0.1</v>
      </c>
      <c r="G126" s="3272">
        <v>0.1</v>
      </c>
    </row>
    <row r="127" spans="1:7">
      <c r="A127" s="3275" t="s">
        <v>29</v>
      </c>
      <c r="B127" s="3261" t="s">
        <v>2859</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2929</v>
      </c>
      <c r="C148" s="3266">
        <v>0.13</v>
      </c>
      <c r="D148" s="3266">
        <v>0.13</v>
      </c>
      <c r="E148" s="3266">
        <v>0.13</v>
      </c>
      <c r="F148" s="3277"/>
      <c r="G148" s="3267">
        <v>0.13</v>
      </c>
    </row>
    <row r="149" spans="1:7">
      <c r="A149" s="3276" t="s">
        <v>29</v>
      </c>
      <c r="B149" s="3265" t="s">
        <v>2933</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2952</v>
      </c>
      <c r="C153" s="3266">
        <v>0.13</v>
      </c>
      <c r="D153" s="3266">
        <v>0.13</v>
      </c>
      <c r="E153" s="3266">
        <v>0.13</v>
      </c>
      <c r="F153" s="3266">
        <v>0.13</v>
      </c>
      <c r="G153" s="3267">
        <v>0.13</v>
      </c>
    </row>
    <row r="154" spans="1:7">
      <c r="A154" s="3276" t="s">
        <v>29</v>
      </c>
      <c r="B154" s="3265" t="s">
        <v>2959</v>
      </c>
      <c r="C154" s="3266">
        <v>0.121</v>
      </c>
      <c r="D154" s="3266">
        <v>0.121</v>
      </c>
      <c r="E154" s="3266">
        <v>0.105</v>
      </c>
      <c r="F154" s="3266">
        <v>0.121</v>
      </c>
      <c r="G154" s="3267">
        <v>0.123</v>
      </c>
    </row>
    <row r="155" spans="1:7">
      <c r="A155" s="3276" t="s">
        <v>29</v>
      </c>
      <c r="B155" s="3265" t="s">
        <v>2965</v>
      </c>
      <c r="C155" s="3266">
        <v>0.1</v>
      </c>
      <c r="D155" s="3266">
        <v>0.1</v>
      </c>
      <c r="E155" s="3266">
        <v>0.1</v>
      </c>
      <c r="F155" s="3266">
        <v>0.1</v>
      </c>
      <c r="G155" s="3267">
        <v>0.1</v>
      </c>
    </row>
    <row r="156" spans="1:7">
      <c r="A156" s="3276" t="s">
        <v>29</v>
      </c>
      <c r="B156" s="3265" t="s">
        <v>2972</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2992</v>
      </c>
      <c r="C160" s="3266">
        <v>0.13</v>
      </c>
      <c r="D160" s="3266">
        <v>0.13</v>
      </c>
      <c r="E160" s="3266">
        <v>0.124</v>
      </c>
      <c r="F160" s="3266">
        <v>0.126</v>
      </c>
      <c r="G160" s="3267">
        <v>0.13</v>
      </c>
    </row>
    <row r="161" spans="1:7">
      <c r="A161" s="3276" t="s">
        <v>29</v>
      </c>
      <c r="B161" s="3265" t="s">
        <v>2997</v>
      </c>
      <c r="C161" s="3266">
        <v>0.13</v>
      </c>
      <c r="D161" s="3266">
        <v>0.13</v>
      </c>
      <c r="E161" s="3266">
        <v>0.124</v>
      </c>
      <c r="F161" s="3266">
        <v>0.127</v>
      </c>
      <c r="G161" s="3267">
        <v>0.13</v>
      </c>
    </row>
    <row r="162" spans="1:7">
      <c r="A162" s="3276" t="s">
        <v>29</v>
      </c>
      <c r="B162" s="3265" t="s">
        <v>3002</v>
      </c>
      <c r="C162" s="3266">
        <v>0.1</v>
      </c>
      <c r="D162" s="3266">
        <v>0.1</v>
      </c>
      <c r="E162" s="3266">
        <v>0.1</v>
      </c>
      <c r="F162" s="3266">
        <v>0.121</v>
      </c>
      <c r="G162" s="3267">
        <v>0.105</v>
      </c>
    </row>
    <row r="163" spans="1:7">
      <c r="A163" s="3276" t="s">
        <v>29</v>
      </c>
      <c r="B163" s="3265" t="s">
        <v>3007</v>
      </c>
      <c r="C163" s="3266">
        <v>0.1</v>
      </c>
      <c r="D163" s="3266">
        <v>0.1</v>
      </c>
      <c r="E163" s="3266">
        <v>0.1</v>
      </c>
      <c r="F163" s="3266">
        <v>0.1</v>
      </c>
      <c r="G163" s="3267">
        <v>0.1</v>
      </c>
    </row>
    <row r="164" spans="1:7">
      <c r="A164" s="3276" t="s">
        <v>29</v>
      </c>
      <c r="B164" s="3265" t="s">
        <v>3012</v>
      </c>
      <c r="C164" s="3282"/>
      <c r="D164" s="3282"/>
      <c r="E164" s="3282"/>
      <c r="F164" s="3266">
        <v>0.1</v>
      </c>
      <c r="G164" s="3278"/>
    </row>
    <row r="165" spans="1:7">
      <c r="A165" s="3276" t="s">
        <v>29</v>
      </c>
      <c r="B165" s="3265" t="s">
        <v>3183</v>
      </c>
      <c r="C165" s="3266">
        <v>0.126</v>
      </c>
      <c r="D165" s="3266">
        <v>0.126</v>
      </c>
      <c r="E165" s="3266">
        <v>0.11899999999999999</v>
      </c>
      <c r="F165" s="3266">
        <v>0.13</v>
      </c>
      <c r="G165" s="3267">
        <v>0.128</v>
      </c>
    </row>
    <row r="166" spans="1:7">
      <c r="A166" s="3276" t="s">
        <v>29</v>
      </c>
      <c r="B166" s="3265" t="s">
        <v>3022</v>
      </c>
      <c r="C166" s="3266">
        <v>0.129</v>
      </c>
      <c r="D166" s="3266">
        <v>0.129</v>
      </c>
      <c r="E166" s="3266">
        <v>0.123</v>
      </c>
      <c r="F166" s="3266">
        <v>0.128</v>
      </c>
      <c r="G166" s="3267">
        <v>0.13</v>
      </c>
    </row>
    <row r="167" spans="1:7">
      <c r="A167" s="3276" t="s">
        <v>29</v>
      </c>
      <c r="B167" s="3265" t="s">
        <v>3026</v>
      </c>
      <c r="C167" s="3266">
        <v>0.125</v>
      </c>
      <c r="D167" s="3266">
        <v>0.125</v>
      </c>
      <c r="E167" s="3266">
        <v>0.11700000000000001</v>
      </c>
      <c r="F167" s="3266">
        <v>0.13</v>
      </c>
      <c r="G167" s="3267">
        <v>0.126</v>
      </c>
    </row>
    <row r="168" spans="1:7">
      <c r="A168" s="3276" t="s">
        <v>29</v>
      </c>
      <c r="B168" s="3265" t="s">
        <v>3031</v>
      </c>
      <c r="C168" s="3266">
        <v>0.128</v>
      </c>
      <c r="D168" s="3266">
        <v>0.128</v>
      </c>
      <c r="E168" s="3266">
        <v>0.123</v>
      </c>
      <c r="F168" s="3277"/>
      <c r="G168" s="3267">
        <v>0.13</v>
      </c>
    </row>
    <row r="169" spans="1:7">
      <c r="A169" s="3276" t="s">
        <v>29</v>
      </c>
      <c r="B169" s="3265" t="s">
        <v>3184</v>
      </c>
      <c r="C169" s="3282"/>
      <c r="D169" s="3282"/>
      <c r="E169" s="3282"/>
      <c r="F169" s="3266">
        <v>0.05</v>
      </c>
      <c r="G169" s="3278"/>
    </row>
    <row r="170" spans="1:7">
      <c r="A170" s="3276" t="s">
        <v>29</v>
      </c>
      <c r="B170" s="3265" t="s">
        <v>3185</v>
      </c>
      <c r="C170" s="3282"/>
      <c r="D170" s="3282"/>
      <c r="E170" s="3282"/>
      <c r="F170" s="3266">
        <v>0.05</v>
      </c>
      <c r="G170" s="3278"/>
    </row>
    <row r="171" spans="1:7">
      <c r="A171" s="3276" t="s">
        <v>29</v>
      </c>
      <c r="B171" s="3265" t="s">
        <v>3186</v>
      </c>
      <c r="C171" s="3282"/>
      <c r="D171" s="3282"/>
      <c r="E171" s="3282"/>
      <c r="F171" s="3266">
        <v>0.05</v>
      </c>
      <c r="G171" s="3283"/>
    </row>
    <row r="172" spans="1:7">
      <c r="A172" s="3276" t="s">
        <v>29</v>
      </c>
      <c r="B172" s="3265" t="s">
        <v>3187</v>
      </c>
      <c r="C172" s="3282"/>
      <c r="D172" s="3282"/>
      <c r="E172" s="3282"/>
      <c r="F172" s="3266">
        <v>0.05</v>
      </c>
      <c r="G172" s="3283"/>
    </row>
    <row r="173" spans="1:7">
      <c r="A173" s="3276" t="s">
        <v>29</v>
      </c>
      <c r="B173" s="3265" t="s">
        <v>3188</v>
      </c>
      <c r="C173" s="3282"/>
      <c r="D173" s="3282"/>
      <c r="E173" s="3282"/>
      <c r="F173" s="3266">
        <v>0.05</v>
      </c>
      <c r="G173" s="3278"/>
    </row>
    <row r="174" spans="1:7">
      <c r="A174" s="3276" t="s">
        <v>29</v>
      </c>
      <c r="B174" s="3265" t="s">
        <v>3189</v>
      </c>
      <c r="C174" s="3282"/>
      <c r="D174" s="3282"/>
      <c r="E174" s="3282"/>
      <c r="F174" s="3266">
        <v>0.05</v>
      </c>
      <c r="G174" s="3278"/>
    </row>
    <row r="175" spans="1:7">
      <c r="A175" s="3276" t="s">
        <v>29</v>
      </c>
      <c r="B175" s="3265" t="s">
        <v>3190</v>
      </c>
      <c r="C175" s="3282"/>
      <c r="D175" s="3282"/>
      <c r="E175" s="3282"/>
      <c r="F175" s="3266">
        <v>0.05</v>
      </c>
      <c r="G175" s="3278"/>
    </row>
    <row r="176" spans="1:7">
      <c r="A176" s="3276" t="s">
        <v>29</v>
      </c>
      <c r="B176" s="3265" t="s">
        <v>3191</v>
      </c>
      <c r="C176" s="3282"/>
      <c r="D176" s="3282"/>
      <c r="E176" s="3282"/>
      <c r="F176" s="3266">
        <v>0.05</v>
      </c>
      <c r="G176" s="3278"/>
    </row>
    <row r="177" spans="1:7">
      <c r="A177" s="3276" t="s">
        <v>29</v>
      </c>
      <c r="B177" s="3265" t="s">
        <v>3192</v>
      </c>
      <c r="C177" s="3277"/>
      <c r="D177" s="3277"/>
      <c r="E177" s="3277"/>
      <c r="F177" s="3266">
        <v>0.05</v>
      </c>
      <c r="G177" s="3283"/>
    </row>
    <row r="178" spans="1:7">
      <c r="A178" s="3276" t="s">
        <v>29</v>
      </c>
      <c r="B178" s="3265" t="s">
        <v>3193</v>
      </c>
      <c r="C178" s="3277"/>
      <c r="D178" s="3277"/>
      <c r="E178" s="3277"/>
      <c r="F178" s="3266">
        <v>0.05</v>
      </c>
      <c r="G178" s="3283"/>
    </row>
    <row r="179" spans="1:7">
      <c r="A179" s="3276" t="s">
        <v>29</v>
      </c>
      <c r="B179" s="3265" t="s">
        <v>3194</v>
      </c>
      <c r="C179" s="3277"/>
      <c r="D179" s="3277"/>
      <c r="E179" s="3277"/>
      <c r="F179" s="3266">
        <v>0.05</v>
      </c>
      <c r="G179" s="3283"/>
    </row>
    <row r="180" spans="1:7">
      <c r="A180" s="3276" t="s">
        <v>29</v>
      </c>
      <c r="B180" s="3265" t="s">
        <v>3195</v>
      </c>
      <c r="C180" s="3277"/>
      <c r="D180" s="3277"/>
      <c r="E180" s="3277"/>
      <c r="F180" s="3266">
        <v>0.05</v>
      </c>
      <c r="G180" s="3283"/>
    </row>
    <row r="181" spans="1:7">
      <c r="A181" s="3276" t="s">
        <v>29</v>
      </c>
      <c r="B181" s="3265" t="s">
        <v>3196</v>
      </c>
      <c r="C181" s="3277"/>
      <c r="D181" s="3277"/>
      <c r="E181" s="3277"/>
      <c r="F181" s="3266">
        <v>0.05</v>
      </c>
      <c r="G181" s="3283"/>
    </row>
    <row r="182" spans="1:7">
      <c r="A182" s="3276" t="s">
        <v>29</v>
      </c>
      <c r="B182" s="3265" t="s">
        <v>3197</v>
      </c>
      <c r="C182" s="3277"/>
      <c r="D182" s="3277"/>
      <c r="E182" s="3277"/>
      <c r="F182" s="3266">
        <v>0.05</v>
      </c>
      <c r="G182" s="3283"/>
    </row>
    <row r="183" spans="1:7">
      <c r="A183" s="3276" t="s">
        <v>29</v>
      </c>
      <c r="B183" s="3265" t="s">
        <v>3198</v>
      </c>
      <c r="C183" s="3277"/>
      <c r="D183" s="3277"/>
      <c r="E183" s="3277"/>
      <c r="F183" s="3266">
        <v>0.05</v>
      </c>
      <c r="G183" s="3283"/>
    </row>
    <row r="184" spans="1:7">
      <c r="A184" s="3276" t="s">
        <v>29</v>
      </c>
      <c r="B184" s="3265" t="s">
        <v>3199</v>
      </c>
      <c r="C184" s="3277"/>
      <c r="D184" s="3277"/>
      <c r="E184" s="3277"/>
      <c r="F184" s="3266">
        <v>0.05</v>
      </c>
      <c r="G184" s="3283"/>
    </row>
    <row r="185" spans="1:7">
      <c r="A185" s="3276" t="s">
        <v>29</v>
      </c>
      <c r="B185" s="3265" t="s">
        <v>3200</v>
      </c>
      <c r="C185" s="3277"/>
      <c r="D185" s="3277"/>
      <c r="E185" s="3277"/>
      <c r="F185" s="3266">
        <v>0.05</v>
      </c>
      <c r="G185" s="3283"/>
    </row>
    <row r="186" spans="1:7">
      <c r="A186" s="3276" t="s">
        <v>29</v>
      </c>
      <c r="B186" s="3265" t="s">
        <v>3201</v>
      </c>
      <c r="C186" s="3277"/>
      <c r="D186" s="3277"/>
      <c r="E186" s="3277"/>
      <c r="F186" s="3266">
        <v>0.05</v>
      </c>
      <c r="G186" s="3283"/>
    </row>
    <row r="187" spans="1:7">
      <c r="A187" s="3276" t="s">
        <v>29</v>
      </c>
      <c r="B187" s="3265" t="s">
        <v>3202</v>
      </c>
      <c r="C187" s="3277"/>
      <c r="D187" s="3277"/>
      <c r="E187" s="3277"/>
      <c r="F187" s="3266">
        <v>0.05</v>
      </c>
      <c r="G187" s="3283"/>
    </row>
    <row r="188" spans="1:7">
      <c r="A188" s="3276" t="s">
        <v>29</v>
      </c>
      <c r="B188" s="3265" t="s">
        <v>3203</v>
      </c>
      <c r="C188" s="3277"/>
      <c r="D188" s="3277"/>
      <c r="E188" s="3277"/>
      <c r="F188" s="3266">
        <v>0.05</v>
      </c>
      <c r="G188" s="3283"/>
    </row>
    <row r="189" spans="1:7" ht="15" thickBot="1">
      <c r="A189" s="3279" t="s">
        <v>29</v>
      </c>
      <c r="B189" s="3269" t="s">
        <v>3204</v>
      </c>
      <c r="C189" s="3271"/>
      <c r="D189" s="3271"/>
      <c r="E189" s="3271"/>
      <c r="F189" s="3270">
        <v>0.05</v>
      </c>
      <c r="G189" s="3284"/>
    </row>
    <row r="190" spans="1:7">
      <c r="A190" s="3275" t="s">
        <v>304</v>
      </c>
      <c r="B190" s="3261" t="s">
        <v>2860</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2896</v>
      </c>
      <c r="C199" s="3266">
        <v>0.13</v>
      </c>
      <c r="D199" s="3266">
        <v>0.13</v>
      </c>
      <c r="E199" s="3266">
        <v>0.13</v>
      </c>
      <c r="F199" s="3266">
        <v>0.13</v>
      </c>
      <c r="G199" s="3267">
        <v>0.13</v>
      </c>
    </row>
    <row r="200" spans="1:7">
      <c r="A200" s="3276" t="s">
        <v>304</v>
      </c>
      <c r="B200" s="3265" t="s">
        <v>2899</v>
      </c>
      <c r="C200" s="3282"/>
      <c r="D200" s="3282"/>
      <c r="E200" s="3282"/>
      <c r="F200" s="3266">
        <v>0.13</v>
      </c>
      <c r="G200" s="3278"/>
    </row>
    <row r="201" spans="1:7">
      <c r="A201" s="3276" t="s">
        <v>304</v>
      </c>
      <c r="B201" s="3265" t="s">
        <v>2904</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2907</v>
      </c>
      <c r="C203" s="3266">
        <v>0.129</v>
      </c>
      <c r="D203" s="3266">
        <v>0.129</v>
      </c>
      <c r="E203" s="3266">
        <v>0.13</v>
      </c>
      <c r="F203" s="3266">
        <v>0.13</v>
      </c>
      <c r="G203" s="3267">
        <v>0.13</v>
      </c>
    </row>
    <row r="204" spans="1:7">
      <c r="A204" s="3276" t="s">
        <v>304</v>
      </c>
      <c r="B204" s="3265" t="s">
        <v>2910</v>
      </c>
      <c r="C204" s="3266">
        <v>0.129</v>
      </c>
      <c r="D204" s="3266">
        <v>0.129</v>
      </c>
      <c r="E204" s="3266">
        <v>0.123</v>
      </c>
      <c r="F204" s="3266">
        <v>0.13</v>
      </c>
      <c r="G204" s="3267">
        <v>0.13</v>
      </c>
    </row>
    <row r="205" spans="1:7">
      <c r="A205" s="3276" t="s">
        <v>304</v>
      </c>
      <c r="B205" s="3265" t="s">
        <v>2912</v>
      </c>
      <c r="C205" s="3266">
        <v>0.13</v>
      </c>
      <c r="D205" s="3266">
        <v>0.13</v>
      </c>
      <c r="E205" s="3266">
        <v>0.13</v>
      </c>
      <c r="F205" s="3266">
        <v>0.13</v>
      </c>
      <c r="G205" s="3267">
        <v>0.13</v>
      </c>
    </row>
    <row r="206" spans="1:7">
      <c r="A206" s="3276" t="s">
        <v>304</v>
      </c>
      <c r="B206" s="3265" t="s">
        <v>2915</v>
      </c>
      <c r="C206" s="3266">
        <v>0.13</v>
      </c>
      <c r="D206" s="3266">
        <v>0.13</v>
      </c>
      <c r="E206" s="3266">
        <v>0.13</v>
      </c>
      <c r="F206" s="3266">
        <v>0.128</v>
      </c>
      <c r="G206" s="3267">
        <v>0.13</v>
      </c>
    </row>
    <row r="207" spans="1:7">
      <c r="A207" s="3276" t="s">
        <v>304</v>
      </c>
      <c r="B207" s="3265" t="s">
        <v>2917</v>
      </c>
      <c r="C207" s="3266">
        <v>0.13</v>
      </c>
      <c r="D207" s="3266">
        <v>0.13</v>
      </c>
      <c r="E207" s="3266">
        <v>0.13</v>
      </c>
      <c r="F207" s="3266">
        <v>0.13</v>
      </c>
      <c r="G207" s="3267">
        <v>0.13</v>
      </c>
    </row>
    <row r="208" spans="1:7">
      <c r="A208" s="3276" t="s">
        <v>304</v>
      </c>
      <c r="B208" s="3265" t="s">
        <v>2920</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2927</v>
      </c>
      <c r="C210" s="3266">
        <v>0.121</v>
      </c>
      <c r="D210" s="3266">
        <v>0.121</v>
      </c>
      <c r="E210" s="3266">
        <v>0.125</v>
      </c>
      <c r="F210" s="3266">
        <v>0.13</v>
      </c>
      <c r="G210" s="3267">
        <v>0.123</v>
      </c>
    </row>
    <row r="211" spans="1:7">
      <c r="A211" s="3276" t="s">
        <v>304</v>
      </c>
      <c r="B211" s="3265" t="s">
        <v>2930</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2942</v>
      </c>
      <c r="C214" s="3266">
        <v>0.128</v>
      </c>
      <c r="D214" s="3266">
        <v>0.128</v>
      </c>
      <c r="E214" s="3266">
        <v>0.13</v>
      </c>
      <c r="F214" s="3266">
        <v>0.13</v>
      </c>
      <c r="G214" s="3267">
        <v>0.13</v>
      </c>
    </row>
    <row r="215" spans="1:7">
      <c r="A215" s="3276" t="s">
        <v>304</v>
      </c>
      <c r="B215" s="3265" t="s">
        <v>2946</v>
      </c>
      <c r="C215" s="3266">
        <v>0.13</v>
      </c>
      <c r="D215" s="3266">
        <v>0.13</v>
      </c>
      <c r="E215" s="3266">
        <v>0.13</v>
      </c>
      <c r="F215" s="3266">
        <v>0.129</v>
      </c>
      <c r="G215" s="3267">
        <v>0.13</v>
      </c>
    </row>
    <row r="216" spans="1:7">
      <c r="A216" s="3276" t="s">
        <v>304</v>
      </c>
      <c r="B216" s="3265" t="s">
        <v>2953</v>
      </c>
      <c r="C216" s="3266">
        <v>0.13</v>
      </c>
      <c r="D216" s="3266">
        <v>0.13</v>
      </c>
      <c r="E216" s="3266">
        <v>0.13</v>
      </c>
      <c r="F216" s="3266">
        <v>0.13</v>
      </c>
      <c r="G216" s="3267">
        <v>0.13</v>
      </c>
    </row>
    <row r="217" spans="1:7">
      <c r="A217" s="3276" t="s">
        <v>304</v>
      </c>
      <c r="B217" s="3265" t="s">
        <v>2960</v>
      </c>
      <c r="C217" s="3266">
        <v>0.129</v>
      </c>
      <c r="D217" s="3266">
        <v>0.129</v>
      </c>
      <c r="E217" s="3266">
        <v>0.13</v>
      </c>
      <c r="F217" s="3266">
        <v>0.13</v>
      </c>
      <c r="G217" s="3267">
        <v>0.13</v>
      </c>
    </row>
    <row r="218" spans="1:7">
      <c r="A218" s="3276" t="s">
        <v>304</v>
      </c>
      <c r="B218" s="3265" t="s">
        <v>2966</v>
      </c>
      <c r="C218" s="3277"/>
      <c r="D218" s="3277"/>
      <c r="E218" s="3277"/>
      <c r="F218" s="3266">
        <v>0.05</v>
      </c>
      <c r="G218" s="3283"/>
    </row>
    <row r="219" spans="1:7">
      <c r="A219" s="3276" t="s">
        <v>304</v>
      </c>
      <c r="B219" s="3265" t="s">
        <v>2973</v>
      </c>
      <c r="C219" s="3277"/>
      <c r="D219" s="3277"/>
      <c r="E219" s="3277"/>
      <c r="F219" s="3266">
        <v>0.05</v>
      </c>
      <c r="G219" s="3283"/>
    </row>
    <row r="220" spans="1:7">
      <c r="A220" s="3276" t="s">
        <v>304</v>
      </c>
      <c r="B220" s="3265" t="s">
        <v>2979</v>
      </c>
      <c r="C220" s="3277"/>
      <c r="D220" s="3277"/>
      <c r="E220" s="3277"/>
      <c r="F220" s="3266">
        <v>0.05</v>
      </c>
      <c r="G220" s="3283"/>
    </row>
    <row r="221" spans="1:7">
      <c r="A221" s="3276" t="s">
        <v>304</v>
      </c>
      <c r="B221" s="3265" t="s">
        <v>2984</v>
      </c>
      <c r="C221" s="3277"/>
      <c r="D221" s="3277"/>
      <c r="E221" s="3277"/>
      <c r="F221" s="3266">
        <v>0.05</v>
      </c>
      <c r="G221" s="3283"/>
    </row>
    <row r="222" spans="1:7">
      <c r="A222" s="3276" t="s">
        <v>304</v>
      </c>
      <c r="B222" s="3265" t="s">
        <v>2988</v>
      </c>
      <c r="C222" s="3277"/>
      <c r="D222" s="3277"/>
      <c r="E222" s="3277"/>
      <c r="F222" s="3266">
        <v>0.05</v>
      </c>
      <c r="G222" s="3283"/>
    </row>
    <row r="223" spans="1:7">
      <c r="A223" s="3276" t="s">
        <v>304</v>
      </c>
      <c r="B223" s="3265" t="s">
        <v>2993</v>
      </c>
      <c r="C223" s="3277"/>
      <c r="D223" s="3277"/>
      <c r="E223" s="3277"/>
      <c r="F223" s="3266">
        <v>0.05</v>
      </c>
      <c r="G223" s="3283"/>
    </row>
    <row r="224" spans="1:7">
      <c r="A224" s="3276" t="s">
        <v>304</v>
      </c>
      <c r="B224" s="3265" t="s">
        <v>2998</v>
      </c>
      <c r="C224" s="3277"/>
      <c r="D224" s="3277"/>
      <c r="E224" s="3277"/>
      <c r="F224" s="3266">
        <v>0.05</v>
      </c>
      <c r="G224" s="3283"/>
    </row>
    <row r="225" spans="1:7">
      <c r="A225" s="3276" t="s">
        <v>304</v>
      </c>
      <c r="B225" s="3265" t="s">
        <v>3003</v>
      </c>
      <c r="C225" s="3277"/>
      <c r="D225" s="3277"/>
      <c r="E225" s="3277"/>
      <c r="F225" s="3266">
        <v>0.05</v>
      </c>
      <c r="G225" s="3283"/>
    </row>
    <row r="226" spans="1:7">
      <c r="A226" s="3276" t="s">
        <v>304</v>
      </c>
      <c r="B226" s="3265" t="s">
        <v>3205</v>
      </c>
      <c r="C226" s="3277"/>
      <c r="D226" s="3277"/>
      <c r="E226" s="3277"/>
      <c r="F226" s="3266">
        <v>0.05</v>
      </c>
      <c r="G226" s="3283"/>
    </row>
    <row r="227" spans="1:7">
      <c r="A227" s="3276" t="s">
        <v>304</v>
      </c>
      <c r="B227" s="3265" t="s">
        <v>3206</v>
      </c>
      <c r="C227" s="3277"/>
      <c r="D227" s="3277"/>
      <c r="E227" s="3277"/>
      <c r="F227" s="3266">
        <v>0.05</v>
      </c>
      <c r="G227" s="3283"/>
    </row>
    <row r="228" spans="1:7">
      <c r="A228" s="3276" t="s">
        <v>304</v>
      </c>
      <c r="B228" s="3265" t="s">
        <v>3207</v>
      </c>
      <c r="C228" s="3277"/>
      <c r="D228" s="3277"/>
      <c r="E228" s="3277"/>
      <c r="F228" s="3266">
        <v>0.05</v>
      </c>
      <c r="G228" s="3283"/>
    </row>
    <row r="229" spans="1:7">
      <c r="A229" s="3276" t="s">
        <v>304</v>
      </c>
      <c r="B229" s="3265" t="s">
        <v>3208</v>
      </c>
      <c r="C229" s="3277"/>
      <c r="D229" s="3277"/>
      <c r="E229" s="3277"/>
      <c r="F229" s="3266">
        <v>0.05</v>
      </c>
      <c r="G229" s="3283"/>
    </row>
    <row r="230" spans="1:7">
      <c r="A230" s="3276" t="s">
        <v>304</v>
      </c>
      <c r="B230" s="3265" t="s">
        <v>3209</v>
      </c>
      <c r="C230" s="3277"/>
      <c r="D230" s="3277"/>
      <c r="E230" s="3277"/>
      <c r="F230" s="3266">
        <v>0.05</v>
      </c>
      <c r="G230" s="3283"/>
    </row>
    <row r="231" spans="1:7">
      <c r="A231" s="3276" t="s">
        <v>304</v>
      </c>
      <c r="B231" s="3265" t="s">
        <v>3210</v>
      </c>
      <c r="C231" s="3277"/>
      <c r="D231" s="3277"/>
      <c r="E231" s="3277"/>
      <c r="F231" s="3266">
        <v>0.05</v>
      </c>
      <c r="G231" s="3283"/>
    </row>
    <row r="232" spans="1:7">
      <c r="A232" s="3276" t="s">
        <v>304</v>
      </c>
      <c r="B232" s="3265" t="s">
        <v>3211</v>
      </c>
      <c r="C232" s="3277"/>
      <c r="D232" s="3277"/>
      <c r="E232" s="3277"/>
      <c r="F232" s="3266">
        <v>0.05</v>
      </c>
      <c r="G232" s="3283"/>
    </row>
    <row r="233" spans="1:7" ht="15" thickBot="1">
      <c r="A233" s="3279" t="s">
        <v>304</v>
      </c>
      <c r="B233" s="3269" t="s">
        <v>3212</v>
      </c>
      <c r="C233" s="3271"/>
      <c r="D233" s="3271"/>
      <c r="E233" s="3271"/>
      <c r="F233" s="3270">
        <v>0.05</v>
      </c>
      <c r="G233" s="3284"/>
    </row>
    <row r="234" spans="1:7">
      <c r="A234" s="3275" t="s">
        <v>305</v>
      </c>
      <c r="B234" s="3261" t="s">
        <v>2861</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2881</v>
      </c>
      <c r="C238" s="3266">
        <v>0.14899999999999999</v>
      </c>
      <c r="D238" s="3266">
        <v>0.14899999999999999</v>
      </c>
      <c r="E238" s="3266">
        <v>0.15</v>
      </c>
      <c r="F238" s="3266">
        <v>0.15</v>
      </c>
      <c r="G238" s="3267">
        <v>0.15</v>
      </c>
    </row>
    <row r="239" spans="1:7">
      <c r="A239" s="3276" t="s">
        <v>305</v>
      </c>
      <c r="B239" s="3265" t="s">
        <v>2885</v>
      </c>
      <c r="C239" s="3266">
        <v>0.15</v>
      </c>
      <c r="D239" s="3266">
        <v>0.15</v>
      </c>
      <c r="E239" s="3266">
        <v>0.15</v>
      </c>
      <c r="F239" s="3266">
        <v>0.15</v>
      </c>
      <c r="G239" s="3267">
        <v>0.15</v>
      </c>
    </row>
    <row r="240" spans="1:7">
      <c r="A240" s="3276" t="s">
        <v>305</v>
      </c>
      <c r="B240" s="3265" t="s">
        <v>2890</v>
      </c>
      <c r="C240" s="3266">
        <v>0.15</v>
      </c>
      <c r="D240" s="3266">
        <v>0.15</v>
      </c>
      <c r="E240" s="3266">
        <v>0.15</v>
      </c>
      <c r="F240" s="3266">
        <v>0.15</v>
      </c>
      <c r="G240" s="3267">
        <v>0.15</v>
      </c>
    </row>
    <row r="241" spans="1:7">
      <c r="A241" s="3276" t="s">
        <v>305</v>
      </c>
      <c r="B241" s="3265" t="s">
        <v>2894</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2900</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2908</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2913</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2921</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2934</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2943</v>
      </c>
      <c r="C258" s="3266">
        <v>0.14299999999999999</v>
      </c>
      <c r="D258" s="3266">
        <v>0.14299999999999999</v>
      </c>
      <c r="E258" s="3266">
        <v>0.15</v>
      </c>
      <c r="F258" s="3266">
        <v>0.14799999999999999</v>
      </c>
      <c r="G258" s="3267">
        <v>0.14599999999999999</v>
      </c>
    </row>
    <row r="259" spans="1:7">
      <c r="A259" s="3276" t="s">
        <v>305</v>
      </c>
      <c r="B259" s="3265" t="s">
        <v>2947</v>
      </c>
      <c r="C259" s="3266">
        <v>0.14399999999999999</v>
      </c>
      <c r="D259" s="3266">
        <v>0.14399999999999999</v>
      </c>
      <c r="E259" s="3266">
        <v>0.14899999999999999</v>
      </c>
      <c r="F259" s="3266">
        <v>0.14699999999999999</v>
      </c>
      <c r="G259" s="3267">
        <v>0.14599999999999999</v>
      </c>
    </row>
    <row r="260" spans="1:7">
      <c r="A260" s="3276" t="s">
        <v>305</v>
      </c>
      <c r="B260" s="3265" t="s">
        <v>2954</v>
      </c>
      <c r="C260" s="3266">
        <v>0.109</v>
      </c>
      <c r="D260" s="3266">
        <v>0.111</v>
      </c>
      <c r="E260" s="3266">
        <v>0.13100000000000001</v>
      </c>
      <c r="F260" s="3266">
        <v>0.126</v>
      </c>
      <c r="G260" s="3267">
        <v>0.11899999999999999</v>
      </c>
    </row>
    <row r="261" spans="1:7">
      <c r="A261" s="3276" t="s">
        <v>305</v>
      </c>
      <c r="B261" s="3265" t="s">
        <v>2961</v>
      </c>
      <c r="C261" s="3266">
        <v>0.1</v>
      </c>
      <c r="D261" s="3266">
        <v>0.1</v>
      </c>
      <c r="E261" s="3266">
        <v>0.11799999999999999</v>
      </c>
      <c r="F261" s="3266">
        <v>0.108</v>
      </c>
      <c r="G261" s="3267">
        <v>0.107</v>
      </c>
    </row>
    <row r="262" spans="1:7">
      <c r="A262" s="3276" t="s">
        <v>305</v>
      </c>
      <c r="B262" s="3265" t="s">
        <v>2967</v>
      </c>
      <c r="C262" s="3266">
        <v>0.1</v>
      </c>
      <c r="D262" s="3266">
        <v>0.1</v>
      </c>
      <c r="E262" s="3266">
        <v>0.1</v>
      </c>
      <c r="F262" s="3266">
        <v>0.14099999999999999</v>
      </c>
      <c r="G262" s="3267">
        <v>0.1</v>
      </c>
    </row>
    <row r="263" spans="1:7">
      <c r="A263" s="3276" t="s">
        <v>305</v>
      </c>
      <c r="B263" s="3265" t="s">
        <v>2974</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2985</v>
      </c>
      <c r="C265" s="3277"/>
      <c r="D265" s="3277"/>
      <c r="E265" s="3277"/>
      <c r="F265" s="3266">
        <v>0.05</v>
      </c>
      <c r="G265" s="3283"/>
    </row>
    <row r="266" spans="1:7">
      <c r="A266" s="3276" t="s">
        <v>305</v>
      </c>
      <c r="B266" s="3265" t="s">
        <v>2989</v>
      </c>
      <c r="C266" s="3277"/>
      <c r="D266" s="3277"/>
      <c r="E266" s="3277"/>
      <c r="F266" s="3266">
        <v>0.05</v>
      </c>
      <c r="G266" s="3283"/>
    </row>
    <row r="267" spans="1:7">
      <c r="A267" s="3276" t="s">
        <v>305</v>
      </c>
      <c r="B267" s="3265" t="s">
        <v>2994</v>
      </c>
      <c r="C267" s="3277"/>
      <c r="D267" s="3277"/>
      <c r="E267" s="3277"/>
      <c r="F267" s="3266">
        <v>0.05</v>
      </c>
      <c r="G267" s="3283"/>
    </row>
    <row r="268" spans="1:7">
      <c r="A268" s="3276" t="s">
        <v>305</v>
      </c>
      <c r="B268" s="3265" t="s">
        <v>2999</v>
      </c>
      <c r="C268" s="3277"/>
      <c r="D268" s="3277"/>
      <c r="E268" s="3277"/>
      <c r="F268" s="3266">
        <v>0.05</v>
      </c>
      <c r="G268" s="3283"/>
    </row>
    <row r="269" spans="1:7">
      <c r="A269" s="3276" t="s">
        <v>305</v>
      </c>
      <c r="B269" s="3265" t="s">
        <v>3004</v>
      </c>
      <c r="C269" s="3277"/>
      <c r="D269" s="3277"/>
      <c r="E269" s="3277"/>
      <c r="F269" s="3266">
        <v>0.05</v>
      </c>
      <c r="G269" s="3283"/>
    </row>
    <row r="270" spans="1:7">
      <c r="A270" s="3276" t="s">
        <v>305</v>
      </c>
      <c r="B270" s="3265" t="s">
        <v>3009</v>
      </c>
      <c r="C270" s="3277"/>
      <c r="D270" s="3277"/>
      <c r="E270" s="3277"/>
      <c r="F270" s="3266">
        <v>0.05</v>
      </c>
      <c r="G270" s="3283"/>
    </row>
    <row r="271" spans="1:7">
      <c r="A271" s="3276" t="s">
        <v>305</v>
      </c>
      <c r="B271" s="3265" t="s">
        <v>3213</v>
      </c>
      <c r="C271" s="3277"/>
      <c r="D271" s="3277"/>
      <c r="E271" s="3277"/>
      <c r="F271" s="3266">
        <v>0.05</v>
      </c>
      <c r="G271" s="3283"/>
    </row>
    <row r="272" spans="1:7">
      <c r="A272" s="3276" t="s">
        <v>305</v>
      </c>
      <c r="B272" s="3265" t="s">
        <v>3214</v>
      </c>
      <c r="C272" s="3277"/>
      <c r="D272" s="3277"/>
      <c r="E272" s="3277"/>
      <c r="F272" s="3266">
        <v>0.05</v>
      </c>
      <c r="G272" s="3283"/>
    </row>
    <row r="273" spans="1:7">
      <c r="A273" s="3276" t="s">
        <v>305</v>
      </c>
      <c r="B273" s="3265" t="s">
        <v>3215</v>
      </c>
      <c r="C273" s="3277"/>
      <c r="D273" s="3277"/>
      <c r="E273" s="3277"/>
      <c r="F273" s="3266">
        <v>0.05</v>
      </c>
      <c r="G273" s="3283"/>
    </row>
    <row r="274" spans="1:7">
      <c r="A274" s="3276" t="s">
        <v>305</v>
      </c>
      <c r="B274" s="3265" t="s">
        <v>3216</v>
      </c>
      <c r="C274" s="3277"/>
      <c r="D274" s="3277"/>
      <c r="E274" s="3277"/>
      <c r="F274" s="3266">
        <v>0.05</v>
      </c>
      <c r="G274" s="3283"/>
    </row>
    <row r="275" spans="1:7">
      <c r="A275" s="3276" t="s">
        <v>305</v>
      </c>
      <c r="B275" s="3265" t="s">
        <v>3217</v>
      </c>
      <c r="C275" s="3277"/>
      <c r="D275" s="3277"/>
      <c r="E275" s="3277"/>
      <c r="F275" s="3266">
        <v>0.05</v>
      </c>
      <c r="G275" s="3283"/>
    </row>
    <row r="276" spans="1:7" ht="15" thickBot="1">
      <c r="A276" s="3279" t="s">
        <v>305</v>
      </c>
      <c r="B276" s="3269" t="s">
        <v>3218</v>
      </c>
      <c r="C276" s="3271"/>
      <c r="D276" s="3271"/>
      <c r="E276" s="3271"/>
      <c r="F276" s="3270">
        <v>0.05</v>
      </c>
      <c r="G276" s="3284"/>
    </row>
    <row r="277" spans="1:7">
      <c r="A277" s="3275" t="s">
        <v>306</v>
      </c>
      <c r="B277" s="3261" t="s">
        <v>2862</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2874</v>
      </c>
      <c r="C279" s="3266">
        <v>0.15</v>
      </c>
      <c r="D279" s="3266">
        <v>0.15</v>
      </c>
      <c r="E279" s="3266">
        <v>0.15</v>
      </c>
      <c r="F279" s="3266">
        <v>0.15</v>
      </c>
      <c r="G279" s="3267">
        <v>0.15</v>
      </c>
    </row>
    <row r="280" spans="1:7">
      <c r="A280" s="3276" t="s">
        <v>306</v>
      </c>
      <c r="B280" s="3265" t="s">
        <v>2878</v>
      </c>
      <c r="C280" s="3266">
        <v>0.15</v>
      </c>
      <c r="D280" s="3266">
        <v>0.15</v>
      </c>
      <c r="E280" s="3266">
        <v>0.15</v>
      </c>
      <c r="F280" s="3266">
        <v>0.15</v>
      </c>
      <c r="G280" s="3267">
        <v>0.15</v>
      </c>
    </row>
    <row r="281" spans="1:7">
      <c r="A281" s="3276" t="s">
        <v>306</v>
      </c>
      <c r="B281" s="3265" t="s">
        <v>2882</v>
      </c>
      <c r="C281" s="3266">
        <v>0.15</v>
      </c>
      <c r="D281" s="3266">
        <v>0.15</v>
      </c>
      <c r="E281" s="3266">
        <v>0.15</v>
      </c>
      <c r="F281" s="3266">
        <v>0.15</v>
      </c>
      <c r="G281" s="3267">
        <v>0.15</v>
      </c>
    </row>
    <row r="282" spans="1:7">
      <c r="A282" s="3276" t="s">
        <v>306</v>
      </c>
      <c r="B282" s="3265" t="s">
        <v>2886</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2901</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2906</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2916</v>
      </c>
      <c r="C293" s="3266">
        <v>0.15</v>
      </c>
      <c r="D293" s="3266">
        <v>0.15</v>
      </c>
      <c r="E293" s="3266">
        <v>0.15</v>
      </c>
      <c r="F293" s="3266">
        <v>0.14499999999999999</v>
      </c>
      <c r="G293" s="3267">
        <v>0.15</v>
      </c>
    </row>
    <row r="294" spans="1:7">
      <c r="A294" s="3276" t="s">
        <v>306</v>
      </c>
      <c r="B294" s="3265" t="s">
        <v>2918</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2935</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2948</v>
      </c>
      <c r="C302" s="3266">
        <v>0.15</v>
      </c>
      <c r="D302" s="3266">
        <v>0.15</v>
      </c>
      <c r="E302" s="3266">
        <v>0.15</v>
      </c>
      <c r="F302" s="3266">
        <v>0.14699999999999999</v>
      </c>
      <c r="G302" s="3267">
        <v>0.15</v>
      </c>
    </row>
    <row r="303" spans="1:7">
      <c r="A303" s="3276" t="s">
        <v>306</v>
      </c>
      <c r="B303" s="3265" t="s">
        <v>2955</v>
      </c>
      <c r="C303" s="3266">
        <v>0.15</v>
      </c>
      <c r="D303" s="3266">
        <v>0.15</v>
      </c>
      <c r="E303" s="3266">
        <v>0.15</v>
      </c>
      <c r="F303" s="3266">
        <v>0.14199999999999999</v>
      </c>
      <c r="G303" s="3267">
        <v>0.15</v>
      </c>
    </row>
    <row r="304" spans="1:7">
      <c r="A304" s="3276" t="s">
        <v>306</v>
      </c>
      <c r="B304" s="3265" t="s">
        <v>2962</v>
      </c>
      <c r="C304" s="3266">
        <v>0.15</v>
      </c>
      <c r="D304" s="3266">
        <v>0.15</v>
      </c>
      <c r="E304" s="3266">
        <v>0.15</v>
      </c>
      <c r="F304" s="3266">
        <v>0.14499999999999999</v>
      </c>
      <c r="G304" s="3267">
        <v>0.15</v>
      </c>
    </row>
    <row r="305" spans="1:7">
      <c r="A305" s="3276" t="s">
        <v>306</v>
      </c>
      <c r="B305" s="3265" t="s">
        <v>2968</v>
      </c>
      <c r="C305" s="3266">
        <v>0.15</v>
      </c>
      <c r="D305" s="3266">
        <v>0.15</v>
      </c>
      <c r="E305" s="3266">
        <v>0.15</v>
      </c>
      <c r="F305" s="3266">
        <v>0.111</v>
      </c>
      <c r="G305" s="3267">
        <v>0.15</v>
      </c>
    </row>
    <row r="306" spans="1:7">
      <c r="A306" s="3276" t="s">
        <v>306</v>
      </c>
      <c r="B306" s="3265" t="s">
        <v>2975</v>
      </c>
      <c r="C306" s="3266">
        <v>0.15</v>
      </c>
      <c r="D306" s="3266">
        <v>0.15</v>
      </c>
      <c r="E306" s="3266">
        <v>0.15</v>
      </c>
      <c r="F306" s="3266">
        <v>0.126</v>
      </c>
      <c r="G306" s="3267">
        <v>0.15</v>
      </c>
    </row>
    <row r="307" spans="1:7">
      <c r="A307" s="3276" t="s">
        <v>306</v>
      </c>
      <c r="B307" s="3265" t="s">
        <v>2980</v>
      </c>
      <c r="C307" s="3266">
        <v>0.15</v>
      </c>
      <c r="D307" s="3266">
        <v>0.15</v>
      </c>
      <c r="E307" s="3266">
        <v>0.15</v>
      </c>
      <c r="F307" s="3266">
        <v>0.12</v>
      </c>
      <c r="G307" s="3267">
        <v>0.15</v>
      </c>
    </row>
    <row r="308" spans="1:7">
      <c r="A308" s="3276" t="s">
        <v>306</v>
      </c>
      <c r="B308" s="3265" t="s">
        <v>2986</v>
      </c>
      <c r="C308" s="3266">
        <v>0.15</v>
      </c>
      <c r="D308" s="3266">
        <v>0.15</v>
      </c>
      <c r="E308" s="3266">
        <v>0.15</v>
      </c>
      <c r="F308" s="3266">
        <v>0.13</v>
      </c>
      <c r="G308" s="3267">
        <v>0.15</v>
      </c>
    </row>
    <row r="309" spans="1:7">
      <c r="A309" s="3276" t="s">
        <v>306</v>
      </c>
      <c r="B309" s="3265" t="s">
        <v>2990</v>
      </c>
      <c r="C309" s="3266">
        <v>0.15</v>
      </c>
      <c r="D309" s="3266">
        <v>0.15</v>
      </c>
      <c r="E309" s="3266">
        <v>0.15</v>
      </c>
      <c r="F309" s="3266">
        <v>0.14099999999999999</v>
      </c>
      <c r="G309" s="3267">
        <v>0.15</v>
      </c>
    </row>
    <row r="310" spans="1:7">
      <c r="A310" s="3276" t="s">
        <v>306</v>
      </c>
      <c r="B310" s="3265" t="s">
        <v>2995</v>
      </c>
      <c r="C310" s="3266">
        <v>0.15</v>
      </c>
      <c r="D310" s="3266">
        <v>0.15</v>
      </c>
      <c r="E310" s="3266">
        <v>0.15</v>
      </c>
      <c r="F310" s="3266">
        <v>0.15</v>
      </c>
      <c r="G310" s="3267">
        <v>0.15</v>
      </c>
    </row>
    <row r="311" spans="1:7">
      <c r="A311" s="3276" t="s">
        <v>306</v>
      </c>
      <c r="B311" s="3265" t="s">
        <v>3000</v>
      </c>
      <c r="C311" s="3266">
        <v>0.13200000000000001</v>
      </c>
      <c r="D311" s="3266">
        <v>0.13300000000000001</v>
      </c>
      <c r="E311" s="3266">
        <v>0.14499999999999999</v>
      </c>
      <c r="F311" s="3266">
        <v>0.14199999999999999</v>
      </c>
      <c r="G311" s="3267">
        <v>0.14000000000000001</v>
      </c>
    </row>
    <row r="312" spans="1:7">
      <c r="A312" s="3276" t="s">
        <v>306</v>
      </c>
      <c r="B312" s="3265" t="s">
        <v>3005</v>
      </c>
      <c r="C312" s="3266">
        <v>0.13800000000000001</v>
      </c>
      <c r="D312" s="3266">
        <v>0.14000000000000001</v>
      </c>
      <c r="E312" s="3266">
        <v>0.14599999999999999</v>
      </c>
      <c r="F312" s="3266">
        <v>0.14899999999999999</v>
      </c>
      <c r="G312" s="3267">
        <v>0.14199999999999999</v>
      </c>
    </row>
    <row r="313" spans="1:7">
      <c r="A313" s="3276" t="s">
        <v>306</v>
      </c>
      <c r="B313" s="3265" t="s">
        <v>3010</v>
      </c>
      <c r="C313" s="3266">
        <v>0.125</v>
      </c>
      <c r="D313" s="3266">
        <v>0.127</v>
      </c>
      <c r="E313" s="3266">
        <v>0.14399999999999999</v>
      </c>
      <c r="F313" s="3266">
        <v>0.115</v>
      </c>
      <c r="G313" s="3267">
        <v>0.13600000000000001</v>
      </c>
    </row>
    <row r="314" spans="1:7">
      <c r="A314" s="3276" t="s">
        <v>306</v>
      </c>
      <c r="B314" s="3265" t="s">
        <v>3219</v>
      </c>
      <c r="C314" s="3282"/>
      <c r="D314" s="3282"/>
      <c r="E314" s="3282"/>
      <c r="F314" s="3266">
        <v>0.05</v>
      </c>
      <c r="G314" s="3283"/>
    </row>
    <row r="315" spans="1:7">
      <c r="A315" s="3276" t="s">
        <v>306</v>
      </c>
      <c r="B315" s="3265" t="s">
        <v>3220</v>
      </c>
      <c r="C315" s="3282"/>
      <c r="D315" s="3282"/>
      <c r="E315" s="3282"/>
      <c r="F315" s="3266">
        <v>0.05</v>
      </c>
      <c r="G315" s="3283"/>
    </row>
    <row r="316" spans="1:7">
      <c r="A316" s="3276" t="s">
        <v>306</v>
      </c>
      <c r="B316" s="3265" t="s">
        <v>3221</v>
      </c>
      <c r="C316" s="3277"/>
      <c r="D316" s="3277"/>
      <c r="E316" s="3277"/>
      <c r="F316" s="3266">
        <v>0.05</v>
      </c>
      <c r="G316" s="3283"/>
    </row>
    <row r="317" spans="1:7">
      <c r="A317" s="3276" t="s">
        <v>306</v>
      </c>
      <c r="B317" s="3265" t="s">
        <v>3222</v>
      </c>
      <c r="C317" s="3277"/>
      <c r="D317" s="3277"/>
      <c r="E317" s="3277"/>
      <c r="F317" s="3266">
        <v>0.05</v>
      </c>
      <c r="G317" s="3283"/>
    </row>
    <row r="318" spans="1:7">
      <c r="A318" s="3276" t="s">
        <v>306</v>
      </c>
      <c r="B318" s="3265" t="s">
        <v>3223</v>
      </c>
      <c r="C318" s="3277"/>
      <c r="D318" s="3277"/>
      <c r="E318" s="3277"/>
      <c r="F318" s="3266">
        <v>0.05</v>
      </c>
      <c r="G318" s="3283"/>
    </row>
    <row r="319" spans="1:7">
      <c r="A319" s="3276" t="s">
        <v>306</v>
      </c>
      <c r="B319" s="3265" t="s">
        <v>3224</v>
      </c>
      <c r="C319" s="3277"/>
      <c r="D319" s="3277"/>
      <c r="E319" s="3277"/>
      <c r="F319" s="3266">
        <v>0.05</v>
      </c>
      <c r="G319" s="3283"/>
    </row>
    <row r="320" spans="1:7">
      <c r="A320" s="3276" t="s">
        <v>306</v>
      </c>
      <c r="B320" s="3265" t="s">
        <v>3225</v>
      </c>
      <c r="C320" s="3277"/>
      <c r="D320" s="3277"/>
      <c r="E320" s="3277"/>
      <c r="F320" s="3266">
        <v>0.05</v>
      </c>
      <c r="G320" s="3283"/>
    </row>
    <row r="321" spans="1:7">
      <c r="A321" s="3276" t="s">
        <v>306</v>
      </c>
      <c r="B321" s="3265" t="s">
        <v>3226</v>
      </c>
      <c r="C321" s="3277"/>
      <c r="D321" s="3277"/>
      <c r="E321" s="3277"/>
      <c r="F321" s="3266">
        <v>0.05</v>
      </c>
      <c r="G321" s="3283"/>
    </row>
    <row r="322" spans="1:7">
      <c r="A322" s="3276" t="s">
        <v>306</v>
      </c>
      <c r="B322" s="3265" t="s">
        <v>3227</v>
      </c>
      <c r="C322" s="3277"/>
      <c r="D322" s="3277"/>
      <c r="E322" s="3277"/>
      <c r="F322" s="3266">
        <v>0.05</v>
      </c>
      <c r="G322" s="3283"/>
    </row>
    <row r="323" spans="1:7">
      <c r="A323" s="3276" t="s">
        <v>306</v>
      </c>
      <c r="B323" s="3265" t="s">
        <v>3228</v>
      </c>
      <c r="C323" s="3277"/>
      <c r="D323" s="3277"/>
      <c r="E323" s="3277"/>
      <c r="F323" s="3266">
        <v>0.05</v>
      </c>
      <c r="G323" s="3283"/>
    </row>
    <row r="324" spans="1:7">
      <c r="A324" s="3276" t="s">
        <v>306</v>
      </c>
      <c r="B324" s="3265" t="s">
        <v>3229</v>
      </c>
      <c r="C324" s="3277"/>
      <c r="D324" s="3277"/>
      <c r="E324" s="3277"/>
      <c r="F324" s="3266">
        <v>0.05</v>
      </c>
      <c r="G324" s="3283"/>
    </row>
    <row r="325" spans="1:7">
      <c r="A325" s="3276" t="s">
        <v>306</v>
      </c>
      <c r="B325" s="3265" t="s">
        <v>3230</v>
      </c>
      <c r="C325" s="3277"/>
      <c r="D325" s="3277"/>
      <c r="E325" s="3277"/>
      <c r="F325" s="3266">
        <v>0.05</v>
      </c>
      <c r="G325" s="3283"/>
    </row>
    <row r="326" spans="1:7" ht="15" thickBot="1">
      <c r="A326" s="3279" t="s">
        <v>306</v>
      </c>
      <c r="B326" s="3269" t="s">
        <v>3231</v>
      </c>
      <c r="C326" s="3271"/>
      <c r="D326" s="3271"/>
      <c r="E326" s="3271"/>
      <c r="F326" s="3270">
        <v>0.05</v>
      </c>
      <c r="G326" s="3284"/>
    </row>
    <row r="327" spans="1:7">
      <c r="A327" s="3275" t="s">
        <v>307</v>
      </c>
      <c r="B327" s="3261" t="s">
        <v>2863</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2875</v>
      </c>
      <c r="C329" s="3266">
        <v>0.15</v>
      </c>
      <c r="D329" s="3266">
        <v>0.15</v>
      </c>
      <c r="E329" s="3266">
        <v>0.15</v>
      </c>
      <c r="F329" s="3266">
        <v>0.15</v>
      </c>
      <c r="G329" s="3267">
        <v>0.15</v>
      </c>
    </row>
    <row r="330" spans="1:7">
      <c r="A330" s="3276" t="s">
        <v>307</v>
      </c>
      <c r="B330" s="3265" t="s">
        <v>2879</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2887</v>
      </c>
      <c r="C332" s="3266">
        <v>0.15</v>
      </c>
      <c r="D332" s="3266">
        <v>0.15</v>
      </c>
      <c r="E332" s="3266">
        <v>0.15</v>
      </c>
      <c r="F332" s="3266">
        <v>0.15</v>
      </c>
      <c r="G332" s="3267">
        <v>0.15</v>
      </c>
    </row>
    <row r="333" spans="1:7">
      <c r="A333" s="3276" t="s">
        <v>307</v>
      </c>
      <c r="B333" s="3265" t="s">
        <v>2891</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2897</v>
      </c>
      <c r="C336" s="3266">
        <v>0.15</v>
      </c>
      <c r="D336" s="3266">
        <v>0.15</v>
      </c>
      <c r="E336" s="3266">
        <v>0.15</v>
      </c>
      <c r="F336" s="3266">
        <v>0.14199999999999999</v>
      </c>
      <c r="G336" s="3267">
        <v>0.15</v>
      </c>
    </row>
    <row r="337" spans="1:7">
      <c r="A337" s="3276" t="s">
        <v>307</v>
      </c>
      <c r="B337" s="3265" t="s">
        <v>2902</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2909</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2914</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2922</v>
      </c>
      <c r="C345" s="3266">
        <v>0.15</v>
      </c>
      <c r="D345" s="3266">
        <v>0.15</v>
      </c>
      <c r="E345" s="3266">
        <v>0.15</v>
      </c>
      <c r="F345" s="3266">
        <v>0.13800000000000001</v>
      </c>
      <c r="G345" s="3267">
        <v>0.15</v>
      </c>
    </row>
    <row r="346" spans="1:7">
      <c r="A346" s="3276" t="s">
        <v>307</v>
      </c>
      <c r="B346" s="3265" t="s">
        <v>2924</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2931</v>
      </c>
      <c r="C348" s="3266">
        <v>0.15</v>
      </c>
      <c r="D348" s="3266">
        <v>0.15</v>
      </c>
      <c r="E348" s="3266">
        <v>0.15</v>
      </c>
      <c r="F348" s="3266">
        <v>0.14399999999999999</v>
      </c>
      <c r="G348" s="3267">
        <v>0.15</v>
      </c>
    </row>
    <row r="349" spans="1:7">
      <c r="A349" s="3276" t="s">
        <v>307</v>
      </c>
      <c r="B349" s="3265" t="s">
        <v>2936</v>
      </c>
      <c r="C349" s="3266">
        <v>0.15</v>
      </c>
      <c r="D349" s="3266">
        <v>0.15</v>
      </c>
      <c r="E349" s="3266">
        <v>0.15</v>
      </c>
      <c r="F349" s="3266">
        <v>0.15</v>
      </c>
      <c r="G349" s="3267">
        <v>0.15</v>
      </c>
    </row>
    <row r="350" spans="1:7">
      <c r="A350" s="3276" t="s">
        <v>307</v>
      </c>
      <c r="B350" s="3265" t="s">
        <v>2939</v>
      </c>
      <c r="C350" s="3266">
        <v>0.15</v>
      </c>
      <c r="D350" s="3266">
        <v>0.15</v>
      </c>
      <c r="E350" s="3266">
        <v>0.15</v>
      </c>
      <c r="F350" s="3266">
        <v>0.14699999999999999</v>
      </c>
      <c r="G350" s="3267">
        <v>0.15</v>
      </c>
    </row>
    <row r="351" spans="1:7">
      <c r="A351" s="3276" t="s">
        <v>307</v>
      </c>
      <c r="B351" s="3265" t="s">
        <v>2944</v>
      </c>
      <c r="C351" s="3266">
        <v>0.15</v>
      </c>
      <c r="D351" s="3266">
        <v>0.15</v>
      </c>
      <c r="E351" s="3266">
        <v>0.15</v>
      </c>
      <c r="F351" s="3266">
        <v>0.13</v>
      </c>
      <c r="G351" s="3267">
        <v>0.15</v>
      </c>
    </row>
    <row r="352" spans="1:7">
      <c r="A352" s="3276" t="s">
        <v>307</v>
      </c>
      <c r="B352" s="3265" t="s">
        <v>2949</v>
      </c>
      <c r="C352" s="3266">
        <v>0.15</v>
      </c>
      <c r="D352" s="3266">
        <v>0.15</v>
      </c>
      <c r="E352" s="3266">
        <v>0.15</v>
      </c>
      <c r="F352" s="3266">
        <v>0.14599999999999999</v>
      </c>
      <c r="G352" s="3267">
        <v>0.15</v>
      </c>
    </row>
    <row r="353" spans="1:7">
      <c r="A353" s="3276" t="s">
        <v>307</v>
      </c>
      <c r="B353" s="3265" t="s">
        <v>2956</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2969</v>
      </c>
      <c r="C355" s="3266">
        <v>0.15</v>
      </c>
      <c r="D355" s="3266">
        <v>0.15</v>
      </c>
      <c r="E355" s="3266">
        <v>0.15</v>
      </c>
      <c r="F355" s="3266">
        <v>0.15</v>
      </c>
      <c r="G355" s="3267">
        <v>0.15</v>
      </c>
    </row>
    <row r="356" spans="1:7">
      <c r="A356" s="3276" t="s">
        <v>307</v>
      </c>
      <c r="B356" s="3265" t="s">
        <v>2976</v>
      </c>
      <c r="C356" s="3266">
        <v>0.15</v>
      </c>
      <c r="D356" s="3266">
        <v>0.15</v>
      </c>
      <c r="E356" s="3266">
        <v>0.15</v>
      </c>
      <c r="F356" s="3266">
        <v>0.15</v>
      </c>
      <c r="G356" s="3267">
        <v>0.15</v>
      </c>
    </row>
    <row r="357" spans="1:7" ht="15" thickBot="1">
      <c r="A357" s="3279" t="s">
        <v>307</v>
      </c>
      <c r="B357" s="3269" t="s">
        <v>2981</v>
      </c>
      <c r="C357" s="3270">
        <v>0.126</v>
      </c>
      <c r="D357" s="3270">
        <v>0.127</v>
      </c>
      <c r="E357" s="3270">
        <v>0.14299999999999999</v>
      </c>
      <c r="F357" s="3270">
        <v>0.125</v>
      </c>
      <c r="G357" s="3272">
        <v>0.129</v>
      </c>
    </row>
    <row r="358" spans="1:7">
      <c r="A358" s="3275" t="s">
        <v>2850</v>
      </c>
      <c r="B358" s="3261" t="s">
        <v>2864</v>
      </c>
      <c r="C358" s="3262">
        <v>0.15</v>
      </c>
      <c r="D358" s="3262">
        <v>0.15</v>
      </c>
      <c r="E358" s="3262">
        <v>0.15</v>
      </c>
      <c r="F358" s="3262">
        <v>0.15</v>
      </c>
      <c r="G358" s="3263">
        <v>0.15</v>
      </c>
    </row>
    <row r="359" spans="1:7">
      <c r="A359" s="3276" t="s">
        <v>2850</v>
      </c>
      <c r="B359" s="3265" t="s">
        <v>2870</v>
      </c>
      <c r="C359" s="3266">
        <v>0.1</v>
      </c>
      <c r="D359" s="3266">
        <v>0.1</v>
      </c>
      <c r="E359" s="3266">
        <v>0.1</v>
      </c>
      <c r="F359" s="3266">
        <v>0.1</v>
      </c>
      <c r="G359" s="3267">
        <v>0.1</v>
      </c>
    </row>
    <row r="360" spans="1:7">
      <c r="A360" s="3276" t="s">
        <v>2850</v>
      </c>
      <c r="B360" s="3265" t="s">
        <v>2876</v>
      </c>
      <c r="C360" s="3266">
        <v>0.15</v>
      </c>
      <c r="D360" s="3266">
        <v>0.15</v>
      </c>
      <c r="E360" s="3266">
        <v>0.15</v>
      </c>
      <c r="F360" s="3266">
        <v>0.14899999999999999</v>
      </c>
      <c r="G360" s="3267">
        <v>0.15</v>
      </c>
    </row>
    <row r="361" spans="1:7">
      <c r="A361" s="3276" t="s">
        <v>2850</v>
      </c>
      <c r="B361" s="3265" t="s">
        <v>153</v>
      </c>
      <c r="C361" s="3266">
        <v>0.15</v>
      </c>
      <c r="D361" s="3266">
        <v>0.15</v>
      </c>
      <c r="E361" s="3266">
        <v>0.15</v>
      </c>
      <c r="F361" s="3266">
        <v>0.115</v>
      </c>
      <c r="G361" s="3267">
        <v>0.15</v>
      </c>
    </row>
    <row r="362" spans="1:7">
      <c r="A362" s="3276" t="s">
        <v>2850</v>
      </c>
      <c r="B362" s="3265" t="s">
        <v>2883</v>
      </c>
      <c r="C362" s="3266">
        <v>0.15</v>
      </c>
      <c r="D362" s="3266">
        <v>0.15</v>
      </c>
      <c r="E362" s="3266">
        <v>0.15</v>
      </c>
      <c r="F362" s="3266">
        <v>0.106</v>
      </c>
      <c r="G362" s="3267">
        <v>0.15</v>
      </c>
    </row>
    <row r="363" spans="1:7">
      <c r="A363" s="3276" t="s">
        <v>2850</v>
      </c>
      <c r="B363" s="3265" t="s">
        <v>2888</v>
      </c>
      <c r="C363" s="3266">
        <v>0.15</v>
      </c>
      <c r="D363" s="3266">
        <v>0.15</v>
      </c>
      <c r="E363" s="3266">
        <v>0.15</v>
      </c>
      <c r="F363" s="3266">
        <v>0.14699999999999999</v>
      </c>
      <c r="G363" s="3267">
        <v>0.15</v>
      </c>
    </row>
    <row r="364" spans="1:7">
      <c r="A364" s="3276" t="s">
        <v>2850</v>
      </c>
      <c r="B364" s="3265" t="s">
        <v>2892</v>
      </c>
      <c r="C364" s="3266">
        <v>0.15</v>
      </c>
      <c r="D364" s="3266">
        <v>0.15</v>
      </c>
      <c r="E364" s="3266">
        <v>0.15</v>
      </c>
      <c r="F364" s="3266">
        <v>0.14799999999999999</v>
      </c>
      <c r="G364" s="3267">
        <v>0.15</v>
      </c>
    </row>
    <row r="365" spans="1:7">
      <c r="A365" s="3276" t="s">
        <v>2850</v>
      </c>
      <c r="B365" s="3265" t="s">
        <v>200</v>
      </c>
      <c r="C365" s="3266">
        <v>0.15</v>
      </c>
      <c r="D365" s="3266">
        <v>0.15</v>
      </c>
      <c r="E365" s="3266">
        <v>0.15</v>
      </c>
      <c r="F365" s="3266">
        <v>0.15</v>
      </c>
      <c r="G365" s="3267">
        <v>0.15</v>
      </c>
    </row>
    <row r="366" spans="1:7">
      <c r="A366" s="3276" t="s">
        <v>2850</v>
      </c>
      <c r="B366" s="3265" t="s">
        <v>2895</v>
      </c>
      <c r="C366" s="3266">
        <v>0.15</v>
      </c>
      <c r="D366" s="3266">
        <v>0.15</v>
      </c>
      <c r="E366" s="3266">
        <v>0.15</v>
      </c>
      <c r="F366" s="3266">
        <v>0.15</v>
      </c>
      <c r="G366" s="3267">
        <v>0.15</v>
      </c>
    </row>
    <row r="367" spans="1:7">
      <c r="A367" s="3276" t="s">
        <v>2850</v>
      </c>
      <c r="B367" s="3265" t="s">
        <v>2898</v>
      </c>
      <c r="C367" s="3266">
        <v>0.15</v>
      </c>
      <c r="D367" s="3266">
        <v>0.15</v>
      </c>
      <c r="E367" s="3266">
        <v>0.15</v>
      </c>
      <c r="F367" s="3266">
        <v>0.14699999999999999</v>
      </c>
      <c r="G367" s="3267">
        <v>0.15</v>
      </c>
    </row>
    <row r="368" spans="1:7">
      <c r="A368" s="3276" t="s">
        <v>2850</v>
      </c>
      <c r="B368" s="3265" t="s">
        <v>2903</v>
      </c>
      <c r="C368" s="3266">
        <v>0.15</v>
      </c>
      <c r="D368" s="3266">
        <v>0.15</v>
      </c>
      <c r="E368" s="3266">
        <v>0.15</v>
      </c>
      <c r="F368" s="3266">
        <v>0.13600000000000001</v>
      </c>
      <c r="G368" s="3267">
        <v>0.15</v>
      </c>
    </row>
    <row r="369" spans="1:7">
      <c r="A369" s="3276" t="s">
        <v>2850</v>
      </c>
      <c r="B369" s="3265" t="s">
        <v>214</v>
      </c>
      <c r="C369" s="3266">
        <v>0.15</v>
      </c>
      <c r="D369" s="3266">
        <v>0.15</v>
      </c>
      <c r="E369" s="3266">
        <v>0.15</v>
      </c>
      <c r="F369" s="3266">
        <v>0.14399999999999999</v>
      </c>
      <c r="G369" s="3267">
        <v>0.15</v>
      </c>
    </row>
    <row r="370" spans="1:7">
      <c r="A370" s="3276" t="s">
        <v>2850</v>
      </c>
      <c r="B370" s="3265" t="s">
        <v>221</v>
      </c>
      <c r="C370" s="3266">
        <v>0.15</v>
      </c>
      <c r="D370" s="3266">
        <v>0.15</v>
      </c>
      <c r="E370" s="3266">
        <v>0.15</v>
      </c>
      <c r="F370" s="3266">
        <v>0.14599999999999999</v>
      </c>
      <c r="G370" s="3267">
        <v>0.15</v>
      </c>
    </row>
    <row r="371" spans="1:7">
      <c r="A371" s="3276" t="s">
        <v>2850</v>
      </c>
      <c r="B371" s="3265" t="s">
        <v>229</v>
      </c>
      <c r="C371" s="3266">
        <v>0.15</v>
      </c>
      <c r="D371" s="3266">
        <v>0.15</v>
      </c>
      <c r="E371" s="3266">
        <v>0.15</v>
      </c>
      <c r="F371" s="3266">
        <v>0.12</v>
      </c>
      <c r="G371" s="3267">
        <v>0.15</v>
      </c>
    </row>
    <row r="372" spans="1:7">
      <c r="A372" s="3276" t="s">
        <v>2850</v>
      </c>
      <c r="B372" s="3265" t="s">
        <v>2911</v>
      </c>
      <c r="C372" s="3266">
        <v>0.15</v>
      </c>
      <c r="D372" s="3266">
        <v>0.15</v>
      </c>
      <c r="E372" s="3266">
        <v>0.15</v>
      </c>
      <c r="F372" s="3266">
        <v>0.14299999999999999</v>
      </c>
      <c r="G372" s="3267">
        <v>0.15</v>
      </c>
    </row>
    <row r="373" spans="1:7">
      <c r="A373" s="3276" t="s">
        <v>2850</v>
      </c>
      <c r="B373" s="3265" t="s">
        <v>258</v>
      </c>
      <c r="C373" s="3266">
        <v>0.15</v>
      </c>
      <c r="D373" s="3266">
        <v>0.15</v>
      </c>
      <c r="E373" s="3266">
        <v>0.15</v>
      </c>
      <c r="F373" s="3266">
        <v>0.14599999999999999</v>
      </c>
      <c r="G373" s="3267">
        <v>0.15</v>
      </c>
    </row>
    <row r="374" spans="1:7">
      <c r="A374" s="3276" t="s">
        <v>2850</v>
      </c>
      <c r="B374" s="3265" t="s">
        <v>266</v>
      </c>
      <c r="C374" s="3266">
        <v>0.15</v>
      </c>
      <c r="D374" s="3266">
        <v>0.15</v>
      </c>
      <c r="E374" s="3266">
        <v>0.15</v>
      </c>
      <c r="F374" s="3266">
        <v>0.14399999999999999</v>
      </c>
      <c r="G374" s="3267">
        <v>0.15</v>
      </c>
    </row>
    <row r="375" spans="1:7">
      <c r="A375" s="3276" t="s">
        <v>2850</v>
      </c>
      <c r="B375" s="3265" t="s">
        <v>2919</v>
      </c>
      <c r="C375" s="3266">
        <v>0.15</v>
      </c>
      <c r="D375" s="3266">
        <v>0.15</v>
      </c>
      <c r="E375" s="3266">
        <v>0.15</v>
      </c>
      <c r="F375" s="3266">
        <v>0.13</v>
      </c>
      <c r="G375" s="3267">
        <v>0.15</v>
      </c>
    </row>
    <row r="376" spans="1:7">
      <c r="A376" s="3276" t="s">
        <v>2850</v>
      </c>
      <c r="B376" s="3265" t="s">
        <v>277</v>
      </c>
      <c r="C376" s="3266">
        <v>0.15</v>
      </c>
      <c r="D376" s="3266">
        <v>0.15</v>
      </c>
      <c r="E376" s="3266">
        <v>0.15</v>
      </c>
      <c r="F376" s="3266">
        <v>0.14199999999999999</v>
      </c>
      <c r="G376" s="3267">
        <v>0.15</v>
      </c>
    </row>
    <row r="377" spans="1:7" ht="15" thickBot="1">
      <c r="A377" s="3279" t="s">
        <v>2850</v>
      </c>
      <c r="B377" s="3269" t="s">
        <v>2925</v>
      </c>
      <c r="C377" s="3270">
        <v>0.15</v>
      </c>
      <c r="D377" s="3270">
        <v>0.15</v>
      </c>
      <c r="E377" s="3270">
        <v>0.15</v>
      </c>
      <c r="F377" s="3270">
        <v>0.14000000000000001</v>
      </c>
      <c r="G377" s="3272">
        <v>0.15</v>
      </c>
    </row>
    <row r="378" spans="1:7">
      <c r="A378" s="3275" t="s">
        <v>2851</v>
      </c>
      <c r="B378" s="3261" t="s">
        <v>2865</v>
      </c>
      <c r="C378" s="3262">
        <v>0.15</v>
      </c>
      <c r="D378" s="3262">
        <v>0.15</v>
      </c>
      <c r="E378" s="3262">
        <v>0.15</v>
      </c>
      <c r="F378" s="3262">
        <v>0.107</v>
      </c>
      <c r="G378" s="3263">
        <v>0.15</v>
      </c>
    </row>
    <row r="379" spans="1:7">
      <c r="A379" s="3276" t="s">
        <v>2851</v>
      </c>
      <c r="B379" s="3265" t="s">
        <v>2871</v>
      </c>
      <c r="C379" s="3266">
        <v>0.15</v>
      </c>
      <c r="D379" s="3266">
        <v>0.15</v>
      </c>
      <c r="E379" s="3266">
        <v>0.15</v>
      </c>
      <c r="F379" s="3266">
        <v>0.115</v>
      </c>
      <c r="G379" s="3267">
        <v>0.14899999999999999</v>
      </c>
    </row>
    <row r="380" spans="1:7">
      <c r="A380" s="3276" t="s">
        <v>2851</v>
      </c>
      <c r="B380" s="3265" t="s">
        <v>2877</v>
      </c>
      <c r="C380" s="3266">
        <v>0.15</v>
      </c>
      <c r="D380" s="3266">
        <v>0.15</v>
      </c>
      <c r="E380" s="3266">
        <v>0.15</v>
      </c>
      <c r="F380" s="3266">
        <v>0.1</v>
      </c>
      <c r="G380" s="3267">
        <v>0.14799999999999999</v>
      </c>
    </row>
    <row r="381" spans="1:7">
      <c r="A381" s="3276" t="s">
        <v>2851</v>
      </c>
      <c r="B381" s="3265" t="s">
        <v>2880</v>
      </c>
      <c r="C381" s="3266">
        <v>0.15</v>
      </c>
      <c r="D381" s="3266">
        <v>0.15</v>
      </c>
      <c r="E381" s="3266">
        <v>0.15</v>
      </c>
      <c r="F381" s="3266">
        <v>0.126</v>
      </c>
      <c r="G381" s="3267">
        <v>0.15</v>
      </c>
    </row>
    <row r="382" spans="1:7">
      <c r="A382" s="3276" t="s">
        <v>2851</v>
      </c>
      <c r="B382" s="3265" t="s">
        <v>2884</v>
      </c>
      <c r="C382" s="3266">
        <v>0.15</v>
      </c>
      <c r="D382" s="3266">
        <v>0.15</v>
      </c>
      <c r="E382" s="3266">
        <v>0.15</v>
      </c>
      <c r="F382" s="3266">
        <v>0.15</v>
      </c>
      <c r="G382" s="3267">
        <v>0.15</v>
      </c>
    </row>
    <row r="383" spans="1:7">
      <c r="A383" s="3276" t="s">
        <v>2851</v>
      </c>
      <c r="B383" s="3265" t="s">
        <v>2889</v>
      </c>
      <c r="C383" s="3266">
        <v>0.15</v>
      </c>
      <c r="D383" s="3266">
        <v>0.15</v>
      </c>
      <c r="E383" s="3266">
        <v>0.15</v>
      </c>
      <c r="F383" s="3266">
        <v>0.14699999999999999</v>
      </c>
      <c r="G383" s="3267">
        <v>0.15</v>
      </c>
    </row>
    <row r="384" spans="1:7" ht="15" thickBot="1">
      <c r="A384" s="3286" t="s">
        <v>2851</v>
      </c>
      <c r="B384" s="3287" t="s">
        <v>2893</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baseColWidth="10" defaultColWidth="13.1640625" defaultRowHeight="14"/>
  <cols>
    <col min="1" max="16384" width="13.1640625" style="3291"/>
  </cols>
  <sheetData>
    <row r="1" spans="1:6">
      <c r="A1" s="3780" t="s">
        <v>3232</v>
      </c>
      <c r="B1" s="3780"/>
      <c r="C1" s="3780"/>
      <c r="D1" s="3780"/>
      <c r="E1" s="3780"/>
      <c r="F1" s="3781"/>
    </row>
    <row r="2" spans="1:6">
      <c r="A2" s="3292" t="s">
        <v>3233</v>
      </c>
      <c r="B2" s="3293"/>
      <c r="C2" s="3293"/>
      <c r="D2" s="3293"/>
      <c r="E2" s="3293"/>
      <c r="F2" s="3293"/>
    </row>
    <row r="3" spans="1:6">
      <c r="A3" s="3292" t="s">
        <v>3234</v>
      </c>
      <c r="B3" s="3293"/>
      <c r="C3" s="3293"/>
      <c r="D3" s="3293"/>
      <c r="E3" s="3293"/>
      <c r="F3" s="3294" t="s">
        <v>3235</v>
      </c>
    </row>
    <row r="4" spans="1:6">
      <c r="A4" s="3295" t="s">
        <v>672</v>
      </c>
      <c r="B4" s="3295" t="s">
        <v>673</v>
      </c>
      <c r="C4" s="3295" t="s">
        <v>21</v>
      </c>
      <c r="D4" s="3295" t="s">
        <v>674</v>
      </c>
      <c r="E4" s="3295" t="s">
        <v>3</v>
      </c>
      <c r="F4" s="3295" t="s">
        <v>3236</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9" sqref="A9:XFD9"/>
    </sheetView>
  </sheetViews>
  <sheetFormatPr baseColWidth="10" defaultColWidth="8.83203125" defaultRowHeight="14"/>
  <cols>
    <col min="1" max="1" width="13.83203125" customWidth="1"/>
  </cols>
  <sheetData>
    <row r="1" spans="1:30">
      <c r="A1" s="3222">
        <f>基准地价修正!G23</f>
        <v>44916</v>
      </c>
      <c r="B1" s="3211" t="s">
        <v>2838</v>
      </c>
      <c r="C1" s="3212"/>
      <c r="D1" s="3212"/>
      <c r="E1" s="3212"/>
      <c r="F1" s="3212"/>
      <c r="G1" s="3212"/>
      <c r="H1" s="3212"/>
      <c r="I1" s="3212"/>
      <c r="J1" s="3165"/>
      <c r="K1" s="3212" t="s">
        <v>454</v>
      </c>
      <c r="L1" s="3212"/>
      <c r="M1" s="3212"/>
      <c r="N1" s="3212"/>
      <c r="O1" s="3212"/>
      <c r="P1" s="3212"/>
      <c r="Q1" s="3165"/>
      <c r="R1" s="3782" t="s">
        <v>456</v>
      </c>
      <c r="S1" s="3783"/>
      <c r="T1" s="3783"/>
      <c r="U1" s="3783"/>
      <c r="V1" s="3783"/>
      <c r="W1" s="3783"/>
      <c r="X1" s="3165"/>
      <c r="Y1" s="3782" t="s">
        <v>457</v>
      </c>
      <c r="Z1" s="3783"/>
      <c r="AA1" s="3783"/>
      <c r="AB1" s="3783"/>
      <c r="AC1" s="3783"/>
      <c r="AD1" s="3783"/>
    </row>
    <row r="2" spans="1:30" s="3143" customFormat="1" ht="15" thickBot="1">
      <c r="B2" s="3144"/>
      <c r="C2" s="3145"/>
      <c r="D2" s="3146" t="s">
        <v>2804</v>
      </c>
      <c r="E2" s="3147" t="s">
        <v>2805</v>
      </c>
      <c r="F2" s="3147" t="s">
        <v>2806</v>
      </c>
      <c r="G2" s="3147" t="s">
        <v>2807</v>
      </c>
      <c r="H2" s="3147" t="s">
        <v>2808</v>
      </c>
      <c r="I2" s="3147" t="s">
        <v>2625</v>
      </c>
      <c r="J2" s="3148"/>
      <c r="K2" s="3146" t="s">
        <v>2804</v>
      </c>
      <c r="L2" s="3147" t="s">
        <v>2805</v>
      </c>
      <c r="M2" s="3147" t="s">
        <v>2806</v>
      </c>
      <c r="N2" s="3147" t="s">
        <v>2807</v>
      </c>
      <c r="O2" s="3147" t="s">
        <v>2809</v>
      </c>
      <c r="P2" s="3147" t="s">
        <v>2625</v>
      </c>
      <c r="Q2" s="3148"/>
      <c r="R2" s="3146" t="s">
        <v>2804</v>
      </c>
      <c r="S2" s="3147" t="s">
        <v>2805</v>
      </c>
      <c r="T2" s="3147" t="s">
        <v>2806</v>
      </c>
      <c r="U2" s="3147" t="s">
        <v>2810</v>
      </c>
      <c r="V2" s="3147" t="s">
        <v>2811</v>
      </c>
      <c r="W2" s="3147" t="s">
        <v>2625</v>
      </c>
      <c r="X2" s="3148"/>
      <c r="Y2" s="3146" t="s">
        <v>2804</v>
      </c>
      <c r="Z2" s="3147" t="s">
        <v>2805</v>
      </c>
      <c r="AA2" s="3147" t="s">
        <v>2806</v>
      </c>
      <c r="AB2" s="3147" t="s">
        <v>2812</v>
      </c>
      <c r="AC2" s="3147" t="s">
        <v>2811</v>
      </c>
      <c r="AD2" s="3147" t="s">
        <v>2625</v>
      </c>
    </row>
    <row r="3" spans="1:30" s="3161" customFormat="1">
      <c r="A3" s="3149" t="s">
        <v>2813</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3">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c r="A5" s="3176" t="s">
        <v>2814</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c r="A6" s="3176" t="s">
        <v>2815</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c r="A7" s="3187" t="s">
        <v>3355</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c r="A8" s="3176" t="s">
        <v>3356</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c r="A9" s="3176" t="s">
        <v>2816</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c r="A10" s="3176" t="s">
        <v>2817</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c r="A11" s="3176" t="s">
        <v>2818</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c r="A12" s="3176" t="s">
        <v>2819</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ht="15" thickBot="1">
      <c r="A13" s="3198" t="s">
        <v>2820</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5" thickTop="1"/>
    <row r="15" spans="1:30" s="3009" customFormat="1"/>
    <row r="16" spans="1:30" s="3009" customFormat="1">
      <c r="I16" s="3209" t="s">
        <v>2821</v>
      </c>
    </row>
    <row r="17" spans="1:30" s="3009" customFormat="1"/>
    <row r="18" spans="1:30" s="3210" customFormat="1">
      <c r="B18" s="3211" t="s">
        <v>2822</v>
      </c>
      <c r="C18" s="3212"/>
      <c r="D18" s="3212"/>
      <c r="E18" s="3212"/>
      <c r="F18" s="3212"/>
      <c r="G18" s="3212"/>
      <c r="H18" s="3212"/>
      <c r="I18" s="3212"/>
      <c r="J18" s="3165"/>
      <c r="K18" s="3212" t="s">
        <v>2823</v>
      </c>
      <c r="L18" s="3212"/>
      <c r="M18" s="3212"/>
      <c r="N18" s="3212"/>
      <c r="O18" s="3212"/>
      <c r="P18" s="3212"/>
      <c r="Q18" s="3165"/>
      <c r="R18" s="3782" t="s">
        <v>2824</v>
      </c>
      <c r="S18" s="3783"/>
      <c r="T18" s="3783"/>
      <c r="U18" s="3783"/>
      <c r="V18" s="3783"/>
      <c r="W18" s="3783"/>
      <c r="X18" s="3165"/>
      <c r="Y18" s="3782" t="s">
        <v>2825</v>
      </c>
      <c r="Z18" s="3783"/>
      <c r="AA18" s="3783"/>
      <c r="AB18" s="3783"/>
      <c r="AC18" s="3783"/>
      <c r="AD18" s="3783"/>
    </row>
    <row r="19" spans="1:30" s="3143" customFormat="1" ht="15" thickBot="1">
      <c r="B19" s="3144"/>
      <c r="C19" s="3145"/>
      <c r="D19" s="3146" t="s">
        <v>2826</v>
      </c>
      <c r="E19" s="3147" t="s">
        <v>2827</v>
      </c>
      <c r="F19" s="3147" t="s">
        <v>2828</v>
      </c>
      <c r="G19" s="3147" t="s">
        <v>2829</v>
      </c>
      <c r="H19" s="3147"/>
      <c r="I19" s="3147" t="s">
        <v>2830</v>
      </c>
      <c r="J19" s="3148"/>
      <c r="K19" s="3146" t="s">
        <v>2826</v>
      </c>
      <c r="L19" s="3147" t="s">
        <v>2827</v>
      </c>
      <c r="M19" s="3147" t="s">
        <v>2828</v>
      </c>
      <c r="N19" s="3147" t="s">
        <v>2829</v>
      </c>
      <c r="O19" s="3147"/>
      <c r="P19" s="3147" t="s">
        <v>2830</v>
      </c>
      <c r="Q19" s="3148"/>
      <c r="R19" s="3146" t="s">
        <v>2826</v>
      </c>
      <c r="S19" s="3147" t="s">
        <v>2827</v>
      </c>
      <c r="T19" s="3147" t="s">
        <v>2828</v>
      </c>
      <c r="U19" s="3147" t="s">
        <v>2829</v>
      </c>
      <c r="V19" s="3147"/>
      <c r="W19" s="3147" t="s">
        <v>2830</v>
      </c>
      <c r="X19" s="3148"/>
      <c r="Y19" s="3146" t="s">
        <v>2826</v>
      </c>
      <c r="Z19" s="3147" t="s">
        <v>2827</v>
      </c>
      <c r="AA19" s="3147" t="s">
        <v>2828</v>
      </c>
      <c r="AB19" s="3147" t="s">
        <v>2829</v>
      </c>
      <c r="AC19" s="3147"/>
      <c r="AD19" s="3147" t="s">
        <v>2830</v>
      </c>
    </row>
    <row r="20" spans="1:30" s="3161" customFormat="1">
      <c r="A20" s="3149" t="s">
        <v>2831</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3">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c r="A22" s="3176" t="s">
        <v>2832</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c r="A23" s="3176" t="s">
        <v>2833</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c r="A24" s="3187" t="s">
        <v>3357</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c r="A25" s="3176" t="s">
        <v>3356</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c r="A26" s="3176" t="s">
        <v>2834</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c r="A27" s="3176" t="s">
        <v>2835</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c r="A28" s="3176" t="s">
        <v>2836</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c r="A29" s="3176" t="s">
        <v>2837</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ht="15" thickBot="1">
      <c r="A30" s="3198" t="s">
        <v>2820</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baseColWidth="10" defaultColWidth="9" defaultRowHeight="13"/>
  <cols>
    <col min="1" max="1" width="9" style="2192"/>
    <col min="2" max="6" width="9" style="2192" customWidth="1"/>
    <col min="7" max="7" width="9" style="2230"/>
    <col min="8" max="8" width="9" style="2192"/>
    <col min="9" max="12" width="9" style="2192" customWidth="1"/>
    <col min="13" max="13" width="2.1640625" style="2192" customWidth="1"/>
    <col min="14" max="14" width="9" style="2230" customWidth="1"/>
    <col min="15" max="17" width="9" style="2192" customWidth="1"/>
    <col min="18" max="18" width="2.33203125" style="2192" customWidth="1"/>
    <col min="19" max="19" width="7.1640625" style="2230" customWidth="1"/>
    <col min="20" max="22" width="7.1640625" style="2192" customWidth="1"/>
    <col min="23" max="23" width="24.1640625" style="2192" customWidth="1"/>
    <col min="24" max="25" width="9" style="2192"/>
    <col min="26" max="27" width="11.6640625" style="2192" customWidth="1"/>
    <col min="28" max="28" width="9" style="2192"/>
    <col min="29" max="29" width="2" style="2192" customWidth="1"/>
    <col min="30" max="16384" width="9" style="2192"/>
  </cols>
  <sheetData>
    <row r="1" spans="1:34" s="2171" customFormat="1" ht="14">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ht="14">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ht="14">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ht="14">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ht="14">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ht="14">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ht="14">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ht="14">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ht="14">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ht="14">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ht="14">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ht="14">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ht="14">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ht="14">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ht="14">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ht="14">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ht="1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ht="1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ht="1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ht="1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ht="1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ht="1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ht="1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ht="1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ht="1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ht="1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ht="1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ht="1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ht="1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ht="14">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ht="14">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ht="14">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ht="14">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ht="14">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ht="14">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ht="14">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ht="14">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ht="14">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ht="14">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ht="14">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ht="14">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ht="14">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ht="14">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ht="14">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ht="14">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ht="14">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ht="14">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ht="14">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ht="14">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ht="14">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ht="14">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ht="14">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ht="14">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4"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ht="14">
      <c r="A91" s="2290" t="s">
        <v>513</v>
      </c>
      <c r="G91" s="2292"/>
      <c r="N91" s="2292"/>
      <c r="S91" s="2292"/>
    </row>
    <row r="92" spans="1:26" s="2291" customFormat="1" ht="14">
      <c r="A92" s="2291" t="s">
        <v>514</v>
      </c>
      <c r="G92" s="2292"/>
      <c r="N92" s="2292"/>
      <c r="S92" s="2292"/>
    </row>
    <row r="93" spans="1:26" s="2291" customFormat="1" ht="14">
      <c r="A93" s="2291" t="s">
        <v>515</v>
      </c>
      <c r="G93" s="2292"/>
      <c r="I93" s="2293"/>
      <c r="J93" s="2293"/>
      <c r="K93" s="2293"/>
      <c r="L93" s="2293"/>
      <c r="N93" s="2294"/>
      <c r="O93" s="2293"/>
      <c r="P93" s="2293"/>
      <c r="Q93" s="2293"/>
      <c r="S93" s="2294"/>
      <c r="T93" s="2293"/>
      <c r="U93" s="2293"/>
      <c r="V93" s="2293"/>
    </row>
    <row r="94" spans="1:26" s="2291" customFormat="1" ht="14">
      <c r="A94" s="2291" t="s">
        <v>516</v>
      </c>
      <c r="G94" s="2292"/>
      <c r="N94" s="2292"/>
      <c r="S94" s="2292"/>
    </row>
    <row r="101" spans="7:22" ht="14" thickBot="1"/>
    <row r="102" spans="7:22" ht="15">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4"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baseColWidth="10" defaultColWidth="8.83203125" defaultRowHeight="14"/>
  <cols>
    <col min="1" max="1" width="4.83203125" style="1242" customWidth="1"/>
    <col min="2" max="2" width="13.1640625" style="1248" customWidth="1"/>
    <col min="3" max="3" width="15.6640625" style="1248" customWidth="1"/>
    <col min="4" max="4" width="9.33203125" style="1248" bestFit="1" customWidth="1"/>
    <col min="5" max="5" width="13.5" style="1248" customWidth="1"/>
    <col min="6" max="6" width="9" style="1248"/>
    <col min="7" max="7" width="9.33203125" style="1248" bestFit="1" customWidth="1"/>
    <col min="8" max="8" width="12.1640625" style="1248" customWidth="1"/>
    <col min="9" max="9" width="9" style="1248"/>
    <col min="10" max="10" width="9.33203125" style="1248" bestFit="1" customWidth="1"/>
    <col min="11" max="11" width="4" style="1242" customWidth="1"/>
    <col min="12" max="12" width="5.1640625" style="1248" customWidth="1"/>
    <col min="13" max="13" width="13.6640625" style="1248" customWidth="1"/>
    <col min="14" max="256" width="9" style="1248"/>
    <col min="257" max="257" width="4.83203125" style="1239" customWidth="1"/>
    <col min="258" max="258" width="13.1640625" style="1239" customWidth="1"/>
    <col min="259" max="259" width="15.6640625" style="1239" customWidth="1"/>
    <col min="260" max="260" width="9.33203125" style="1239" bestFit="1" customWidth="1"/>
    <col min="261" max="261" width="13.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640625" style="1239" customWidth="1"/>
    <col min="269" max="269" width="13.6640625" style="1239" customWidth="1"/>
    <col min="270" max="512" width="9" style="1239"/>
    <col min="513" max="513" width="4.83203125" style="1239" customWidth="1"/>
    <col min="514" max="514" width="13.1640625" style="1239" customWidth="1"/>
    <col min="515" max="515" width="15.6640625" style="1239" customWidth="1"/>
    <col min="516" max="516" width="9.33203125" style="1239" bestFit="1" customWidth="1"/>
    <col min="517" max="517" width="13.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640625" style="1239" customWidth="1"/>
    <col min="525" max="525" width="13.6640625" style="1239" customWidth="1"/>
    <col min="526" max="768" width="9" style="1239"/>
    <col min="769" max="769" width="4.83203125" style="1239" customWidth="1"/>
    <col min="770" max="770" width="13.1640625" style="1239" customWidth="1"/>
    <col min="771" max="771" width="15.6640625" style="1239" customWidth="1"/>
    <col min="772" max="772" width="9.33203125" style="1239" bestFit="1" customWidth="1"/>
    <col min="773" max="773" width="13.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640625" style="1239" customWidth="1"/>
    <col min="781" max="781" width="13.6640625" style="1239" customWidth="1"/>
    <col min="782" max="1024" width="9" style="1239"/>
    <col min="1025" max="1025" width="4.83203125" style="1239" customWidth="1"/>
    <col min="1026" max="1026" width="13.1640625" style="1239" customWidth="1"/>
    <col min="1027" max="1027" width="15.6640625" style="1239" customWidth="1"/>
    <col min="1028" max="1028" width="9.33203125" style="1239" bestFit="1" customWidth="1"/>
    <col min="1029" max="1029" width="13.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640625" style="1239" customWidth="1"/>
    <col min="1037" max="1037" width="13.6640625" style="1239" customWidth="1"/>
    <col min="1038" max="1280" width="9" style="1239"/>
    <col min="1281" max="1281" width="4.83203125" style="1239" customWidth="1"/>
    <col min="1282" max="1282" width="13.1640625" style="1239" customWidth="1"/>
    <col min="1283" max="1283" width="15.6640625" style="1239" customWidth="1"/>
    <col min="1284" max="1284" width="9.33203125" style="1239" bestFit="1" customWidth="1"/>
    <col min="1285" max="1285" width="13.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640625" style="1239" customWidth="1"/>
    <col min="1293" max="1293" width="13.6640625" style="1239" customWidth="1"/>
    <col min="1294" max="1536" width="9" style="1239"/>
    <col min="1537" max="1537" width="4.83203125" style="1239" customWidth="1"/>
    <col min="1538" max="1538" width="13.1640625" style="1239" customWidth="1"/>
    <col min="1539" max="1539" width="15.6640625" style="1239" customWidth="1"/>
    <col min="1540" max="1540" width="9.33203125" style="1239" bestFit="1" customWidth="1"/>
    <col min="1541" max="1541" width="13.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640625" style="1239" customWidth="1"/>
    <col min="1549" max="1549" width="13.6640625" style="1239" customWidth="1"/>
    <col min="1550" max="1792" width="9" style="1239"/>
    <col min="1793" max="1793" width="4.83203125" style="1239" customWidth="1"/>
    <col min="1794" max="1794" width="13.1640625" style="1239" customWidth="1"/>
    <col min="1795" max="1795" width="15.6640625" style="1239" customWidth="1"/>
    <col min="1796" max="1796" width="9.33203125" style="1239" bestFit="1" customWidth="1"/>
    <col min="1797" max="1797" width="13.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640625" style="1239" customWidth="1"/>
    <col min="1805" max="1805" width="13.6640625" style="1239" customWidth="1"/>
    <col min="1806" max="2048" width="9" style="1239"/>
    <col min="2049" max="2049" width="4.83203125" style="1239" customWidth="1"/>
    <col min="2050" max="2050" width="13.1640625" style="1239" customWidth="1"/>
    <col min="2051" max="2051" width="15.6640625" style="1239" customWidth="1"/>
    <col min="2052" max="2052" width="9.33203125" style="1239" bestFit="1" customWidth="1"/>
    <col min="2053" max="2053" width="13.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640625" style="1239" customWidth="1"/>
    <col min="2061" max="2061" width="13.6640625" style="1239" customWidth="1"/>
    <col min="2062" max="2304" width="9" style="1239"/>
    <col min="2305" max="2305" width="4.83203125" style="1239" customWidth="1"/>
    <col min="2306" max="2306" width="13.1640625" style="1239" customWidth="1"/>
    <col min="2307" max="2307" width="15.6640625" style="1239" customWidth="1"/>
    <col min="2308" max="2308" width="9.33203125" style="1239" bestFit="1" customWidth="1"/>
    <col min="2309" max="2309" width="13.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640625" style="1239" customWidth="1"/>
    <col min="2317" max="2317" width="13.6640625" style="1239" customWidth="1"/>
    <col min="2318" max="2560" width="9" style="1239"/>
    <col min="2561" max="2561" width="4.83203125" style="1239" customWidth="1"/>
    <col min="2562" max="2562" width="13.1640625" style="1239" customWidth="1"/>
    <col min="2563" max="2563" width="15.6640625" style="1239" customWidth="1"/>
    <col min="2564" max="2564" width="9.33203125" style="1239" bestFit="1" customWidth="1"/>
    <col min="2565" max="2565" width="13.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640625" style="1239" customWidth="1"/>
    <col min="2573" max="2573" width="13.6640625" style="1239" customWidth="1"/>
    <col min="2574" max="2816" width="9" style="1239"/>
    <col min="2817" max="2817" width="4.83203125" style="1239" customWidth="1"/>
    <col min="2818" max="2818" width="13.1640625" style="1239" customWidth="1"/>
    <col min="2819" max="2819" width="15.6640625" style="1239" customWidth="1"/>
    <col min="2820" max="2820" width="9.33203125" style="1239" bestFit="1" customWidth="1"/>
    <col min="2821" max="2821" width="13.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640625" style="1239" customWidth="1"/>
    <col min="2829" max="2829" width="13.6640625" style="1239" customWidth="1"/>
    <col min="2830" max="3072" width="9" style="1239"/>
    <col min="3073" max="3073" width="4.83203125" style="1239" customWidth="1"/>
    <col min="3074" max="3074" width="13.1640625" style="1239" customWidth="1"/>
    <col min="3075" max="3075" width="15.6640625" style="1239" customWidth="1"/>
    <col min="3076" max="3076" width="9.33203125" style="1239" bestFit="1" customWidth="1"/>
    <col min="3077" max="3077" width="13.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640625" style="1239" customWidth="1"/>
    <col min="3085" max="3085" width="13.6640625" style="1239" customWidth="1"/>
    <col min="3086" max="3328" width="9" style="1239"/>
    <col min="3329" max="3329" width="4.83203125" style="1239" customWidth="1"/>
    <col min="3330" max="3330" width="13.1640625" style="1239" customWidth="1"/>
    <col min="3331" max="3331" width="15.6640625" style="1239" customWidth="1"/>
    <col min="3332" max="3332" width="9.33203125" style="1239" bestFit="1" customWidth="1"/>
    <col min="3333" max="3333" width="13.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640625" style="1239" customWidth="1"/>
    <col min="3341" max="3341" width="13.6640625" style="1239" customWidth="1"/>
    <col min="3342" max="3584" width="9" style="1239"/>
    <col min="3585" max="3585" width="4.83203125" style="1239" customWidth="1"/>
    <col min="3586" max="3586" width="13.1640625" style="1239" customWidth="1"/>
    <col min="3587" max="3587" width="15.6640625" style="1239" customWidth="1"/>
    <col min="3588" max="3588" width="9.33203125" style="1239" bestFit="1" customWidth="1"/>
    <col min="3589" max="3589" width="13.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640625" style="1239" customWidth="1"/>
    <col min="3597" max="3597" width="13.6640625" style="1239" customWidth="1"/>
    <col min="3598" max="3840" width="9" style="1239"/>
    <col min="3841" max="3841" width="4.83203125" style="1239" customWidth="1"/>
    <col min="3842" max="3842" width="13.1640625" style="1239" customWidth="1"/>
    <col min="3843" max="3843" width="15.6640625" style="1239" customWidth="1"/>
    <col min="3844" max="3844" width="9.33203125" style="1239" bestFit="1" customWidth="1"/>
    <col min="3845" max="3845" width="13.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640625" style="1239" customWidth="1"/>
    <col min="3853" max="3853" width="13.6640625" style="1239" customWidth="1"/>
    <col min="3854" max="4096" width="9" style="1239"/>
    <col min="4097" max="4097" width="4.83203125" style="1239" customWidth="1"/>
    <col min="4098" max="4098" width="13.1640625" style="1239" customWidth="1"/>
    <col min="4099" max="4099" width="15.6640625" style="1239" customWidth="1"/>
    <col min="4100" max="4100" width="9.33203125" style="1239" bestFit="1" customWidth="1"/>
    <col min="4101" max="4101" width="13.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640625" style="1239" customWidth="1"/>
    <col min="4109" max="4109" width="13.6640625" style="1239" customWidth="1"/>
    <col min="4110" max="4352" width="9" style="1239"/>
    <col min="4353" max="4353" width="4.83203125" style="1239" customWidth="1"/>
    <col min="4354" max="4354" width="13.1640625" style="1239" customWidth="1"/>
    <col min="4355" max="4355" width="15.6640625" style="1239" customWidth="1"/>
    <col min="4356" max="4356" width="9.33203125" style="1239" bestFit="1" customWidth="1"/>
    <col min="4357" max="4357" width="13.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640625" style="1239" customWidth="1"/>
    <col min="4365" max="4365" width="13.6640625" style="1239" customWidth="1"/>
    <col min="4366" max="4608" width="9" style="1239"/>
    <col min="4609" max="4609" width="4.83203125" style="1239" customWidth="1"/>
    <col min="4610" max="4610" width="13.1640625" style="1239" customWidth="1"/>
    <col min="4611" max="4611" width="15.6640625" style="1239" customWidth="1"/>
    <col min="4612" max="4612" width="9.33203125" style="1239" bestFit="1" customWidth="1"/>
    <col min="4613" max="4613" width="13.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640625" style="1239" customWidth="1"/>
    <col min="4621" max="4621" width="13.6640625" style="1239" customWidth="1"/>
    <col min="4622" max="4864" width="9" style="1239"/>
    <col min="4865" max="4865" width="4.83203125" style="1239" customWidth="1"/>
    <col min="4866" max="4866" width="13.1640625" style="1239" customWidth="1"/>
    <col min="4867" max="4867" width="15.6640625" style="1239" customWidth="1"/>
    <col min="4868" max="4868" width="9.33203125" style="1239" bestFit="1" customWidth="1"/>
    <col min="4869" max="4869" width="13.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640625" style="1239" customWidth="1"/>
    <col min="4877" max="4877" width="13.6640625" style="1239" customWidth="1"/>
    <col min="4878" max="5120" width="9" style="1239"/>
    <col min="5121" max="5121" width="4.83203125" style="1239" customWidth="1"/>
    <col min="5122" max="5122" width="13.1640625" style="1239" customWidth="1"/>
    <col min="5123" max="5123" width="15.6640625" style="1239" customWidth="1"/>
    <col min="5124" max="5124" width="9.33203125" style="1239" bestFit="1" customWidth="1"/>
    <col min="5125" max="5125" width="13.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640625" style="1239" customWidth="1"/>
    <col min="5133" max="5133" width="13.6640625" style="1239" customWidth="1"/>
    <col min="5134" max="5376" width="9" style="1239"/>
    <col min="5377" max="5377" width="4.83203125" style="1239" customWidth="1"/>
    <col min="5378" max="5378" width="13.1640625" style="1239" customWidth="1"/>
    <col min="5379" max="5379" width="15.6640625" style="1239" customWidth="1"/>
    <col min="5380" max="5380" width="9.33203125" style="1239" bestFit="1" customWidth="1"/>
    <col min="5381" max="5381" width="13.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640625" style="1239" customWidth="1"/>
    <col min="5389" max="5389" width="13.6640625" style="1239" customWidth="1"/>
    <col min="5390" max="5632" width="9" style="1239"/>
    <col min="5633" max="5633" width="4.83203125" style="1239" customWidth="1"/>
    <col min="5634" max="5634" width="13.1640625" style="1239" customWidth="1"/>
    <col min="5635" max="5635" width="15.6640625" style="1239" customWidth="1"/>
    <col min="5636" max="5636" width="9.33203125" style="1239" bestFit="1" customWidth="1"/>
    <col min="5637" max="5637" width="13.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640625" style="1239" customWidth="1"/>
    <col min="5645" max="5645" width="13.6640625" style="1239" customWidth="1"/>
    <col min="5646" max="5888" width="9" style="1239"/>
    <col min="5889" max="5889" width="4.83203125" style="1239" customWidth="1"/>
    <col min="5890" max="5890" width="13.1640625" style="1239" customWidth="1"/>
    <col min="5891" max="5891" width="15.6640625" style="1239" customWidth="1"/>
    <col min="5892" max="5892" width="9.33203125" style="1239" bestFit="1" customWidth="1"/>
    <col min="5893" max="5893" width="13.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640625" style="1239" customWidth="1"/>
    <col min="5901" max="5901" width="13.6640625" style="1239" customWidth="1"/>
    <col min="5902" max="6144" width="9" style="1239"/>
    <col min="6145" max="6145" width="4.83203125" style="1239" customWidth="1"/>
    <col min="6146" max="6146" width="13.1640625" style="1239" customWidth="1"/>
    <col min="6147" max="6147" width="15.6640625" style="1239" customWidth="1"/>
    <col min="6148" max="6148" width="9.33203125" style="1239" bestFit="1" customWidth="1"/>
    <col min="6149" max="6149" width="13.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640625" style="1239" customWidth="1"/>
    <col min="6157" max="6157" width="13.6640625" style="1239" customWidth="1"/>
    <col min="6158" max="6400" width="9" style="1239"/>
    <col min="6401" max="6401" width="4.83203125" style="1239" customWidth="1"/>
    <col min="6402" max="6402" width="13.1640625" style="1239" customWidth="1"/>
    <col min="6403" max="6403" width="15.6640625" style="1239" customWidth="1"/>
    <col min="6404" max="6404" width="9.33203125" style="1239" bestFit="1" customWidth="1"/>
    <col min="6405" max="6405" width="13.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640625" style="1239" customWidth="1"/>
    <col min="6413" max="6413" width="13.6640625" style="1239" customWidth="1"/>
    <col min="6414" max="6656" width="9" style="1239"/>
    <col min="6657" max="6657" width="4.83203125" style="1239" customWidth="1"/>
    <col min="6658" max="6658" width="13.1640625" style="1239" customWidth="1"/>
    <col min="6659" max="6659" width="15.6640625" style="1239" customWidth="1"/>
    <col min="6660" max="6660" width="9.33203125" style="1239" bestFit="1" customWidth="1"/>
    <col min="6661" max="6661" width="13.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640625" style="1239" customWidth="1"/>
    <col min="6669" max="6669" width="13.6640625" style="1239" customWidth="1"/>
    <col min="6670" max="6912" width="9" style="1239"/>
    <col min="6913" max="6913" width="4.83203125" style="1239" customWidth="1"/>
    <col min="6914" max="6914" width="13.1640625" style="1239" customWidth="1"/>
    <col min="6915" max="6915" width="15.6640625" style="1239" customWidth="1"/>
    <col min="6916" max="6916" width="9.33203125" style="1239" bestFit="1" customWidth="1"/>
    <col min="6917" max="6917" width="13.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640625" style="1239" customWidth="1"/>
    <col min="6925" max="6925" width="13.6640625" style="1239" customWidth="1"/>
    <col min="6926" max="7168" width="9" style="1239"/>
    <col min="7169" max="7169" width="4.83203125" style="1239" customWidth="1"/>
    <col min="7170" max="7170" width="13.1640625" style="1239" customWidth="1"/>
    <col min="7171" max="7171" width="15.6640625" style="1239" customWidth="1"/>
    <col min="7172" max="7172" width="9.33203125" style="1239" bestFit="1" customWidth="1"/>
    <col min="7173" max="7173" width="13.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640625" style="1239" customWidth="1"/>
    <col min="7181" max="7181" width="13.6640625" style="1239" customWidth="1"/>
    <col min="7182" max="7424" width="9" style="1239"/>
    <col min="7425" max="7425" width="4.83203125" style="1239" customWidth="1"/>
    <col min="7426" max="7426" width="13.1640625" style="1239" customWidth="1"/>
    <col min="7427" max="7427" width="15.6640625" style="1239" customWidth="1"/>
    <col min="7428" max="7428" width="9.33203125" style="1239" bestFit="1" customWidth="1"/>
    <col min="7429" max="7429" width="13.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640625" style="1239" customWidth="1"/>
    <col min="7437" max="7437" width="13.6640625" style="1239" customWidth="1"/>
    <col min="7438" max="7680" width="9" style="1239"/>
    <col min="7681" max="7681" width="4.83203125" style="1239" customWidth="1"/>
    <col min="7682" max="7682" width="13.1640625" style="1239" customWidth="1"/>
    <col min="7683" max="7683" width="15.6640625" style="1239" customWidth="1"/>
    <col min="7684" max="7684" width="9.33203125" style="1239" bestFit="1" customWidth="1"/>
    <col min="7685" max="7685" width="13.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640625" style="1239" customWidth="1"/>
    <col min="7693" max="7693" width="13.6640625" style="1239" customWidth="1"/>
    <col min="7694" max="7936" width="9" style="1239"/>
    <col min="7937" max="7937" width="4.83203125" style="1239" customWidth="1"/>
    <col min="7938" max="7938" width="13.1640625" style="1239" customWidth="1"/>
    <col min="7939" max="7939" width="15.6640625" style="1239" customWidth="1"/>
    <col min="7940" max="7940" width="9.33203125" style="1239" bestFit="1" customWidth="1"/>
    <col min="7941" max="7941" width="13.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640625" style="1239" customWidth="1"/>
    <col min="7949" max="7949" width="13.6640625" style="1239" customWidth="1"/>
    <col min="7950" max="8192" width="9" style="1239"/>
    <col min="8193" max="8193" width="4.83203125" style="1239" customWidth="1"/>
    <col min="8194" max="8194" width="13.1640625" style="1239" customWidth="1"/>
    <col min="8195" max="8195" width="15.6640625" style="1239" customWidth="1"/>
    <col min="8196" max="8196" width="9.33203125" style="1239" bestFit="1" customWidth="1"/>
    <col min="8197" max="8197" width="13.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640625" style="1239" customWidth="1"/>
    <col min="8205" max="8205" width="13.6640625" style="1239" customWidth="1"/>
    <col min="8206" max="8448" width="9" style="1239"/>
    <col min="8449" max="8449" width="4.83203125" style="1239" customWidth="1"/>
    <col min="8450" max="8450" width="13.1640625" style="1239" customWidth="1"/>
    <col min="8451" max="8451" width="15.6640625" style="1239" customWidth="1"/>
    <col min="8452" max="8452" width="9.33203125" style="1239" bestFit="1" customWidth="1"/>
    <col min="8453" max="8453" width="13.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640625" style="1239" customWidth="1"/>
    <col min="8461" max="8461" width="13.6640625" style="1239" customWidth="1"/>
    <col min="8462" max="8704" width="9" style="1239"/>
    <col min="8705" max="8705" width="4.83203125" style="1239" customWidth="1"/>
    <col min="8706" max="8706" width="13.1640625" style="1239" customWidth="1"/>
    <col min="8707" max="8707" width="15.6640625" style="1239" customWidth="1"/>
    <col min="8708" max="8708" width="9.33203125" style="1239" bestFit="1" customWidth="1"/>
    <col min="8709" max="8709" width="13.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640625" style="1239" customWidth="1"/>
    <col min="8717" max="8717" width="13.6640625" style="1239" customWidth="1"/>
    <col min="8718" max="8960" width="9" style="1239"/>
    <col min="8961" max="8961" width="4.83203125" style="1239" customWidth="1"/>
    <col min="8962" max="8962" width="13.1640625" style="1239" customWidth="1"/>
    <col min="8963" max="8963" width="15.6640625" style="1239" customWidth="1"/>
    <col min="8964" max="8964" width="9.33203125" style="1239" bestFit="1" customWidth="1"/>
    <col min="8965" max="8965" width="13.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640625" style="1239" customWidth="1"/>
    <col min="8973" max="8973" width="13.6640625" style="1239" customWidth="1"/>
    <col min="8974" max="9216" width="9" style="1239"/>
    <col min="9217" max="9217" width="4.83203125" style="1239" customWidth="1"/>
    <col min="9218" max="9218" width="13.1640625" style="1239" customWidth="1"/>
    <col min="9219" max="9219" width="15.6640625" style="1239" customWidth="1"/>
    <col min="9220" max="9220" width="9.33203125" style="1239" bestFit="1" customWidth="1"/>
    <col min="9221" max="9221" width="13.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640625" style="1239" customWidth="1"/>
    <col min="9229" max="9229" width="13.6640625" style="1239" customWidth="1"/>
    <col min="9230" max="9472" width="9" style="1239"/>
    <col min="9473" max="9473" width="4.83203125" style="1239" customWidth="1"/>
    <col min="9474" max="9474" width="13.1640625" style="1239" customWidth="1"/>
    <col min="9475" max="9475" width="15.6640625" style="1239" customWidth="1"/>
    <col min="9476" max="9476" width="9.33203125" style="1239" bestFit="1" customWidth="1"/>
    <col min="9477" max="9477" width="13.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640625" style="1239" customWidth="1"/>
    <col min="9485" max="9485" width="13.6640625" style="1239" customWidth="1"/>
    <col min="9486" max="9728" width="9" style="1239"/>
    <col min="9729" max="9729" width="4.83203125" style="1239" customWidth="1"/>
    <col min="9730" max="9730" width="13.1640625" style="1239" customWidth="1"/>
    <col min="9731" max="9731" width="15.6640625" style="1239" customWidth="1"/>
    <col min="9732" max="9732" width="9.33203125" style="1239" bestFit="1" customWidth="1"/>
    <col min="9733" max="9733" width="13.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640625" style="1239" customWidth="1"/>
    <col min="9741" max="9741" width="13.6640625" style="1239" customWidth="1"/>
    <col min="9742" max="9984" width="9" style="1239"/>
    <col min="9985" max="9985" width="4.83203125" style="1239" customWidth="1"/>
    <col min="9986" max="9986" width="13.1640625" style="1239" customWidth="1"/>
    <col min="9987" max="9987" width="15.6640625" style="1239" customWidth="1"/>
    <col min="9988" max="9988" width="9.33203125" style="1239" bestFit="1" customWidth="1"/>
    <col min="9989" max="9989" width="13.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640625" style="1239" customWidth="1"/>
    <col min="9997" max="9997" width="13.6640625" style="1239" customWidth="1"/>
    <col min="9998" max="10240" width="9" style="1239"/>
    <col min="10241" max="10241" width="4.83203125" style="1239" customWidth="1"/>
    <col min="10242" max="10242" width="13.1640625" style="1239" customWidth="1"/>
    <col min="10243" max="10243" width="15.6640625" style="1239" customWidth="1"/>
    <col min="10244" max="10244" width="9.33203125" style="1239" bestFit="1" customWidth="1"/>
    <col min="10245" max="10245" width="13.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640625" style="1239" customWidth="1"/>
    <col min="10253" max="10253" width="13.6640625" style="1239" customWidth="1"/>
    <col min="10254" max="10496" width="9" style="1239"/>
    <col min="10497" max="10497" width="4.83203125" style="1239" customWidth="1"/>
    <col min="10498" max="10498" width="13.1640625" style="1239" customWidth="1"/>
    <col min="10499" max="10499" width="15.6640625" style="1239" customWidth="1"/>
    <col min="10500" max="10500" width="9.33203125" style="1239" bestFit="1" customWidth="1"/>
    <col min="10501" max="10501" width="13.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640625" style="1239" customWidth="1"/>
    <col min="10509" max="10509" width="13.6640625" style="1239" customWidth="1"/>
    <col min="10510" max="10752" width="9" style="1239"/>
    <col min="10753" max="10753" width="4.83203125" style="1239" customWidth="1"/>
    <col min="10754" max="10754" width="13.1640625" style="1239" customWidth="1"/>
    <col min="10755" max="10755" width="15.6640625" style="1239" customWidth="1"/>
    <col min="10756" max="10756" width="9.33203125" style="1239" bestFit="1" customWidth="1"/>
    <col min="10757" max="10757" width="13.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640625" style="1239" customWidth="1"/>
    <col min="10765" max="10765" width="13.6640625" style="1239" customWidth="1"/>
    <col min="10766" max="11008" width="9" style="1239"/>
    <col min="11009" max="11009" width="4.83203125" style="1239" customWidth="1"/>
    <col min="11010" max="11010" width="13.1640625" style="1239" customWidth="1"/>
    <col min="11011" max="11011" width="15.6640625" style="1239" customWidth="1"/>
    <col min="11012" max="11012" width="9.33203125" style="1239" bestFit="1" customWidth="1"/>
    <col min="11013" max="11013" width="13.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640625" style="1239" customWidth="1"/>
    <col min="11021" max="11021" width="13.6640625" style="1239" customWidth="1"/>
    <col min="11022" max="11264" width="9" style="1239"/>
    <col min="11265" max="11265" width="4.83203125" style="1239" customWidth="1"/>
    <col min="11266" max="11266" width="13.1640625" style="1239" customWidth="1"/>
    <col min="11267" max="11267" width="15.6640625" style="1239" customWidth="1"/>
    <col min="11268" max="11268" width="9.33203125" style="1239" bestFit="1" customWidth="1"/>
    <col min="11269" max="11269" width="13.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640625" style="1239" customWidth="1"/>
    <col min="11277" max="11277" width="13.6640625" style="1239" customWidth="1"/>
    <col min="11278" max="11520" width="9" style="1239"/>
    <col min="11521" max="11521" width="4.83203125" style="1239" customWidth="1"/>
    <col min="11522" max="11522" width="13.1640625" style="1239" customWidth="1"/>
    <col min="11523" max="11523" width="15.6640625" style="1239" customWidth="1"/>
    <col min="11524" max="11524" width="9.33203125" style="1239" bestFit="1" customWidth="1"/>
    <col min="11525" max="11525" width="13.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640625" style="1239" customWidth="1"/>
    <col min="11533" max="11533" width="13.6640625" style="1239" customWidth="1"/>
    <col min="11534" max="11776" width="9" style="1239"/>
    <col min="11777" max="11777" width="4.83203125" style="1239" customWidth="1"/>
    <col min="11778" max="11778" width="13.1640625" style="1239" customWidth="1"/>
    <col min="11779" max="11779" width="15.6640625" style="1239" customWidth="1"/>
    <col min="11780" max="11780" width="9.33203125" style="1239" bestFit="1" customWidth="1"/>
    <col min="11781" max="11781" width="13.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640625" style="1239" customWidth="1"/>
    <col min="11789" max="11789" width="13.6640625" style="1239" customWidth="1"/>
    <col min="11790" max="12032" width="9" style="1239"/>
    <col min="12033" max="12033" width="4.83203125" style="1239" customWidth="1"/>
    <col min="12034" max="12034" width="13.1640625" style="1239" customWidth="1"/>
    <col min="12035" max="12035" width="15.6640625" style="1239" customWidth="1"/>
    <col min="12036" max="12036" width="9.33203125" style="1239" bestFit="1" customWidth="1"/>
    <col min="12037" max="12037" width="13.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640625" style="1239" customWidth="1"/>
    <col min="12045" max="12045" width="13.6640625" style="1239" customWidth="1"/>
    <col min="12046" max="12288" width="9" style="1239"/>
    <col min="12289" max="12289" width="4.83203125" style="1239" customWidth="1"/>
    <col min="12290" max="12290" width="13.1640625" style="1239" customWidth="1"/>
    <col min="12291" max="12291" width="15.6640625" style="1239" customWidth="1"/>
    <col min="12292" max="12292" width="9.33203125" style="1239" bestFit="1" customWidth="1"/>
    <col min="12293" max="12293" width="13.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640625" style="1239" customWidth="1"/>
    <col min="12301" max="12301" width="13.6640625" style="1239" customWidth="1"/>
    <col min="12302" max="12544" width="9" style="1239"/>
    <col min="12545" max="12545" width="4.83203125" style="1239" customWidth="1"/>
    <col min="12546" max="12546" width="13.1640625" style="1239" customWidth="1"/>
    <col min="12547" max="12547" width="15.6640625" style="1239" customWidth="1"/>
    <col min="12548" max="12548" width="9.33203125" style="1239" bestFit="1" customWidth="1"/>
    <col min="12549" max="12549" width="13.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640625" style="1239" customWidth="1"/>
    <col min="12557" max="12557" width="13.6640625" style="1239" customWidth="1"/>
    <col min="12558" max="12800" width="9" style="1239"/>
    <col min="12801" max="12801" width="4.83203125" style="1239" customWidth="1"/>
    <col min="12802" max="12802" width="13.1640625" style="1239" customWidth="1"/>
    <col min="12803" max="12803" width="15.6640625" style="1239" customWidth="1"/>
    <col min="12804" max="12804" width="9.33203125" style="1239" bestFit="1" customWidth="1"/>
    <col min="12805" max="12805" width="13.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640625" style="1239" customWidth="1"/>
    <col min="12813" max="12813" width="13.6640625" style="1239" customWidth="1"/>
    <col min="12814" max="13056" width="9" style="1239"/>
    <col min="13057" max="13057" width="4.83203125" style="1239" customWidth="1"/>
    <col min="13058" max="13058" width="13.1640625" style="1239" customWidth="1"/>
    <col min="13059" max="13059" width="15.6640625" style="1239" customWidth="1"/>
    <col min="13060" max="13060" width="9.33203125" style="1239" bestFit="1" customWidth="1"/>
    <col min="13061" max="13061" width="13.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640625" style="1239" customWidth="1"/>
    <col min="13069" max="13069" width="13.6640625" style="1239" customWidth="1"/>
    <col min="13070" max="13312" width="9" style="1239"/>
    <col min="13313" max="13313" width="4.83203125" style="1239" customWidth="1"/>
    <col min="13314" max="13314" width="13.1640625" style="1239" customWidth="1"/>
    <col min="13315" max="13315" width="15.6640625" style="1239" customWidth="1"/>
    <col min="13316" max="13316" width="9.33203125" style="1239" bestFit="1" customWidth="1"/>
    <col min="13317" max="13317" width="13.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640625" style="1239" customWidth="1"/>
    <col min="13325" max="13325" width="13.6640625" style="1239" customWidth="1"/>
    <col min="13326" max="13568" width="9" style="1239"/>
    <col min="13569" max="13569" width="4.83203125" style="1239" customWidth="1"/>
    <col min="13570" max="13570" width="13.1640625" style="1239" customWidth="1"/>
    <col min="13571" max="13571" width="15.6640625" style="1239" customWidth="1"/>
    <col min="13572" max="13572" width="9.33203125" style="1239" bestFit="1" customWidth="1"/>
    <col min="13573" max="13573" width="13.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640625" style="1239" customWidth="1"/>
    <col min="13581" max="13581" width="13.6640625" style="1239" customWidth="1"/>
    <col min="13582" max="13824" width="9" style="1239"/>
    <col min="13825" max="13825" width="4.83203125" style="1239" customWidth="1"/>
    <col min="13826" max="13826" width="13.1640625" style="1239" customWidth="1"/>
    <col min="13827" max="13827" width="15.6640625" style="1239" customWidth="1"/>
    <col min="13828" max="13828" width="9.33203125" style="1239" bestFit="1" customWidth="1"/>
    <col min="13829" max="13829" width="13.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640625" style="1239" customWidth="1"/>
    <col min="13837" max="13837" width="13.6640625" style="1239" customWidth="1"/>
    <col min="13838" max="14080" width="9" style="1239"/>
    <col min="14081" max="14081" width="4.83203125" style="1239" customWidth="1"/>
    <col min="14082" max="14082" width="13.1640625" style="1239" customWidth="1"/>
    <col min="14083" max="14083" width="15.6640625" style="1239" customWidth="1"/>
    <col min="14084" max="14084" width="9.33203125" style="1239" bestFit="1" customWidth="1"/>
    <col min="14085" max="14085" width="13.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640625" style="1239" customWidth="1"/>
    <col min="14093" max="14093" width="13.6640625" style="1239" customWidth="1"/>
    <col min="14094" max="14336" width="9" style="1239"/>
    <col min="14337" max="14337" width="4.83203125" style="1239" customWidth="1"/>
    <col min="14338" max="14338" width="13.1640625" style="1239" customWidth="1"/>
    <col min="14339" max="14339" width="15.6640625" style="1239" customWidth="1"/>
    <col min="14340" max="14340" width="9.33203125" style="1239" bestFit="1" customWidth="1"/>
    <col min="14341" max="14341" width="13.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640625" style="1239" customWidth="1"/>
    <col min="14349" max="14349" width="13.6640625" style="1239" customWidth="1"/>
    <col min="14350" max="14592" width="9" style="1239"/>
    <col min="14593" max="14593" width="4.83203125" style="1239" customWidth="1"/>
    <col min="14594" max="14594" width="13.1640625" style="1239" customWidth="1"/>
    <col min="14595" max="14595" width="15.6640625" style="1239" customWidth="1"/>
    <col min="14596" max="14596" width="9.33203125" style="1239" bestFit="1" customWidth="1"/>
    <col min="14597" max="14597" width="13.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640625" style="1239" customWidth="1"/>
    <col min="14605" max="14605" width="13.6640625" style="1239" customWidth="1"/>
    <col min="14606" max="14848" width="9" style="1239"/>
    <col min="14849" max="14849" width="4.83203125" style="1239" customWidth="1"/>
    <col min="14850" max="14850" width="13.1640625" style="1239" customWidth="1"/>
    <col min="14851" max="14851" width="15.6640625" style="1239" customWidth="1"/>
    <col min="14852" max="14852" width="9.33203125" style="1239" bestFit="1" customWidth="1"/>
    <col min="14853" max="14853" width="13.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640625" style="1239" customWidth="1"/>
    <col min="14861" max="14861" width="13.6640625" style="1239" customWidth="1"/>
    <col min="14862" max="15104" width="9" style="1239"/>
    <col min="15105" max="15105" width="4.83203125" style="1239" customWidth="1"/>
    <col min="15106" max="15106" width="13.1640625" style="1239" customWidth="1"/>
    <col min="15107" max="15107" width="15.6640625" style="1239" customWidth="1"/>
    <col min="15108" max="15108" width="9.33203125" style="1239" bestFit="1" customWidth="1"/>
    <col min="15109" max="15109" width="13.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640625" style="1239" customWidth="1"/>
    <col min="15117" max="15117" width="13.6640625" style="1239" customWidth="1"/>
    <col min="15118" max="15360" width="9" style="1239"/>
    <col min="15361" max="15361" width="4.83203125" style="1239" customWidth="1"/>
    <col min="15362" max="15362" width="13.1640625" style="1239" customWidth="1"/>
    <col min="15363" max="15363" width="15.6640625" style="1239" customWidth="1"/>
    <col min="15364" max="15364" width="9.33203125" style="1239" bestFit="1" customWidth="1"/>
    <col min="15365" max="15365" width="13.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640625" style="1239" customWidth="1"/>
    <col min="15373" max="15373" width="13.6640625" style="1239" customWidth="1"/>
    <col min="15374" max="15616" width="9" style="1239"/>
    <col min="15617" max="15617" width="4.83203125" style="1239" customWidth="1"/>
    <col min="15618" max="15618" width="13.1640625" style="1239" customWidth="1"/>
    <col min="15619" max="15619" width="15.6640625" style="1239" customWidth="1"/>
    <col min="15620" max="15620" width="9.33203125" style="1239" bestFit="1" customWidth="1"/>
    <col min="15621" max="15621" width="13.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640625" style="1239" customWidth="1"/>
    <col min="15629" max="15629" width="13.6640625" style="1239" customWidth="1"/>
    <col min="15630" max="15872" width="9" style="1239"/>
    <col min="15873" max="15873" width="4.83203125" style="1239" customWidth="1"/>
    <col min="15874" max="15874" width="13.1640625" style="1239" customWidth="1"/>
    <col min="15875" max="15875" width="15.6640625" style="1239" customWidth="1"/>
    <col min="15876" max="15876" width="9.33203125" style="1239" bestFit="1" customWidth="1"/>
    <col min="15877" max="15877" width="13.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640625" style="1239" customWidth="1"/>
    <col min="15885" max="15885" width="13.6640625" style="1239" customWidth="1"/>
    <col min="15886" max="16128" width="9" style="1239"/>
    <col min="16129" max="16129" width="4.83203125" style="1239" customWidth="1"/>
    <col min="16130" max="16130" width="13.1640625" style="1239" customWidth="1"/>
    <col min="16131" max="16131" width="15.6640625" style="1239" customWidth="1"/>
    <col min="16132" max="16132" width="9.33203125" style="1239" bestFit="1" customWidth="1"/>
    <col min="16133" max="16133" width="13.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640625" style="1239" customWidth="1"/>
    <col min="16141" max="16141" width="13.6640625" style="1239" customWidth="1"/>
    <col min="16142" max="16384" width="9" style="1239"/>
  </cols>
  <sheetData>
    <row r="1" spans="1:257" s="1301" customFormat="1" ht="15" thickBot="1">
      <c r="A1" s="1295"/>
      <c r="B1" s="1302" t="s">
        <v>602</v>
      </c>
      <c r="C1" s="1296">
        <f>项目基本情况!D3</f>
        <v>44916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1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4">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ht="15">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6">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6">
      <c r="A21" s="1284"/>
      <c r="B21" s="2816" t="s">
        <v>2304</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ht="15">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ht="15">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ht="15">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ht="15">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ht="15">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ht="15">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ht="15">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ht="15">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ht="15">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ht="15">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ht="15">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477" customWidth="1"/>
    <col min="2" max="9" width="12.1640625" style="1477" customWidth="1"/>
    <col min="10" max="16384" width="9" style="1477"/>
  </cols>
  <sheetData>
    <row r="1" spans="1:9" ht="19"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7">
      <c r="A3" s="3469"/>
      <c r="B3" s="3469"/>
      <c r="C3" s="3469"/>
      <c r="D3" s="854" t="s">
        <v>925</v>
      </c>
      <c r="E3" s="854" t="s">
        <v>931</v>
      </c>
      <c r="F3" s="854" t="s">
        <v>925</v>
      </c>
      <c r="G3" s="854" t="s">
        <v>926</v>
      </c>
      <c r="H3" s="854" t="s">
        <v>925</v>
      </c>
      <c r="I3" s="854" t="s">
        <v>926</v>
      </c>
    </row>
    <row r="4" spans="1:9" ht="17">
      <c r="A4" s="1505" t="str">
        <f>项目基本情况!S2</f>
        <v>北京市房地产</v>
      </c>
      <c r="B4" s="854">
        <f>项目基本情况!C17</f>
        <v>25739.82</v>
      </c>
      <c r="C4" s="854">
        <f>项目基本情况!C18</f>
        <v>74231.63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6">
      <c r="A6" s="3470" t="str">
        <f>结果表!A120</f>
        <v>估价师知悉的法定优先受偿款</v>
      </c>
      <c r="B6" s="3470"/>
      <c r="C6" s="3470"/>
      <c r="D6" s="3470">
        <f>结果表!D120</f>
        <v>0</v>
      </c>
      <c r="E6" s="3470"/>
      <c r="F6" s="3470"/>
      <c r="G6" s="3470"/>
      <c r="H6" s="3470"/>
      <c r="I6" s="3470"/>
    </row>
    <row r="7" spans="1:9" ht="16">
      <c r="A7" s="3469" t="s">
        <v>927</v>
      </c>
      <c r="B7" s="3469"/>
      <c r="C7" s="3469"/>
      <c r="D7" s="3471" t="str">
        <f>结果表!D121</f>
        <v>零元整</v>
      </c>
      <c r="E7" s="3472"/>
      <c r="F7" s="3472"/>
      <c r="G7" s="3472"/>
      <c r="H7" s="3472"/>
      <c r="I7" s="3473"/>
    </row>
    <row r="8" spans="1:9" ht="16">
      <c r="A8" s="3470" t="str">
        <f>结果表!A122</f>
        <v>房地产抵押价值</v>
      </c>
      <c r="B8" s="3470"/>
      <c r="C8" s="3470"/>
      <c r="D8" s="3470" t="e">
        <f ca="1">结果表!D122</f>
        <v>#REF!</v>
      </c>
      <c r="E8" s="3470"/>
      <c r="F8" s="3470"/>
      <c r="G8" s="3470"/>
      <c r="H8" s="3470"/>
      <c r="I8" s="3470"/>
    </row>
    <row r="9" spans="1:9" ht="16">
      <c r="A9" s="3469" t="s">
        <v>927</v>
      </c>
      <c r="B9" s="3469"/>
      <c r="C9" s="3469"/>
      <c r="D9" s="3469" t="e">
        <f ca="1">结果表!D123</f>
        <v>#REF!</v>
      </c>
      <c r="E9" s="3469"/>
      <c r="F9" s="3469"/>
      <c r="G9" s="3469"/>
      <c r="H9" s="3469"/>
      <c r="I9" s="3469"/>
    </row>
    <row r="10" spans="1:9" ht="16">
      <c r="A10" s="3470" t="str">
        <f>结果表!A124</f>
        <v/>
      </c>
      <c r="B10" s="3470"/>
      <c r="C10" s="3470"/>
      <c r="D10" s="3470" t="str">
        <f>结果表!D124</f>
        <v>——</v>
      </c>
      <c r="E10" s="3470"/>
      <c r="F10" s="3470"/>
      <c r="G10" s="3470"/>
      <c r="H10" s="3470"/>
      <c r="I10" s="3470"/>
    </row>
    <row r="11" spans="1:9" ht="16">
      <c r="A11" s="3469" t="s">
        <v>927</v>
      </c>
      <c r="B11" s="3469"/>
      <c r="C11" s="3469"/>
      <c r="D11" s="3469" t="e">
        <f>结果表!D125</f>
        <v>#VALUE!</v>
      </c>
      <c r="E11" s="3469"/>
      <c r="F11" s="3469"/>
      <c r="G11" s="3469"/>
      <c r="H11" s="3469"/>
      <c r="I11" s="3469"/>
    </row>
    <row r="12" spans="1:9" ht="16">
      <c r="A12" s="3470" t="str">
        <f>结果表!A126</f>
        <v/>
      </c>
      <c r="B12" s="3470"/>
      <c r="C12" s="3470"/>
      <c r="D12" s="3470" t="str">
        <f>结果表!D126</f>
        <v>——</v>
      </c>
      <c r="E12" s="3470"/>
      <c r="F12" s="3470"/>
      <c r="G12" s="3470"/>
      <c r="H12" s="3470"/>
      <c r="I12" s="3470"/>
    </row>
    <row r="13" spans="1:9" ht="17"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477" customWidth="1"/>
    <col min="2" max="3" width="22.33203125" style="1477" customWidth="1"/>
    <col min="4" max="4" width="23" style="1477" customWidth="1"/>
    <col min="5" max="16384" width="9" style="1477"/>
  </cols>
  <sheetData>
    <row r="1" spans="1:4" ht="18">
      <c r="A1" s="3476" t="s">
        <v>949</v>
      </c>
      <c r="B1" s="3476"/>
      <c r="C1" s="3476"/>
      <c r="D1" s="3476"/>
    </row>
    <row r="2" spans="1:4" ht="18">
      <c r="A2" s="3477" t="s">
        <v>933</v>
      </c>
      <c r="B2" s="3477"/>
      <c r="C2" s="3477"/>
      <c r="D2" s="3477"/>
    </row>
    <row r="3" spans="1:4" ht="18">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
      <c r="A10" s="1516" t="s">
        <v>941</v>
      </c>
      <c r="B10" s="675"/>
      <c r="C10" s="675"/>
      <c r="D10" s="675"/>
    </row>
    <row r="11" spans="1:4" ht="30" customHeight="1">
      <c r="A11" s="3478" t="s">
        <v>942</v>
      </c>
      <c r="B11" s="3479"/>
      <c r="C11" s="3479"/>
      <c r="D11" s="3479"/>
    </row>
    <row r="12" spans="1:4" ht="16">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
      <c r="A25" s="1518" t="s">
        <v>946</v>
      </c>
    </row>
    <row r="26" spans="1:4" ht="18">
      <c r="A26" s="1487"/>
    </row>
    <row r="27" spans="1:4" ht="18">
      <c r="A27" s="1487" t="s">
        <v>947</v>
      </c>
    </row>
    <row r="30" spans="1:4" ht="18">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475" customWidth="1"/>
    <col min="3" max="10" width="12.5" style="1475" customWidth="1"/>
    <col min="11" max="16384" width="9" style="1475"/>
  </cols>
  <sheetData>
    <row r="1" spans="1:10" ht="17">
      <c r="A1" s="1508" t="s">
        <v>391</v>
      </c>
      <c r="B1" s="1519"/>
      <c r="C1" s="1519"/>
      <c r="D1" s="1519"/>
      <c r="E1" s="1519"/>
      <c r="F1" s="1519"/>
      <c r="G1" s="1519"/>
      <c r="H1" s="1519"/>
      <c r="I1" s="1519"/>
      <c r="J1" s="1519"/>
    </row>
    <row r="2" spans="1:10" ht="17">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525" customWidth="1"/>
    <col min="2" max="16384" width="14.5" style="1507"/>
  </cols>
  <sheetData>
    <row r="1" spans="1:7" s="1522" customFormat="1" ht="17">
      <c r="A1" s="1521" t="s">
        <v>950</v>
      </c>
    </row>
    <row r="3" spans="1:7" ht="16">
      <c r="A3" s="1523" t="s">
        <v>55</v>
      </c>
      <c r="B3" s="1507" t="s">
        <v>951</v>
      </c>
      <c r="G3" s="1524"/>
    </row>
    <row r="4" spans="1:7">
      <c r="G4" s="1524"/>
    </row>
    <row r="5" spans="1:7" ht="16">
      <c r="A5" s="1526" t="s">
        <v>46</v>
      </c>
      <c r="B5" s="1507" t="s">
        <v>952</v>
      </c>
      <c r="G5" s="1524"/>
    </row>
    <row r="6" spans="1:7">
      <c r="G6" s="1524"/>
    </row>
    <row r="7" spans="1:7" ht="16">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
      <c r="A15" s="3490" t="s">
        <v>956</v>
      </c>
      <c r="B15" s="3485" t="s">
        <v>109</v>
      </c>
      <c r="C15" s="3486"/>
    </row>
    <row r="16" spans="1:7" ht="14">
      <c r="A16" s="3491"/>
      <c r="B16" s="3485" t="s">
        <v>42</v>
      </c>
      <c r="C16" s="3486"/>
    </row>
    <row r="17" spans="1:3" ht="14">
      <c r="A17" s="3491"/>
      <c r="B17" s="3488" t="s">
        <v>957</v>
      </c>
      <c r="C17" s="1532" t="s">
        <v>956</v>
      </c>
    </row>
    <row r="18" spans="1:3" ht="14">
      <c r="A18" s="3491"/>
      <c r="B18" s="3488"/>
      <c r="C18" s="1532" t="s">
        <v>958</v>
      </c>
    </row>
    <row r="19" spans="1:3" ht="14">
      <c r="A19" s="3491"/>
      <c r="B19" s="3488"/>
      <c r="C19" s="1532" t="s">
        <v>959</v>
      </c>
    </row>
    <row r="20" spans="1:3" ht="14">
      <c r="A20" s="3492"/>
      <c r="B20" s="3487" t="s">
        <v>960</v>
      </c>
      <c r="C20" s="3486"/>
    </row>
    <row r="21" spans="1:3" ht="14">
      <c r="A21" s="1533" t="s">
        <v>961</v>
      </c>
      <c r="B21" s="1534"/>
      <c r="C21" s="1535"/>
    </row>
    <row r="22" spans="1:3" ht="14">
      <c r="A22" s="3489" t="s">
        <v>962</v>
      </c>
      <c r="B22" s="3487" t="s">
        <v>963</v>
      </c>
      <c r="C22" s="3486"/>
    </row>
    <row r="23" spans="1:3" ht="14">
      <c r="A23" s="3489"/>
      <c r="B23" s="3487" t="s">
        <v>964</v>
      </c>
      <c r="C23" s="3486"/>
    </row>
    <row r="24" spans="1:3" ht="14">
      <c r="A24" s="3489"/>
      <c r="B24" s="3487" t="s">
        <v>965</v>
      </c>
      <c r="C24" s="3486"/>
    </row>
    <row r="25" spans="1:3" ht="14">
      <c r="A25" s="3489"/>
      <c r="B25" s="3488" t="s">
        <v>966</v>
      </c>
      <c r="C25" s="1532" t="s">
        <v>967</v>
      </c>
    </row>
    <row r="26" spans="1:3" ht="14">
      <c r="A26" s="3489"/>
      <c r="B26" s="3488"/>
      <c r="C26" s="1532" t="s">
        <v>968</v>
      </c>
    </row>
    <row r="27" spans="1:3" ht="14">
      <c r="A27" s="3489"/>
      <c r="B27" s="3488"/>
      <c r="C27" s="1532" t="s">
        <v>969</v>
      </c>
    </row>
    <row r="28" spans="1:3" ht="14">
      <c r="A28" s="3489"/>
      <c r="B28" s="3488"/>
      <c r="C28" s="1532" t="s">
        <v>970</v>
      </c>
    </row>
    <row r="29" spans="1:3" ht="14">
      <c r="A29" s="3489"/>
      <c r="B29" s="3488"/>
      <c r="C29" s="1532" t="s">
        <v>971</v>
      </c>
    </row>
    <row r="30" spans="1:3" ht="14">
      <c r="A30" s="3489"/>
      <c r="B30" s="3488"/>
      <c r="C30" s="1532" t="s">
        <v>972</v>
      </c>
    </row>
    <row r="31" spans="1:3" ht="14">
      <c r="A31" s="3489"/>
      <c r="B31" s="3488"/>
      <c r="C31" s="1532" t="s">
        <v>973</v>
      </c>
    </row>
    <row r="32" spans="1:3" ht="14">
      <c r="A32" s="3489"/>
      <c r="B32" s="3488"/>
      <c r="C32" s="1532" t="s">
        <v>974</v>
      </c>
    </row>
    <row r="33" spans="1:3" ht="14">
      <c r="A33" s="3489"/>
      <c r="B33" s="3488"/>
      <c r="C33" s="1532" t="s">
        <v>975</v>
      </c>
    </row>
    <row r="34" spans="1:3">
      <c r="A34" s="1536" t="s">
        <v>49</v>
      </c>
    </row>
    <row r="37" spans="1:3">
      <c r="A37" s="1536" t="s">
        <v>976</v>
      </c>
    </row>
    <row r="38" spans="1:3" ht="14">
      <c r="A38" s="1537" t="s">
        <v>50</v>
      </c>
    </row>
    <row r="39" spans="1:3" ht="14">
      <c r="A39" s="1537" t="s">
        <v>51</v>
      </c>
    </row>
    <row r="40" spans="1:3" ht="14">
      <c r="A40" s="1537" t="s">
        <v>52</v>
      </c>
    </row>
    <row r="41" spans="1:3" ht="14">
      <c r="A41" s="1538" t="s">
        <v>53</v>
      </c>
    </row>
    <row r="42" spans="1:3" ht="1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baseColWidth="10"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640625" style="2337" customWidth="1"/>
    <col min="6" max="6" width="35.5" style="2337" customWidth="1"/>
    <col min="7" max="7" width="31" style="2337" customWidth="1"/>
    <col min="8" max="8" width="37.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2022-12-22T02:30:19Z</dcterms:modified>
</cp:coreProperties>
</file>