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结果表商业" sheetId="79" r:id="rId25"/>
    <sheet name="比较法-商业" sheetId="33" r:id="rId26"/>
    <sheet name="典型户型修正" sheetId="31" r:id="rId27"/>
    <sheet name="收益法已出租" sheetId="15" r:id="rId28"/>
    <sheet name="收益法 (未出租)" sheetId="85" r:id="rId29"/>
    <sheet name="比较法-商业 (租金)" sheetId="82" r:id="rId30"/>
    <sheet name="收益法 (元)" sheetId="67" state="hidden" r:id="rId31"/>
    <sheet name="收益法（汇总）" sheetId="70"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r:id="rId51"/>
    <sheet name="已出租明细表" sheetId="84" r:id="rId52"/>
    <sheet name="年期修正系数" sheetId="83" r:id="rId53"/>
  </sheets>
  <externalReferences>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29"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(未出租)'!$A$1:$AK$69</definedName>
    <definedName name="_xlnm.Print_Area" localSheetId="30">'收益法 (元)'!$A$1:$AK$69</definedName>
    <definedName name="_xlnm.Print_Area" localSheetId="27">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9">'比较法-商业 (租金)'!$B$116:$M$116</definedName>
    <definedName name="商业层高" localSheetId="21">'[1]比较法-商业'!$B$116:$M$116</definedName>
    <definedName name="商业层高">'比较法-商业'!$B$116:$M$116</definedName>
    <definedName name="商业成新度" localSheetId="29">'比较法-商业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9">'比较法-商业 (租金)'!$B$107:$M$107</definedName>
    <definedName name="商业公共部分装修" localSheetId="21">'[1]比较法-商业'!$B$107:$M$107</definedName>
    <definedName name="商业公共部分装修">'比较法-商业'!$B$107:$M$107</definedName>
    <definedName name="商业基础设施水平" localSheetId="29">'比较法-商业 (租金)'!$B$112:$M$112</definedName>
    <definedName name="商业基础设施水平" localSheetId="21">'[1]比较法-商业'!$B$112:$M$112</definedName>
    <definedName name="商业基础设施水平">'比较法-商业'!$B$112:$M$112</definedName>
    <definedName name="商业建筑结构" localSheetId="29">'比较法-商业 (租金)'!$B$105:$M$105</definedName>
    <definedName name="商业建筑结构" localSheetId="21">'[1]比较法-商业'!$B$105:$M$105</definedName>
    <definedName name="商业建筑结构">'比较法-商业'!$B$105:$M$105</definedName>
    <definedName name="商业交易情况" localSheetId="29">'比较法-商业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9">'比较法-商业 (租金)'!$B$120:$M$120</definedName>
    <definedName name="商业进深比" localSheetId="21">'[1]比较法-商业'!$B$120:$M$120</definedName>
    <definedName name="商业进深比">'比较法-商业'!$B$120:$M$120</definedName>
    <definedName name="商业类型" localSheetId="29">'比较法-商业 (租金)'!$B$100:$M$100</definedName>
    <definedName name="商业类型" localSheetId="21">'[1]比较法-商业'!$B$100:$M$100</definedName>
    <definedName name="商业类型">'比较法-商业'!$B$100:$M$100</definedName>
    <definedName name="商业临街状况" localSheetId="29">'比较法-商业 (租金)'!$B$86:$M$86</definedName>
    <definedName name="商业临街状况" localSheetId="21">'[1]比较法-商业'!$B$86:$M$86</definedName>
    <definedName name="商业临街状况">'比较法-商业'!$B$86:$M$86</definedName>
    <definedName name="商业楼层" localSheetId="29">'比较法-商业 (租金)'!$B$92:$M$92</definedName>
    <definedName name="商业楼层" localSheetId="21">'[1]比较法-商业'!$B$92:$M$92</definedName>
    <definedName name="商业楼层">'比较法-商业'!$B$92:$M$92</definedName>
    <definedName name="商业内部装修" localSheetId="29">'比较法-商业 (租金)'!$B$122:$M$122</definedName>
    <definedName name="商业内部装修" localSheetId="21">'[1]比较法-商业'!$B$122:$M$122</definedName>
    <definedName name="商业内部装修">'比较法-商业'!$B$122:$M$122</definedName>
    <definedName name="商业人流量" localSheetId="29">'比较法-商业 (租金)'!$B$90:$M$90</definedName>
    <definedName name="商业人流量" localSheetId="21">'[1]比较法-商业'!$B$90:$M$90</definedName>
    <definedName name="商业人流量">'比较法-商业'!$B$90:$M$90</definedName>
    <definedName name="商业业态" localSheetId="29">'比较法-商业 (租金)'!$B$114:$M$114</definedName>
    <definedName name="商业业态" localSheetId="21">'[1]比较法-商业'!$B$114:$M$114</definedName>
    <definedName name="商业业态">'比较法-商业'!$B$114:$M$114</definedName>
    <definedName name="商业用途" localSheetId="29">'比较法-商业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5" i="81" l="1"/>
  <c r="B4" i="81"/>
  <c r="D6" i="81" l="1"/>
  <c r="D5" i="81"/>
  <c r="D4" i="81"/>
  <c r="D3" i="81"/>
  <c r="G6" i="84"/>
  <c r="G4" i="84"/>
  <c r="G5" i="84"/>
  <c r="F4" i="84" l="1"/>
  <c r="B1" i="83"/>
  <c r="B3" i="83"/>
  <c r="J57" i="84"/>
  <c r="K5" i="84"/>
  <c r="K4" i="84"/>
  <c r="K3" i="84"/>
  <c r="AA7" i="1" l="1"/>
  <c r="T7" i="31"/>
  <c r="T5" i="31"/>
  <c r="C33" i="33"/>
  <c r="I5" i="81" l="1"/>
  <c r="I3" i="81"/>
  <c r="H3" i="81"/>
  <c r="I4" i="81" s="1"/>
  <c r="C6" i="81"/>
  <c r="C5" i="81"/>
  <c r="C4" i="81"/>
  <c r="C3" i="81"/>
  <c r="Q8" i="1"/>
  <c r="N8" i="1"/>
  <c r="L8" i="1"/>
  <c r="G20" i="6"/>
  <c r="G21" i="6" s="1"/>
  <c r="F20" i="6"/>
  <c r="F21" i="6" s="1"/>
  <c r="T19" i="81"/>
  <c r="S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S20" i="81"/>
  <c r="I6" i="81" l="1"/>
  <c r="U8" i="1" s="1"/>
  <c r="I7" i="81"/>
  <c r="D24" i="85"/>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3" i="82"/>
  <c r="D2" i="82"/>
  <c r="F49" i="15" l="1"/>
  <c r="Z7" i="1"/>
  <c r="U7" i="1"/>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U36" i="82"/>
  <c r="S37" i="82"/>
  <c r="W37" i="82"/>
  <c r="U38" i="82"/>
  <c r="S39" i="82"/>
  <c r="W39" i="82"/>
  <c r="U40" i="82"/>
  <c r="S41" i="82"/>
  <c r="W41" i="82"/>
  <c r="U42" i="82"/>
  <c r="S43" i="82"/>
  <c r="W43" i="82"/>
  <c r="U44" i="82"/>
  <c r="S45" i="82"/>
  <c r="W45" i="82"/>
  <c r="U46" i="82"/>
  <c r="T10" i="81"/>
  <c r="T9" i="81"/>
  <c r="V5" i="81"/>
  <c r="U5" i="81"/>
  <c r="T5" i="81"/>
  <c r="V4" i="81"/>
  <c r="U4" i="81"/>
  <c r="T4" i="81"/>
  <c r="V3" i="81"/>
  <c r="U3" i="81"/>
  <c r="T3" i="81"/>
  <c r="V2" i="81"/>
  <c r="U2" i="81"/>
  <c r="U6" i="81" s="1"/>
  <c r="T12" i="81" s="1"/>
  <c r="T2" i="81"/>
  <c r="O45" i="81"/>
  <c r="O34" i="81"/>
  <c r="O23" i="81"/>
  <c r="O12" i="81"/>
  <c r="T6" i="81" l="1"/>
  <c r="V6" i="81"/>
  <c r="T13" i="81" s="1"/>
  <c r="E58" i="82"/>
  <c r="F58" i="82" s="1"/>
  <c r="G58" i="82" s="1"/>
  <c r="H58" i="82" s="1"/>
  <c r="I58" i="82" s="1"/>
  <c r="J58" i="82" s="1"/>
  <c r="K58" i="82" s="1"/>
  <c r="L58" i="82" s="1"/>
  <c r="M58" i="82" s="1"/>
  <c r="N58" i="82" s="1"/>
  <c r="O58" i="82" s="1"/>
  <c r="O46" i="81"/>
  <c r="T14" i="81" l="1"/>
  <c r="T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M18" i="79"/>
  <c r="B118" i="79" s="1"/>
  <c r="C17" i="79"/>
  <c r="D14" i="79"/>
  <c r="D17" i="79" s="1"/>
  <c r="L4" i="79"/>
  <c r="K4" i="79"/>
  <c r="A2" i="79"/>
  <c r="H1" i="79"/>
  <c r="D34" i="79"/>
  <c r="D35" i="79"/>
  <c r="E2" i="80"/>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29" i="43"/>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F19" i="6"/>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AJ13" i="77" l="1"/>
  <c r="AB13" i="77"/>
  <c r="B3" i="82"/>
  <c r="B2"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R49" i="78" l="1"/>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2" i="76"/>
  <c r="E8" i="76"/>
  <c r="B10" i="76"/>
  <c r="E11" i="76"/>
  <c r="B8" i="76"/>
  <c r="E10" i="76"/>
  <c r="E7" i="76"/>
  <c r="B7" i="76"/>
  <c r="B9" i="76"/>
  <c r="B13" i="76"/>
  <c r="E9" i="76"/>
  <c r="E13" i="76"/>
  <c r="B11"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D5" i="73"/>
  <c r="D3" i="73"/>
  <c r="F3" i="73"/>
  <c r="F5" i="73"/>
  <c r="D6" i="73"/>
  <c r="I1" i="73" l="1"/>
  <c r="B39" i="1" s="1"/>
  <c r="D7" i="73"/>
  <c r="D4"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0"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G1" i="85"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B15" i="74" s="1"/>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G28" i="6" s="1"/>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F7" i="85"/>
  <c r="M24" i="85"/>
  <c r="M28" i="85"/>
  <c r="L48" i="85"/>
  <c r="C76" i="85"/>
  <c r="M23" i="85"/>
  <c r="J15" i="85"/>
  <c r="F36" i="85"/>
  <c r="F13" i="85"/>
  <c r="F9" i="85"/>
  <c r="F40" i="85"/>
  <c r="F42" i="85"/>
  <c r="M8" i="85"/>
  <c r="F6" i="85"/>
  <c r="M6" i="85"/>
  <c r="M26" i="85"/>
  <c r="F26" i="85"/>
  <c r="F38" i="85"/>
  <c r="F8" i="85"/>
  <c r="M22" i="85"/>
  <c r="F43" i="85"/>
  <c r="L47" i="85"/>
  <c r="F16" i="85"/>
  <c r="M9" i="85"/>
  <c r="M29" i="85"/>
  <c r="F37" i="85"/>
  <c r="F39" i="33" l="1"/>
  <c r="AA39" i="33" s="1"/>
  <c r="H39" i="33"/>
  <c r="AB39" i="33" s="1"/>
  <c r="H38" i="33"/>
  <c r="AB38" i="33" s="1"/>
  <c r="F38" i="33"/>
  <c r="AA38" i="33" s="1"/>
  <c r="J38" i="33"/>
  <c r="AC38" i="33" s="1"/>
  <c r="M8" i="1"/>
  <c r="L57" i="85"/>
  <c r="I54" i="85"/>
  <c r="J59" i="85"/>
  <c r="J53" i="85"/>
  <c r="L56" i="85"/>
  <c r="L60" i="85"/>
  <c r="J60" i="85"/>
  <c r="Q48" i="85" s="1"/>
  <c r="J57" i="85"/>
  <c r="J55" i="85" s="1"/>
  <c r="J58" i="85" s="1"/>
  <c r="Q50" i="85" s="1"/>
  <c r="L46" i="85"/>
  <c r="F71" i="85"/>
  <c r="F68" i="85"/>
  <c r="F51" i="85"/>
  <c r="F65" i="85"/>
  <c r="C27" i="85"/>
  <c r="Q71" i="85"/>
  <c r="L59" i="85"/>
  <c r="M59" i="85"/>
  <c r="N59" i="85"/>
  <c r="L58" i="85"/>
  <c r="M7" i="85"/>
  <c r="J6" i="85" s="1"/>
  <c r="F50" i="85"/>
  <c r="F66" i="85"/>
  <c r="F64" i="85"/>
  <c r="C6" i="85"/>
  <c r="C10" i="85"/>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AZ47" i="3" s="1"/>
  <c r="BL47" i="3"/>
  <c r="BA48" i="3"/>
  <c r="AZ48" i="3" s="1"/>
  <c r="BA50" i="3"/>
  <c r="BL50" i="3"/>
  <c r="BL52" i="3"/>
  <c r="BA54" i="3"/>
  <c r="AZ54" i="3" s="1"/>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2" i="15"/>
  <c r="M6" i="67"/>
  <c r="F27" i="80"/>
  <c r="F36" i="15"/>
  <c r="M29" i="67"/>
  <c r="M8" i="67"/>
  <c r="F7" i="67"/>
  <c r="M9" i="15"/>
  <c r="C36" i="80"/>
  <c r="F6" i="67"/>
  <c r="M8" i="15"/>
  <c r="C76" i="15"/>
  <c r="F38" i="15"/>
  <c r="L47" i="15"/>
  <c r="M24" i="67"/>
  <c r="F13" i="15"/>
  <c r="F40" i="15"/>
  <c r="F26" i="67"/>
  <c r="M26" i="67"/>
  <c r="D9" i="80"/>
  <c r="F16" i="67"/>
  <c r="F38" i="67"/>
  <c r="F8" i="15"/>
  <c r="M6" i="15"/>
  <c r="F26" i="15"/>
  <c r="G1" i="73"/>
  <c r="F40" i="67"/>
  <c r="F16" i="15"/>
  <c r="L47" i="67"/>
  <c r="L48" i="67"/>
  <c r="F43" i="15"/>
  <c r="M22" i="67"/>
  <c r="F6" i="15"/>
  <c r="M22" i="15"/>
  <c r="F36" i="67"/>
  <c r="M23" i="15"/>
  <c r="M28" i="15"/>
  <c r="M26" i="15"/>
  <c r="F37" i="67"/>
  <c r="C16" i="85"/>
  <c r="F42" i="67"/>
  <c r="F7" i="15"/>
  <c r="F9" i="15"/>
  <c r="M23" i="67"/>
  <c r="F43" i="67"/>
  <c r="J15" i="15"/>
  <c r="M9" i="67"/>
  <c r="J15" i="67"/>
  <c r="M29" i="15"/>
  <c r="M28" i="67"/>
  <c r="C76" i="67"/>
  <c r="M24" i="15"/>
  <c r="F13" i="67"/>
  <c r="F9" i="67"/>
  <c r="F8" i="67"/>
  <c r="F37" i="15"/>
  <c r="L48" i="15"/>
  <c r="F70" i="15" l="1"/>
  <c r="F52" i="15"/>
  <c r="G102" i="43"/>
  <c r="J105" i="43"/>
  <c r="C5" i="85"/>
  <c r="C32" i="85" s="1"/>
  <c r="Q61" i="85"/>
  <c r="Q74" i="85"/>
  <c r="J10" i="85"/>
  <c r="J5" i="85" s="1"/>
  <c r="C49" i="85"/>
  <c r="C48" i="85" s="1"/>
  <c r="Q66" i="85"/>
  <c r="Q57" i="85"/>
  <c r="F1" i="85"/>
  <c r="Q52" i="85"/>
  <c r="Q60" i="85"/>
  <c r="Q73" i="85"/>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31" i="15"/>
  <c r="F31" i="67"/>
  <c r="F59" i="15"/>
  <c r="C16" i="15"/>
  <c r="C16" i="67"/>
  <c r="D9" i="68"/>
  <c r="M22" i="6" l="1"/>
  <c r="I22" i="6" s="1"/>
  <c r="S22" i="6" s="1"/>
  <c r="S9" i="1"/>
  <c r="C38" i="85"/>
  <c r="AQ7" i="1"/>
  <c r="C60" i="85"/>
  <c r="C66" i="85"/>
  <c r="J24" i="85"/>
  <c r="J18"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F50" i="80" s="1"/>
  <c r="Q60" i="67"/>
  <c r="Q73" i="67"/>
  <c r="F27" i="11"/>
  <c r="Q61" i="67"/>
  <c r="Q74" i="67"/>
  <c r="C49" i="67"/>
  <c r="F1" i="67"/>
  <c r="Q52" i="67"/>
  <c r="C17" i="15"/>
  <c r="C17" i="85"/>
  <c r="D10" i="80"/>
  <c r="F27" i="68"/>
  <c r="C10" i="80" l="1"/>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36" i="68"/>
  <c r="C34" i="80"/>
  <c r="C14" i="85"/>
  <c r="D10" i="68"/>
  <c r="C38" i="80" l="1"/>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5" i="85"/>
  <c r="E6" i="76"/>
  <c r="C34" i="68"/>
  <c r="M21" i="85"/>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F35" i="15"/>
  <c r="M21" i="15"/>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15"/>
  <c r="M27" i="15"/>
  <c r="M27" i="67"/>
  <c r="F41" i="85"/>
  <c r="F41" i="67"/>
  <c r="Q67" i="15" l="1"/>
  <c r="F69" i="85"/>
  <c r="C68" i="85" s="1"/>
  <c r="C71" i="85" s="1"/>
  <c r="C40" i="85"/>
  <c r="C83" i="85" s="1"/>
  <c r="C82" i="85" s="1"/>
  <c r="J29" i="85"/>
  <c r="C43" i="85"/>
  <c r="J26" i="15"/>
  <c r="J29" i="15" s="1"/>
  <c r="J26" i="67"/>
  <c r="J29" i="67" s="1"/>
  <c r="C58" i="15"/>
  <c r="C67" i="15" s="1"/>
  <c r="F69" i="15"/>
  <c r="C40" i="15"/>
  <c r="C43" i="15" s="1"/>
  <c r="L46" i="15"/>
  <c r="Q57" i="15"/>
  <c r="Q66" i="15"/>
  <c r="F69" i="67"/>
  <c r="C68" i="67" s="1"/>
  <c r="C71" i="67" s="1"/>
  <c r="C40" i="67"/>
  <c r="C83" i="67" s="1"/>
  <c r="C82" i="67" s="1"/>
  <c r="Q47" i="85" l="1"/>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6"/>
  <c r="D2" i="34"/>
  <c r="D2" i="37"/>
  <c r="E2" i="68"/>
  <c r="F20" i="31"/>
  <c r="D2" i="33"/>
  <c r="D2" i="21"/>
  <c r="D2" i="35"/>
  <c r="B2" i="36" l="1"/>
  <c r="B3" i="36" s="1"/>
  <c r="B2" i="35"/>
  <c r="B3" i="35" s="1"/>
  <c r="B2" i="37"/>
  <c r="B3" i="37" s="1"/>
  <c r="B2" i="34"/>
  <c r="B3" i="34" s="1"/>
  <c r="B2" i="21"/>
  <c r="B2" i="70"/>
  <c r="D19" i="9"/>
  <c r="D19" i="79"/>
  <c r="B3" i="68"/>
  <c r="C19" i="9"/>
  <c r="D21" i="79" l="1"/>
  <c r="D102" i="79"/>
  <c r="B3" i="70"/>
  <c r="C21" i="9"/>
  <c r="C102" i="9"/>
  <c r="B3" i="21"/>
  <c r="G19" i="9"/>
  <c r="D102" i="9"/>
  <c r="D22" i="9"/>
  <c r="D21" i="9"/>
  <c r="D20" i="79"/>
  <c r="D20" i="9"/>
  <c r="C20" i="9"/>
  <c r="D103" i="9" l="1"/>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79"/>
  <c r="C19"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D15" i="74" l="1"/>
  <c r="G21" i="79"/>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104" i="9" s="1"/>
  <c r="C79" i="79" l="1"/>
  <c r="L66" i="79"/>
  <c r="M66" i="79" s="1"/>
  <c r="L67" i="79"/>
  <c r="M67" i="79" s="1"/>
  <c r="L63" i="79"/>
  <c r="M63" i="79" s="1"/>
  <c r="L68" i="79"/>
  <c r="M68" i="79" s="1"/>
  <c r="L64" i="79"/>
  <c r="M64" i="79" s="1"/>
  <c r="L65" i="79"/>
  <c r="M65" i="79" s="1"/>
  <c r="C95" i="79"/>
  <c r="D8" i="74"/>
  <c r="C8" i="74"/>
  <c r="H101" i="9"/>
  <c r="M48" i="9" s="1"/>
  <c r="I118" i="9"/>
  <c r="C105" i="9" s="1"/>
  <c r="H119" i="9"/>
  <c r="H5" i="52" s="1"/>
  <c r="F4" i="52"/>
  <c r="B51" i="72" s="1"/>
  <c r="F119" i="9"/>
  <c r="F5" i="52" s="1"/>
  <c r="B53" i="72" s="1"/>
  <c r="D14" i="74"/>
  <c r="H4" i="52"/>
  <c r="D4" i="52"/>
  <c r="B47" i="72" s="1"/>
  <c r="H107" i="9"/>
  <c r="M49" i="9" s="1"/>
  <c r="C80" i="79" l="1"/>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<sst xmlns="http://schemas.openxmlformats.org/spreadsheetml/2006/main" count="9895" uniqueCount="3406">
  <si>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</si>
  <si>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</si>
  <si>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</si>
  <si>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</si>
  <si>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</si>
  <si>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</si>
  <si>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</si>
  <si>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</si>
  <si>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</si>
  <si>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</si>
  <si>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</si>
  <si>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</si>
  <si>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</si>
  <si>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</si>
  <si>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</si>
  <si>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</si>
  <si>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</si>
  <si>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</si>
  <si>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</si>
  <si>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</si>
  <si>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</si>
  <si>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</si>
  <si>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</si>
  <si>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</si>
  <si>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</si>
  <si>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</si>
  <si>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</si>
  <si>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</si>
  <si>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</si>
  <si>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</si>
  <si>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</si>
  <si>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</si>
  <si>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</si>
  <si>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</si>
  <si>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</si>
  <si>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</si>
  <si>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</si>
  <si>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</si>
  <si>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</si>
  <si>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</si>
  <si>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</si>
  <si>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</si>
  <si>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</si>
  <si>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</si>
  <si>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</si>
  <si>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</si>
  <si>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</si>
  <si>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</si>
  <si>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</si>
  <si>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</si>
  <si>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</si>
  <si>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</si>
  <si>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</si>
  <si>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</si>
  <si>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</si>
  <si>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</si>
  <si>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</si>
  <si>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</si>
  <si>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</si>
  <si>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</si>
  <si>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</si>
  <si>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</si>
  <si>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</si>
  <si>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</si>
  <si>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</si>
  <si>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</si>
  <si>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</si>
  <si>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</si>
  <si>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</si>
  <si>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</si>
  <si>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</si>
  <si>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</si>
  <si>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</si>
  <si>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</si>
  <si>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</si>
  <si>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</si>
  <si>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</si>
  <si>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</si>
  <si>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</si>
  <si>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</si>
  <si>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</si>
  <si>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</si>
  <si>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</si>
  <si>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</si>
  <si>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</si>
  <si>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</si>
  <si>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</si>
  <si>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</si>
  <si>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</si>
  <si>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</si>
  <si>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</si>
  <si>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</si>
  <si>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</si>
  <si>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</si>
  <si>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</si>
  <si>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</si>
  <si>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</si>
  <si>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</si>
  <si>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</si>
  <si>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</si>
  <si>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</si>
  <si>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</si>
  <si>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</si>
  <si>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</si>
  <si>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</si>
  <si>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</si>
  <si>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</si>
  <si>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</si>
  <si>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</si>
  <si>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</si>
  <si>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</si>
  <si>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</si>
  <si>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</si>
  <si>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</si>
  <si>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</si>
  <si>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</si>
  <si>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</si>
  <si>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</si>
  <si>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</si>
  <si>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</si>
  <si>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</si>
  <si>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</si>
  <si>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</si>
  <si>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</si>
  <si>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</si>
  <si>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</si>
  <si>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</si>
  <si>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</si>
  <si>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</si>
  <si>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</si>
  <si>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</si>
  <si>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</si>
  <si>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</si>
  <si>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</si>
  <si>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</si>
  <si>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</si>
  <si>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</si>
  <si>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</si>
  <si>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</si>
  <si>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</si>
  <si>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</si>
  <si>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</si>
  <si>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</si>
  <si>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</si>
  <si>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</si>
  <si>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</si>
  <si>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</si>
  <si>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</si>
  <si>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</si>
  <si>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</si>
  <si>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</si>
  <si>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</si>
  <si>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</si>
  <si>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</si>
  <si>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</si>
  <si>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</si>
  <si>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</si>
  <si>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</si>
  <si>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</si>
  <si>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</si>
  <si>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</si>
  <si>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</si>
  <si>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</si>
  <si>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</si>
  <si>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</si>
  <si>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</si>
  <si>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</si>
  <si>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</si>
  <si>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</si>
  <si>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</si>
  <si>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</si>
  <si>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</si>
  <si>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</si>
  <si>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</si>
  <si>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</si>
  <si>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</si>
  <si>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</si>
  <si>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</si>
  <si>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</si>
  <si>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</si>
  <si>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</si>
  <si>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</si>
  <si>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</si>
  <si>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</si>
  <si>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</si>
  <si>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</si>
  <si>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</si>
  <si>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</si>
  <si>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</si>
  <si>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</si>
  <si>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</si>
  <si>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</si>
  <si>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</si>
  <si>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</si>
  <si>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</si>
  <si>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</si>
  <si>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</si>
  <si>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</si>
  <si>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</si>
  <si>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</si>
  <si>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</si>
  <si>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</si>
  <si>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</si>
  <si>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</si>
  <si>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</si>
  <si>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</si>
  <si>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</si>
  <si>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</si>
  <si>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</si>
  <si>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</si>
  <si>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</si>
  <si>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</si>
  <si>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</si>
  <si>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</si>
  <si>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</si>
  <si>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</si>
  <si>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</si>
  <si>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</si>
  <si>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</si>
  <si>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</si>
  <si>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</si>
  <si>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</si>
  <si>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</si>
  <si>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</si>
  <si>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</si>
  <si>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</si>
  <si>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</si>
  <si>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</si>
  <si>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</si>
  <si>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</si>
  <si>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</si>
  <si>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</si>
  <si>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</si>
  <si>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</si>
  <si>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</si>
  <si>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</si>
  <si>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</si>
  <si>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</si>
  <si>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</si>
  <si>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</si>
  <si>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</si>
  <si>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</si>
  <si>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</si>
  <si>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</si>
  <si>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</si>
  <si>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</si>
  <si>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</si>
  <si>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</si>
  <si>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</si>
  <si>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</si>
  <si>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</si>
  <si>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</si>
  <si>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</si>
  <si>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</si>
  <si>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</si>
  <si>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</si>
  <si>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</si>
  <si>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</si>
  <si>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</si>
  <si>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</si>
  <si>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</si>
  <si>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</si>
  <si>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</si>
  <si>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</si>
  <si>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</si>
  <si>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</si>
  <si>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</si>
  <si>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</si>
  <si>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</si>
  <si>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</si>
  <si>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</si>
  <si>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</si>
  <si>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</si>
  <si>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</si>
  <si>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</si>
  <si>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</si>
  <si>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</si>
  <si>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</si>
  <si>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</si>
  <si>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</si>
  <si>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</si>
  <si>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</si>
  <si>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</si>
  <si>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</si>
  <si>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</si>
  <si>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</si>
  <si>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</si>
  <si>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</si>
  <si>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</si>
  <si>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</si>
  <si>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</si>
  <si>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</si>
  <si>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</si>
  <si>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</si>
  <si>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</si>
  <si>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</si>
  <si>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</si>
  <si>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</si>
  <si>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</si>
  <si>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</si>
  <si>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</si>
  <si>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</si>
  <si>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</si>
  <si>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</si>
  <si>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</si>
  <si>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</si>
  <si>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</si>
  <si>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</si>
  <si>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</si>
  <si>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</si>
  <si>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</si>
  <si>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</si>
  <si>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</si>
  <si>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</si>
  <si>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</si>
  <si>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</si>
  <si>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</si>
  <si>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</si>
  <si>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</si>
  <si>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</si>
  <si>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</si>
  <si>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</si>
  <si>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</si>
  <si>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</si>
  <si>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</si>
  <si>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</si>
  <si>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</si>
  <si>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</si>
  <si>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</si>
  <si>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</si>
  <si>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</si>
  <si>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</si>
  <si>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</si>
  <si>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</si>
  <si>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</si>
  <si>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</si>
  <si>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</si>
  <si>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</si>
  <si>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</si>
  <si>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</si>
  <si>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</si>
  <si>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</si>
  <si>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</si>
  <si>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</si>
  <si>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</si>
  <si>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</si>
  <si>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</si>
  <si>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</si>
  <si>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</si>
  <si>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</si>
  <si>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</si>
  <si>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</si>
  <si>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</si>
  <si>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</si>
  <si>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</si>
  <si>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</si>
  <si>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</si>
  <si>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</si>
  <si>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</si>
  <si>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</si>
  <si>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</si>
  <si>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</si>
  <si>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</si>
  <si>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</si>
  <si>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</si>
  <si>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</si>
  <si>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</si>
  <si>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</si>
  <si>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</si>
  <si>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</si>
  <si>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</si>
  <si>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</si>
  <si>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</si>
  <si>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</si>
  <si>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</si>
  <si>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</si>
  <si>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</si>
  <si>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</si>
  <si>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</si>
  <si>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</si>
  <si>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</si>
  <si>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</si>
  <si>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</si>
  <si>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</si>
  <si>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</si>
  <si>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</si>
  <si>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</si>
  <si>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</si>
  <si>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</si>
  <si>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</si>
  <si>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</si>
  <si>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</si>
  <si>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</si>
  <si>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</si>
  <si>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</si>
  <si>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</si>
  <si>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</si>
  <si>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</si>
  <si>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</si>
  <si>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</si>
  <si>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</si>
  <si>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</si>
  <si>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</si>
  <si>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</si>
  <si>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</si>
  <si>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</si>
  <si>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</si>
  <si>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</si>
  <si>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</si>
  <si>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</si>
  <si>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</si>
  <si>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</si>
  <si>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</si>
  <si>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</si>
  <si>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</si>
  <si>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</si>
  <si>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</si>
  <si>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</si>
  <si>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</si>
  <si>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</si>
  <si>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</si>
  <si>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</si>
  <si>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</si>
  <si>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</si>
  <si>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</si>
  <si>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</si>
  <si>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</si>
  <si>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</si>
  <si>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</si>
  <si>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</si>
  <si>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</si>
  <si>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</si>
  <si>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</si>
  <si>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</si>
  <si>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</si>
  <si>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</si>
  <si>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</si>
  <si>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</si>
  <si>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</si>
  <si>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</si>
  <si>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</si>
  <si>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</si>
  <si>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</si>
  <si>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</si>
  <si>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</si>
  <si>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</si>
  <si>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</si>
  <si>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</si>
  <si>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</si>
  <si>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</si>
  <si>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</si>
  <si>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</si>
  <si>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</si>
  <si>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</si>
  <si>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</si>
  <si>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</si>
  <si>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</si>
  <si>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</si>
  <si>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</si>
  <si>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</si>
  <si>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</si>
  <si>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</si>
  <si>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</si>
  <si>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</si>
  <si>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</si>
  <si>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</si>
  <si>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</si>
  <si>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</si>
  <si>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</si>
  <si>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</si>
  <si>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</si>
  <si>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</si>
  <si>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</si>
  <si>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</si>
  <si>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</si>
  <si>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</si>
  <si>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</si>
  <si>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</si>
  <si>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</si>
  <si>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</si>
  <si>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</si>
  <si>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</si>
  <si>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</si>
  <si>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</si>
  <si>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</si>
  <si>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</si>
  <si>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</si>
  <si>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</si>
  <si>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</si>
  <si>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</si>
  <si>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</si>
  <si>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</si>
  <si>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</si>
  <si>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</si>
  <si>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</si>
  <si>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</si>
  <si>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</si>
  <si>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</si>
  <si>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</si>
  <si>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</si>
  <si>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</si>
  <si>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</si>
  <si>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</si>
  <si>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</si>
  <si>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</si>
  <si>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</si>
  <si>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</si>
  <si>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</si>
  <si>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</si>
  <si>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</si>
  <si>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</si>
  <si>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</si>
  <si>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</si>
  <si>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</si>
  <si>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</si>
  <si>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</si>
  <si>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</si>
  <si>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</si>
  <si>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</si>
  <si>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</si>
  <si>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</si>
  <si>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</si>
  <si>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</si>
  <si>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</si>
  <si>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</si>
  <si>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</si>
  <si>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</si>
  <si>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</si>
  <si>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</si>
  <si>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</si>
  <si>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</si>
  <si>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</si>
  <si>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</si>
  <si>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</si>
  <si>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</si>
  <si>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</si>
  <si>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</si>
  <si>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</si>
  <si>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</si>
  <si>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</si>
  <si>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</si>
  <si>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</si>
  <si>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</si>
  <si>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</si>
  <si>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</si>
  <si>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</si>
  <si>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</si>
  <si>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</si>
  <si>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</si>
  <si>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</si>
  <si>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</si>
  <si>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</si>
  <si>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</si>
  <si>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</si>
  <si>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</si>
  <si>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</si>
  <si>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</si>
  <si>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</si>
  <si>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</si>
  <si>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</si>
  <si>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</si>
  <si>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</si>
  <si>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</si>
  <si>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</si>
  <si>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</si>
  <si>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</si>
  <si>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</si>
  <si>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</si>
  <si>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</si>
  <si>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</si>
  <si>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</si>
  <si>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</si>
  <si>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</si>
  <si>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</si>
  <si>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</si>
  <si>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</si>
  <si>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</si>
  <si>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</si>
  <si>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</si>
  <si>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</si>
  <si>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</si>
  <si>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</si>
  <si>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</si>
  <si>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</si>
  <si>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</si>
  <si>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</si>
  <si>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</si>
  <si>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</si>
  <si>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</si>
  <si>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</si>
  <si>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</si>
  <si>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</si>
  <si>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</si>
  <si>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</si>
  <si>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</si>
  <si>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</si>
  <si>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</si>
  <si>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</si>
  <si>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</si>
  <si>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</si>
  <si>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</si>
  <si>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</si>
  <si>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</si>
  <si>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</si>
  <si>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</si>
  <si>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</si>
  <si>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</si>
  <si>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</si>
  <si>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</si>
  <si>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</si>
  <si>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</si>
  <si>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</si>
  <si>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</si>
  <si>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</si>
  <si>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</si>
  <si>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</si>
  <si>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</si>
  <si>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</si>
  <si>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</si>
  <si>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</si>
  <si>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</si>
  <si>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</si>
  <si>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</si>
  <si>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</si>
  <si>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</si>
  <si>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</si>
  <si>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</si>
  <si>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</si>
  <si>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</si>
  <si>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</si>
  <si>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</si>
  <si>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</si>
  <si>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</si>
  <si>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</si>
  <si>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</si>
  <si>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</si>
  <si>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</si>
  <si>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</si>
  <si>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</si>
  <si>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</si>
  <si>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</si>
  <si>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</si>
  <si>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</si>
  <si>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</si>
  <si>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</si>
  <si>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</si>
  <si>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</si>
  <si>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</si>
  <si>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</si>
  <si>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</si>
  <si>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</si>
  <si>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</si>
  <si>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</si>
  <si>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</si>
  <si>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</si>
  <si>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</si>
  <si>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</si>
  <si>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</si>
  <si>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</si>
  <si>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</si>
  <si>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</si>
  <si>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</si>
  <si>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</si>
  <si>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</si>
  <si>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</si>
  <si>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</si>
  <si>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</si>
  <si>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</si>
  <si>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</si>
  <si>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</si>
  <si>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</si>
  <si>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</si>
  <si>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</si>
  <si>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</si>
  <si>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</si>
  <si>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</si>
  <si>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</si>
  <si>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</si>
  <si>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</si>
  <si>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</si>
  <si>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</si>
  <si>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</si>
  <si>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</si>
  <si>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</si>
  <si>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</si>
  <si>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</si>
  <si>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</si>
  <si>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</si>
  <si>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</si>
  <si>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</si>
  <si>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</si>
  <si>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</si>
  <si>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</si>
  <si>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</si>
  <si>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</si>
  <si>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</si>
  <si>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</si>
  <si>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</si>
  <si>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</si>
  <si>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</si>
  <si>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</si>
  <si>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</si>
  <si>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</si>
  <si>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</si>
  <si>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</si>
  <si>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</si>
  <si>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</si>
  <si>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</si>
  <si>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</si>
  <si>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</si>
  <si>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</si>
  <si>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</si>
  <si>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</si>
  <si>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</si>
  <si>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</si>
  <si>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</si>
  <si>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</si>
  <si>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</si>
  <si>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</si>
  <si>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</si>
  <si>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</si>
  <si>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</si>
  <si>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</si>
  <si>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</si>
  <si>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</si>
  <si>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</si>
  <si>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</si>
  <si>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</si>
  <si>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</si>
  <si>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</si>
  <si>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</si>
  <si>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</si>
  <si>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</si>
  <si>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</si>
  <si>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</si>
  <si>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</si>
  <si>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</si>
  <si>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</si>
  <si>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</si>
  <si>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</si>
  <si>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</si>
  <si>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</si>
  <si>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</si>
  <si>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</si>
  <si>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</si>
  <si>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</si>
  <si>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</si>
  <si>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</si>
  <si>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</si>
  <si>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</si>
  <si>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</si>
  <si>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</si>
  <si>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</si>
  <si>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</si>
  <si>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</si>
  <si>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</si>
  <si>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</si>
  <si>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</si>
  <si>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</si>
  <si>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</si>
  <si>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</si>
  <si>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</si>
  <si>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</si>
  <si>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</si>
  <si>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</si>
  <si>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</si>
  <si>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</si>
  <si>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</si>
  <si>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</si>
  <si>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</si>
  <si>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</si>
  <si>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</si>
  <si>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</si>
  <si>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</si>
  <si>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</si>
  <si>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</si>
  <si>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</si>
  <si>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</si>
  <si>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</si>
  <si>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</si>
  <si>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</si>
  <si>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</si>
  <si>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</si>
  <si>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</si>
  <si>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</si>
  <si>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</si>
  <si>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</si>
  <si>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</si>
  <si>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</si>
  <si>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</si>
  <si>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</si>
  <si>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</si>
  <si>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</si>
  <si>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</si>
  <si>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</si>
  <si>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</si>
  <si>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</si>
  <si>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</si>
  <si>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</si>
  <si>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</si>
  <si>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</si>
  <si>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</si>
  <si>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</si>
  <si>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</si>
  <si>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</si>
  <si>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</si>
  <si>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</si>
  <si>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</si>
  <si>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</si>
  <si>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</si>
  <si>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</si>
  <si>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</si>
  <si>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</si>
  <si>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</si>
  <si>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</si>
  <si>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</si>
  <si>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</si>
  <si>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</si>
  <si>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</si>
  <si>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</si>
  <si>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</si>
  <si>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</si>
  <si>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</si>
  <si>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</si>
  <si>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</si>
  <si>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</si>
  <si>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</si>
  <si>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</si>
  <si>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</si>
  <si>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</si>
  <si>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</si>
  <si>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</si>
  <si>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</si>
  <si>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</si>
  <si>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</si>
  <si>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</si>
  <si>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</si>
  <si>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</si>
  <si>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</si>
  <si>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</si>
  <si>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</si>
  <si>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</si>
  <si>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</si>
  <si>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</si>
  <si>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</si>
  <si>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</si>
  <si>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</si>
  <si>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</si>
  <si>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</si>
  <si>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</si>
  <si>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</si>
  <si>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</si>
  <si>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</si>
  <si>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</si>
  <si>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</si>
  <si>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</si>
  <si>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</si>
  <si>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</si>
  <si>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</si>
  <si>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</si>
  <si>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</si>
  <si>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</si>
  <si>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</si>
  <si>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</si>
  <si>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</si>
  <si>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</si>
  <si>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</si>
  <si>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</si>
  <si>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</si>
  <si>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</si>
  <si>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</si>
  <si>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</si>
  <si>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</si>
  <si>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</si>
  <si>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</si>
  <si>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</si>
  <si>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</si>
  <si>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</si>
  <si>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</si>
  <si>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</si>
  <si>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</si>
  <si>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</si>
  <si>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</si>
  <si>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</si>
  <si>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</si>
  <si>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</si>
  <si>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</si>
  <si>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</si>
  <si>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</si>
  <si>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</si>
  <si>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</si>
  <si>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</si>
  <si>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</si>
  <si>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</si>
  <si>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</si>
  <si>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</si>
  <si>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</si>
  <si>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</si>
  <si>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</si>
  <si>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</si>
  <si>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</si>
  <si>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</si>
  <si>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</si>
  <si>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</si>
  <si>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</si>
  <si>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</si>
  <si>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</si>
  <si>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</si>
  <si>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</si>
  <si>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</si>
  <si>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</si>
  <si>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</si>
  <si>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</si>
  <si>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</si>
  <si>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</si>
  <si>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</si>
  <si>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</si>
  <si>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</si>
  <si>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</si>
  <si>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</si>
  <si>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</si>
  <si>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</si>
  <si>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</si>
  <si>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</si>
  <si>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</si>
  <si>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</si>
  <si>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</si>
  <si>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</si>
  <si>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</si>
  <si>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</si>
  <si>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</si>
  <si>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</si>
  <si>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</si>
  <si>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</si>
  <si>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</si>
  <si>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</si>
  <si>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</si>
  <si>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</si>
  <si>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</si>
  <si>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</si>
  <si>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</si>
  <si>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</si>
  <si>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</si>
  <si>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</si>
  <si>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</si>
  <si>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</si>
  <si>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</si>
  <si>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</si>
  <si>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</si>
  <si>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</si>
  <si>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</si>
  <si>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</si>
  <si>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</si>
  <si>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</si>
  <si>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</si>
  <si>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</si>
  <si>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</si>
  <si>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</si>
  <si>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</si>
  <si>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</si>
  <si>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</si>
  <si>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</si>
  <si>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</si>
  <si>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</si>
  <si>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</si>
  <si>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</si>
  <si>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</si>
  <si>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</si>
  <si>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</si>
  <si>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</si>
  <si>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</si>
  <si>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</si>
  <si>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</si>
  <si>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</si>
  <si>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</si>
  <si>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</si>
  <si>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</si>
  <si>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</si>
  <si>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</si>
  <si>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</si>
  <si>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</si>
  <si>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</si>
  <si>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</si>
  <si>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</si>
  <si>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</si>
  <si>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</si>
  <si>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</si>
  <si>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</si>
  <si>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</si>
  <si>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</si>
  <si>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</si>
  <si>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</si>
  <si>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</si>
  <si>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</si>
  <si>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</si>
  <si>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</si>
  <si>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</si>
  <si>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</si>
  <si>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</si>
  <si>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</si>
  <si>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</si>
  <si>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</si>
  <si>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</si>
  <si>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</si>
  <si>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</si>
  <si>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</si>
  <si>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</si>
  <si>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</si>
  <si>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</si>
  <si>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</si>
  <si>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</si>
  <si>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</si>
  <si>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</si>
  <si>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</si>
  <si>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</si>
  <si>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</si>
  <si>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</si>
  <si>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</si>
  <si>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</si>
  <si>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</si>
  <si>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</si>
  <si>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</si>
  <si>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</si>
  <si>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</si>
  <si>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</si>
  <si>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</si>
  <si>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</si>
  <si>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</si>
  <si>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</si>
  <si>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</si>
  <si>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</si>
  <si>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</si>
  <si>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</si>
  <si>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</si>
  <si>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</si>
  <si>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</si>
  <si>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</si>
  <si>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</si>
  <si>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</si>
  <si>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</si>
  <si>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</si>
  <si>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</si>
  <si>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</si>
  <si>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</si>
  <si>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</si>
  <si>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</si>
  <si>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</si>
  <si>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</si>
  <si>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</si>
  <si>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</si>
  <si>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</si>
  <si>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</si>
  <si>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</si>
  <si>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</si>
  <si>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</si>
  <si>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</si>
  <si>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</si>
  <si>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</si>
  <si>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</si>
  <si>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</si>
  <si>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</si>
  <si>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</si>
  <si>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</si>
  <si>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</si>
  <si>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</si>
  <si>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</si>
  <si>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</si>
  <si>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</si>
  <si>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</si>
  <si>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</si>
  <si>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</si>
  <si>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</si>
  <si>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</si>
  <si>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</si>
  <si>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</si>
  <si>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</si>
  <si>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</si>
  <si>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</si>
  <si>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</si>
  <si>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</si>
  <si>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</si>
  <si>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</si>
  <si>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</si>
  <si>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</si>
  <si>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</si>
  <si>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</si>
  <si>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</si>
  <si>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</si>
  <si>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</si>
  <si>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</si>
  <si>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</si>
  <si>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</si>
  <si>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</si>
  <si>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</si>
  <si>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</si>
  <si>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</si>
  <si>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</si>
  <si>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</si>
  <si>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</si>
  <si>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</si>
  <si>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</si>
  <si>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</si>
  <si>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</si>
  <si>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</si>
  <si>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</si>
  <si>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</si>
  <si>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</si>
  <si>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</si>
  <si>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</si>
  <si>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</si>
  <si>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</si>
  <si>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</si>
  <si>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</si>
  <si>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</si>
  <si>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</si>
  <si>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</si>
  <si>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</si>
  <si>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</si>
  <si>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</si>
  <si>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</si>
  <si>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</si>
  <si>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</si>
  <si>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</si>
  <si>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</si>
  <si>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</si>
  <si>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</si>
  <si>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</si>
  <si>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</si>
  <si>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</si>
  <si>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</si>
  <si>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</si>
  <si>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</si>
  <si>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</si>
  <si>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</si>
  <si>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</si>
  <si>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</si>
  <si>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</si>
  <si>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</si>
  <si>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</si>
  <si>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</si>
  <si>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</si>
  <si>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</si>
  <si>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</si>
  <si>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</si>
  <si>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</si>
  <si>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</si>
  <si>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</si>
  <si>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</si>
  <si>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</si>
  <si>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</si>
  <si>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</si>
  <si>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</si>
  <si>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</si>
  <si>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</si>
  <si>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</si>
  <si>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</si>
  <si>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</si>
  <si>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</si>
  <si>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</si>
  <si>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</si>
  <si>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</si>
  <si>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</si>
  <si>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</si>
  <si>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</si>
  <si>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</si>
  <si>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</si>
  <si>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</si>
  <si>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</si>
  <si>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</si>
  <si>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</si>
  <si>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</si>
  <si>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</si>
  <si>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</si>
  <si>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</si>
  <si>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</si>
  <si>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</si>
  <si>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</si>
  <si>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</si>
  <si>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</si>
  <si>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</si>
  <si>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</si>
  <si>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</si>
  <si>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</si>
  <si>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</si>
  <si>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</si>
  <si>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</si>
  <si>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</si>
  <si>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</si>
  <si>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</si>
  <si>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</si>
  <si>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</si>
  <si>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</si>
  <si>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</si>
  <si>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</si>
  <si>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</si>
  <si>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</si>
  <si>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</si>
  <si>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</si>
  <si>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</si>
  <si>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</si>
  <si>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</si>
  <si>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</si>
  <si>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</si>
  <si>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</si>
  <si>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</si>
  <si>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</si>
  <si>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</si>
  <si>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</si>
  <si>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</si>
  <si>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</si>
  <si>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</si>
  <si>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</si>
  <si>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</si>
  <si>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</si>
  <si>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</si>
  <si>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</si>
  <si>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</si>
  <si>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</si>
  <si>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</si>
  <si>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</si>
  <si>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</si>
  <si>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</si>
  <si>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</si>
  <si>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</si>
  <si>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</si>
  <si>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</si>
  <si>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</si>
  <si>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</si>
  <si>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</si>
  <si>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</si>
  <si>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</si>
  <si>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</si>
  <si>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</si>
  <si>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</si>
  <si>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</si>
  <si>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</si>
  <si>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</si>
  <si>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</si>
  <si>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</si>
  <si>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</si>
  <si>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</si>
  <si>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</si>
  <si>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</si>
  <si>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</si>
  <si>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</si>
  <si>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</si>
  <si>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</si>
  <si>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</si>
  <si>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</si>
  <si>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</si>
  <si>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</si>
  <si>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</si>
  <si>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</si>
  <si>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</si>
  <si>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</si>
  <si>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</si>
  <si>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</si>
  <si>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</si>
  <si>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</si>
  <si>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</si>
  <si>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</si>
  <si>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</si>
  <si>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</si>
  <si>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</si>
  <si>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</si>
  <si>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</si>
  <si>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</si>
  <si>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</si>
  <si>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</si>
  <si>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</si>
  <si>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</si>
  <si>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</si>
  <si>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</si>
  <si>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</si>
  <si>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</si>
  <si>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</si>
  <si>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</si>
  <si>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</si>
  <si>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</si>
  <si>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</si>
  <si>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</si>
  <si>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</si>
  <si>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</si>
  <si>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</si>
  <si>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</si>
  <si>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</si>
  <si>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</si>
  <si>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</si>
  <si>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</si>
  <si>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</si>
  <si>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</si>
  <si>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</si>
  <si>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</si>
  <si>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</si>
  <si>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</si>
  <si>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</si>
  <si>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</si>
  <si>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</si>
  <si>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</si>
  <si>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</si>
  <si>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</si>
  <si>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</si>
  <si>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</si>
  <si>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</si>
  <si>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</si>
  <si>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</si>
  <si>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</si>
  <si>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</si>
  <si>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</si>
  <si>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</si>
  <si>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</si>
  <si>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</si>
  <si>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</si>
  <si>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</si>
  <si>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</si>
  <si>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</si>
  <si>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</si>
  <si>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</si>
  <si>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</si>
  <si>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</si>
  <si>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</si>
  <si>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</si>
  <si>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</si>
  <si>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</si>
  <si>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</si>
  <si>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</si>
  <si>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</si>
  <si>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</si>
  <si>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</si>
  <si>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</si>
  <si>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</si>
  <si>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</si>
  <si>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</si>
  <si>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</si>
  <si>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</si>
  <si>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</si>
  <si>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</si>
  <si>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</si>
  <si>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</si>
  <si>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</si>
  <si>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</si>
  <si>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</si>
  <si>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</si>
  <si>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</si>
  <si>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</si>
  <si>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</si>
  <si>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</si>
  <si>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</si>
  <si>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</si>
  <si>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</si>
  <si>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</si>
  <si>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</si>
  <si>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</si>
  <si>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</si>
  <si>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</si>
  <si>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</si>
  <si>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</si>
  <si>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</si>
  <si>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</si>
  <si>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</si>
  <si>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</si>
  <si>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</si>
  <si>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</si>
  <si>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</si>
  <si>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</si>
  <si>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</si>
  <si>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</si>
  <si>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</si>
  <si>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</si>
  <si>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</si>
  <si>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</si>
  <si>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</si>
  <si>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</si>
  <si>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</si>
  <si>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</si>
  <si>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</si>
  <si>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</si>
  <si>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</si>
  <si>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</si>
  <si>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</si>
  <si>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</si>
  <si>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</si>
  <si>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</si>
  <si>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</si>
  <si>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</si>
  <si>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</si>
  <si>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</si>
  <si>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</si>
  <si>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</si>
  <si>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</si>
  <si>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</si>
  <si>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</si>
  <si>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</si>
  <si>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</si>
  <si>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</si>
  <si>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</si>
  <si>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</si>
  <si>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</si>
  <si>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</si>
  <si>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</si>
  <si>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</si>
  <si>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</si>
  <si>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</si>
  <si>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</si>
  <si>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</si>
  <si>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</si>
  <si>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</si>
  <si>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</si>
  <si>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</si>
  <si>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</si>
  <si>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</si>
  <si>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</si>
  <si>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</si>
  <si>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</si>
  <si>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</si>
  <si>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</si>
  <si>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</si>
  <si>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</si>
  <si>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</si>
  <si>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</si>
  <si>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</si>
  <si>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</si>
  <si>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</si>
  <si>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</si>
  <si>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</si>
  <si>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</si>
  <si>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</si>
  <si>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</si>
  <si>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</si>
  <si>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</si>
  <si>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</si>
  <si>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</si>
  <si>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</si>
  <si>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</si>
  <si>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</si>
  <si>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</si>
  <si>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</si>
  <si>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</si>
  <si>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</si>
  <si>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</si>
  <si>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</si>
  <si>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</si>
  <si>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</si>
  <si>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</si>
  <si>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</si>
  <si>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</si>
  <si>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</si>
  <si>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</si>
  <si>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</si>
  <si>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</si>
  <si>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</si>
  <si>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</si>
  <si>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</si>
  <si>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</si>
  <si>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</si>
  <si>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</si>
  <si>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</si>
  <si>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</si>
  <si>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</si>
  <si>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</si>
  <si>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</si>
  <si>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</si>
  <si>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</si>
  <si>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</si>
  <si>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</si>
  <si>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</si>
  <si>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</si>
  <si>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</si>
  <si>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</si>
  <si>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</si>
  <si>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</si>
  <si>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</si>
  <si>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</si>
  <si>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</si>
  <si>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</si>
  <si>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</si>
  <si>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</si>
  <si>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</si>
  <si>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</si>
  <si>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</si>
  <si>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</si>
  <si>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</si>
  <si>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</si>
  <si>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</si>
  <si>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</si>
  <si>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</si>
  <si>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</si>
  <si>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</si>
  <si>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</si>
  <si>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</si>
  <si>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</si>
  <si>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</si>
  <si>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</si>
  <si>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</si>
  <si>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</si>
  <si>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</si>
  <si>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</si>
  <si>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</si>
  <si>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</si>
  <si>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</si>
  <si>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</si>
  <si>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</si>
  <si>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</si>
  <si>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</si>
  <si>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</si>
  <si>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</si>
  <si>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</si>
  <si>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</si>
  <si>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</si>
  <si>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</si>
  <si>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</si>
  <si>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</si>
  <si>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</si>
  <si>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</si>
  <si>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</si>
  <si>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</si>
  <si>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</si>
  <si>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</si>
  <si>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</si>
  <si>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</si>
  <si>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</si>
  <si>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</si>
  <si>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</si>
  <si>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</si>
  <si>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</si>
  <si>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</si>
  <si>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</si>
  <si>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</si>
  <si>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</si>
  <si>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</si>
  <si>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</si>
  <si>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</si>
  <si>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</si>
  <si>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</si>
  <si>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</si>
  <si>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</si>
  <si>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</si>
  <si>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</si>
  <si>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</si>
  <si>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</si>
  <si>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</si>
  <si>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</si>
  <si>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</si>
  <si>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</si>
  <si>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</si>
  <si>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</si>
  <si>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</si>
  <si>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</si>
  <si>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</si>
  <si>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</si>
  <si>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</si>
  <si>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</si>
  <si>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</si>
  <si>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</si>
  <si>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</si>
  <si>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</si>
  <si>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</si>
  <si>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</si>
  <si>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</si>
  <si>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</si>
  <si>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</si>
  <si>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</si>
  <si>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</si>
  <si>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</si>
  <si>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</si>
  <si>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</si>
  <si>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</si>
  <si>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</si>
  <si>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</si>
  <si>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</si>
  <si>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</si>
  <si>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</si>
  <si>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</si>
  <si>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</si>
  <si>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</si>
  <si>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</si>
  <si>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</si>
  <si>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</si>
  <si>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</si>
  <si>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</si>
  <si>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</si>
  <si>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</si>
  <si>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</si>
  <si>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</si>
  <si>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</si>
  <si>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</si>
  <si>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</si>
  <si>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</si>
  <si>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</si>
  <si>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</si>
  <si>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</si>
  <si>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</si>
  <si>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</si>
  <si>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</si>
  <si>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</si>
  <si>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</si>
  <si>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</si>
  <si>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</si>
  <si>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</si>
  <si>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</si>
  <si>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</si>
  <si>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</si>
  <si>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</si>
  <si>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</si>
  <si>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</si>
  <si>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</si>
  <si>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</si>
  <si>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</si>
  <si>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</si>
  <si>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</si>
  <si>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</si>
  <si>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</si>
  <si>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</si>
  <si>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</si>
  <si>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</si>
  <si>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</si>
  <si>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</si>
  <si>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</si>
  <si>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</si>
  <si>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</si>
  <si>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</si>
  <si>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</si>
  <si>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</si>
  <si>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</si>
  <si>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</si>
  <si>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</si>
  <si>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</si>
  <si>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</si>
  <si>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</si>
  <si>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</si>
  <si>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</si>
  <si>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</si>
  <si>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</si>
  <si>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</si>
  <si>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</si>
  <si>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</si>
  <si>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</si>
  <si>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</si>
  <si>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</si>
  <si>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</si>
  <si>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</si>
  <si>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</si>
  <si>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</si>
  <si>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</si>
  <si>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</si>
  <si>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</si>
  <si>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</si>
  <si>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</si>
  <si>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</si>
  <si>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</si>
  <si>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</si>
  <si>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</si>
  <si>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</si>
  <si>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</si>
  <si>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</si>
  <si>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</si>
  <si>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</si>
  <si>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</si>
  <si>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</si>
  <si>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</si>
  <si>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</si>
  <si>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</si>
  <si>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</si>
  <si>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</si>
  <si>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</si>
  <si>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</si>
  <si>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</si>
  <si>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</si>
  <si>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</si>
  <si>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</si>
  <si>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</si>
  <si>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</si>
  <si>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</si>
  <si>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</si>
  <si>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</si>
  <si>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</si>
  <si>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</si>
  <si>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</si>
  <si>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</si>
  <si>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</si>
  <si>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</si>
  <si>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</si>
  <si>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</si>
  <si>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</si>
  <si>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</si>
  <si>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</si>
  <si>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</si>
  <si>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</si>
  <si>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</si>
  <si>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</si>
  <si>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</si>
  <si>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</si>
  <si>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</si>
  <si>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</si>
  <si>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</si>
  <si>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</si>
  <si>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</si>
  <si>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</si>
  <si>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</si>
  <si>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</si>
  <si>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</si>
  <si>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</si>
  <si>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</si>
  <si>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</si>
  <si>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</si>
  <si>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</si>
  <si>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</si>
  <si>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</si>
  <si>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</si>
  <si>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</si>
  <si>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</si>
  <si>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</si>
  <si>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</si>
  <si>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</si>
  <si>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</si>
  <si>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</si>
  <si>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</si>
  <si>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</si>
  <si>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</si>
  <si>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</si>
  <si>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</si>
  <si>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</si>
  <si>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</si>
  <si>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</si>
  <si>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</si>
  <si>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</si>
  <si>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</si>
  <si>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</si>
  <si>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</si>
  <si>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</si>
  <si>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</si>
  <si>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</si>
  <si>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</si>
  <si>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</si>
  <si>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</si>
  <si>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</si>
  <si>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</si>
  <si>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</si>
  <si>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</si>
  <si>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</si>
  <si>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</si>
  <si>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</si>
  <si>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</si>
  <si>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</si>
  <si>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</si>
  <si>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</si>
  <si>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</si>
  <si>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</si>
  <si>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</si>
  <si>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</si>
  <si>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</si>
  <si>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</si>
  <si>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</si>
  <si>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</si>
  <si>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</si>
  <si>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</si>
  <si>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</si>
  <si>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</si>
  <si>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</si>
  <si>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</si>
  <si>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</si>
  <si>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</si>
  <si>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</si>
  <si>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</si>
  <si>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</si>
  <si>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</si>
  <si>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</si>
  <si>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</si>
  <si>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</si>
  <si>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</si>
  <si>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</si>
  <si>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</si>
  <si>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</si>
  <si>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</si>
  <si>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</si>
  <si>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</si>
  <si>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</si>
  <si>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</si>
  <si>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</si>
  <si>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</si>
  <si>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</si>
  <si>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</si>
  <si>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</si>
  <si>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</si>
  <si>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</si>
  <si>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</si>
  <si>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</si>
  <si>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</si>
  <si>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</si>
  <si>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</si>
  <si>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</si>
  <si>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</si>
  <si>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</si>
  <si>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</si>
  <si>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</si>
  <si>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</si>
  <si>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</si>
  <si>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</si>
  <si>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</si>
  <si>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</si>
  <si>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</si>
  <si>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</si>
  <si>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</si>
  <si>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</si>
  <si>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</si>
  <si>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</si>
  <si>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</si>
  <si>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</si>
  <si>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</si>
  <si>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</si>
  <si>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</si>
  <si>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</si>
  <si>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</si>
  <si>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</si>
  <si>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</si>
  <si>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</si>
  <si>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</si>
  <si>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</si>
  <si>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</si>
  <si>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</si>
  <si>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</si>
  <si>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</si>
  <si>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</si>
  <si>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</si>
  <si>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</si>
  <si>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</si>
  <si>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</si>
  <si>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</si>
  <si>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</si>
  <si>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</si>
  <si>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</si>
  <si>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</si>
  <si>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</si>
  <si>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</si>
  <si>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</si>
  <si>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</si>
  <si>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</si>
  <si>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</si>
  <si>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</si>
  <si>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</si>
  <si>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</si>
  <si>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</si>
  <si>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</si>
  <si>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</si>
  <si>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</si>
  <si>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</si>
  <si>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</si>
  <si>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</si>
  <si>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</si>
  <si>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</si>
  <si>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</si>
  <si>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</si>
  <si>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</si>
  <si>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</si>
  <si>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</si>
  <si>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</si>
  <si>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</si>
  <si>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</si>
  <si>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</si>
  <si>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</si>
  <si>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</si>
  <si>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</si>
  <si>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</si>
  <si>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</si>
  <si>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</si>
  <si>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</si>
  <si>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</si>
  <si>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</si>
  <si>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</si>
  <si>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</si>
  <si>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</si>
  <si>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</si>
  <si>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</si>
  <si>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</si>
  <si>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</si>
  <si>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</si>
  <si>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</si>
  <si>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</si>
  <si>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</si>
  <si>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</si>
  <si>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</si>
  <si>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</si>
  <si>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</si>
  <si>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</si>
  <si>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</si>
  <si>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</si>
  <si>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</si>
  <si>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</si>
  <si>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</si>
  <si>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</si>
  <si>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</si>
  <si>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</si>
  <si>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</si>
  <si>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</si>
  <si>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</si>
  <si>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</si>
  <si>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</si>
  <si>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</si>
  <si>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</si>
  <si>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</si>
  <si>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</si>
  <si>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</si>
  <si>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</si>
  <si>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</si>
  <si>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</si>
  <si>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</si>
  <si>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</si>
  <si>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</si>
  <si>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</si>
  <si>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</si>
  <si>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</si>
  <si>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</si>
  <si>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</si>
  <si>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</si>
  <si>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</si>
  <si>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</si>
  <si>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</si>
  <si>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</si>
  <si>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</si>
  <si>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</si>
  <si>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</si>
  <si>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</si>
  <si>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</si>
  <si>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</si>
  <si>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</si>
  <si>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</si>
  <si>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</si>
  <si>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</si>
  <si>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</si>
  <si>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</si>
  <si>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</si>
  <si>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</si>
  <si>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</si>
  <si>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</si>
  <si>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</si>
  <si>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</si>
  <si>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</si>
  <si>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</si>
  <si>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</si>
  <si>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</si>
  <si>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</si>
  <si>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</si>
  <si>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</si>
  <si>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</si>
  <si>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</si>
  <si>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</si>
  <si>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</si>
  <si>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</si>
  <si>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</si>
  <si>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</si>
  <si>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</si>
  <si>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</si>
  <si>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</si>
  <si>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</si>
  <si>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</si>
  <si>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</si>
  <si>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</si>
  <si>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</si>
  <si>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</si>
  <si>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</si>
  <si>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</si>
  <si>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</si>
  <si>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</si>
  <si>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</si>
  <si>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</si>
  <si>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</si>
  <si>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</si>
  <si>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</si>
  <si>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</si>
  <si>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</si>
  <si>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</si>
  <si>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</si>
  <si>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</si>
  <si>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</si>
  <si>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</si>
  <si>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</si>
  <si>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</si>
  <si>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</si>
  <si>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</si>
  <si>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</si>
  <si>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</si>
  <si>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</si>
  <si>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</si>
  <si>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</si>
  <si>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</si>
  <si>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</si>
  <si>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</si>
  <si>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</si>
  <si>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</si>
  <si>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</si>
  <si>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</si>
  <si>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</si>
  <si>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</si>
  <si>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</si>
  <si>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</si>
  <si>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</si>
  <si>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</si>
  <si>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</si>
  <si>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</si>
  <si>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</si>
  <si>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</si>
  <si>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</si>
  <si>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</si>
  <si>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</si>
  <si>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</si>
  <si>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</si>
  <si>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</si>
  <si>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</si>
  <si>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</si>
  <si>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</si>
  <si>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</si>
  <si>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</si>
  <si>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</si>
  <si>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</si>
  <si>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</si>
  <si>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</si>
  <si>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</si>
  <si>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</si>
  <si>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</si>
  <si>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</si>
  <si>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</si>
  <si>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</si>
  <si>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</si>
  <si>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</si>
  <si>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</si>
  <si>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</si>
  <si>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</si>
  <si>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</si>
  <si>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</si>
  <si>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</si>
  <si>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</si>
  <si>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</si>
  <si>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</si>
  <si>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</si>
  <si>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</si>
  <si>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</si>
  <si>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</si>
  <si>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</si>
  <si>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</si>
  <si>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</si>
  <si>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</si>
  <si>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</si>
  <si>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</si>
  <si>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</si>
  <si>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</si>
  <si>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</si>
  <si>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</si>
  <si>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</si>
  <si>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</si>
  <si>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</si>
  <si>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</si>
  <si>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</si>
  <si>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</si>
  <si>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</si>
  <si>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</si>
  <si>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</si>
  <si>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</si>
  <si>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</si>
  <si>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</si>
  <si>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</si>
  <si>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</si>
  <si>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</si>
  <si>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</si>
  <si>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</si>
  <si>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</si>
  <si>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</si>
  <si>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</si>
  <si>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</si>
  <si>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</si>
  <si>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</si>
  <si>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</si>
  <si>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</si>
  <si>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</si>
  <si>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</si>
  <si>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</si>
  <si>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</si>
  <si>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</si>
  <si>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</si>
  <si>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</si>
  <si>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</si>
  <si>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</si>
  <si>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</si>
  <si>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</si>
  <si>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</si>
  <si>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</si>
  <si>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</si>
  <si>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</si>
  <si>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</si>
  <si>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</si>
  <si>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</si>
  <si>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</si>
  <si>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</si>
  <si>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</si>
  <si>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</si>
  <si>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</si>
  <si>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</si>
  <si>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</si>
  <si>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</si>
  <si>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</si>
  <si>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</si>
  <si>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</si>
  <si>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</si>
  <si>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</si>
  <si>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</si>
  <si>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</si>
  <si>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</si>
  <si>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</si>
  <si>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</si>
  <si>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</si>
  <si>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</si>
  <si>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</si>
  <si>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</si>
  <si>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</si>
  <si>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</si>
  <si>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</si>
  <si>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</si>
  <si>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</si>
  <si>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</si>
  <si>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</si>
  <si>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</si>
  <si>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</si>
  <si>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</si>
  <si>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</si>
  <si>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</si>
  <si>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</si>
  <si>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</si>
  <si>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</si>
  <si>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</si>
  <si>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</si>
  <si>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</si>
  <si>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</si>
  <si>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</si>
  <si>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</si>
  <si>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</si>
  <si>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</si>
  <si>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</si>
  <si>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</si>
  <si>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</si>
  <si>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</si>
  <si>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</si>
  <si>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</si>
  <si>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</si>
  <si>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</si>
  <si>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</si>
  <si>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</si>
  <si>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</si>
  <si>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</si>
  <si>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</si>
  <si>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</si>
  <si>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</si>
  <si>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</si>
  <si>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</si>
  <si>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</si>
  <si>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</si>
  <si>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</si>
  <si>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</si>
  <si>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</si>
  <si>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</si>
  <si>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</si>
  <si>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</si>
  <si>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</si>
  <si>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</si>
  <si>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</si>
  <si>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</si>
  <si>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</si>
  <si>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</si>
  <si>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</si>
  <si>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</si>
  <si>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</si>
  <si>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</si>
  <si>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</si>
  <si>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</si>
  <si>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</si>
  <si>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</si>
  <si>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</si>
  <si>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</si>
  <si>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</si>
  <si>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</si>
  <si>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</si>
  <si>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</si>
  <si>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</si>
  <si>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</si>
  <si>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</si>
  <si>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</si>
  <si>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</si>
  <si>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</si>
  <si>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</si>
  <si>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</si>
  <si>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</si>
  <si>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</si>
  <si>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</si>
  <si>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</si>
  <si>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</si>
  <si>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</si>
  <si>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</si>
  <si>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</si>
  <si>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</si>
  <si>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</si>
  <si>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</si>
  <si>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</si>
  <si>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</si>
  <si>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</si>
  <si>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</si>
  <si>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</si>
  <si>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</si>
  <si>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</si>
  <si>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</si>
  <si>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</si>
  <si>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</si>
  <si>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</si>
  <si>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</si>
  <si>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</si>
  <si>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</si>
  <si>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</si>
  <si>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</si>
  <si>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</si>
  <si>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</si>
  <si>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</si>
  <si>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</si>
  <si>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</si>
  <si>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</si>
  <si>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</si>
  <si>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</si>
  <si>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</si>
  <si>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</si>
  <si>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</si>
  <si>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</si>
  <si>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</si>
  <si>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</si>
  <si>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</si>
  <si>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</si>
  <si>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</si>
  <si>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</si>
  <si>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</si>
  <si>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</si>
  <si>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</si>
  <si>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</si>
  <si>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</si>
  <si>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</si>
  <si>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</si>
  <si>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</si>
  <si>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</si>
  <si>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</si>
  <si>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</si>
  <si>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</si>
  <si>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</si>
  <si>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</si>
  <si>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</si>
  <si>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</si>
  <si>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</si>
  <si>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</si>
  <si>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</si>
  <si>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</si>
  <si>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</si>
  <si>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</si>
  <si>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</si>
  <si>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</si>
  <si>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</si>
  <si>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</si>
  <si>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</si>
  <si>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</si>
  <si>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</si>
  <si>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</si>
  <si>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</si>
  <si>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</si>
  <si>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</si>
  <si>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</si>
  <si>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</si>
  <si>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</si>
  <si>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</si>
  <si>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</si>
  <si>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</si>
  <si>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</si>
  <si>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</si>
  <si>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</si>
  <si>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</si>
  <si>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</si>
  <si>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</si>
  <si>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</si>
  <si>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</si>
  <si>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</si>
  <si>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</si>
  <si>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</si>
  <si>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</si>
  <si>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</si>
  <si>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</si>
  <si>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</si>
  <si>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</si>
  <si>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</si>
  <si>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</si>
  <si>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</si>
  <si>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</si>
  <si>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</si>
  <si>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</si>
  <si>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</si>
  <si>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</si>
  <si>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</si>
  <si>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</si>
  <si>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</si>
  <si>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</si>
  <si>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</si>
  <si>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</si>
  <si>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</si>
  <si>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</si>
  <si>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</si>
  <si>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</si>
  <si>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</si>
  <si>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</si>
  <si>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</si>
  <si>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</si>
  <si>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</si>
  <si>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</si>
  <si>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</si>
  <si>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</si>
  <si>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</si>
  <si>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</si>
  <si>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</si>
  <si>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</si>
  <si>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</si>
  <si>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</si>
  <si>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</si>
  <si>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</si>
  <si>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</si>
  <si>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</si>
  <si>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</si>
  <si>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</si>
  <si>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</si>
  <si>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</si>
  <si>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</si>
  <si>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</si>
  <si>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</si>
  <si>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</si>
  <si>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</si>
  <si>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</si>
  <si>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</si>
  <si>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</si>
  <si>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</si>
  <si>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</si>
  <si>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</si>
  <si>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</si>
  <si>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</si>
  <si>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</si>
  <si>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</si>
  <si>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</si>
  <si>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</si>
  <si>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</si>
  <si>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</si>
  <si>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</si>
  <si>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</si>
  <si>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</si>
  <si>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</si>
  <si>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</si>
  <si>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</si>
  <si>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</si>
  <si>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</si>
  <si>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</si>
  <si>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</si>
  <si>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</si>
  <si>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</si>
  <si>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</si>
  <si>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</si>
  <si>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</si>
  <si>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</si>
  <si>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</si>
  <si>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</si>
  <si>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</si>
  <si>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</si>
  <si>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</si>
  <si>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</si>
  <si>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</si>
  <si>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</si>
  <si>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</si>
  <si>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</si>
  <si>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</si>
  <si>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</si>
  <si>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</si>
  <si>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</si>
  <si>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</si>
  <si>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</si>
  <si>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</si>
  <si>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</si>
  <si>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</si>
  <si>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</si>
  <si>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</si>
  <si>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</si>
  <si>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</si>
  <si>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</si>
  <si>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</si>
  <si>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</si>
  <si>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</si>
  <si>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</si>
  <si>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</si>
  <si>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</si>
  <si>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</si>
  <si>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</si>
  <si>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</si>
  <si>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</si>
  <si>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</si>
  <si>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</si>
  <si>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</si>
  <si>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</si>
  <si>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</si>
  <si>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</si>
  <si>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</si>
  <si>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</si>
  <si>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</si>
  <si>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</si>
  <si>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</si>
  <si>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</si>
  <si>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</si>
  <si>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</si>
  <si>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</si>
  <si>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</si>
  <si>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</si>
  <si>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</si>
  <si>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</si>
  <si>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</si>
  <si>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</si>
  <si>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</si>
  <si>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</si>
  <si>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</si>
  <si>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</si>
  <si>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</si>
  <si>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</si>
  <si>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</si>
  <si>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</si>
  <si>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</si>
  <si>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</si>
  <si>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</si>
  <si>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</si>
  <si>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</si>
  <si>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</si>
  <si>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</si>
  <si>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</si>
  <si>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</si>
  <si>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</si>
  <si>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</si>
  <si>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</si>
  <si>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</si>
  <si>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</si>
  <si>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</si>
  <si>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</si>
  <si>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</si>
  <si>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</si>
  <si>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</si>
  <si>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</si>
  <si>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</si>
  <si>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</si>
  <si>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</si>
  <si>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</si>
  <si>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</si>
  <si>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</si>
  <si>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</si>
  <si>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</si>
  <si>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</si>
  <si>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</si>
  <si>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</si>
  <si>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</si>
  <si>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</si>
  <si>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</si>
  <si>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</si>
  <si>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</si>
  <si>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</si>
  <si>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</si>
  <si>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</si>
  <si>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</si>
  <si>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</si>
  <si>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</si>
  <si>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</si>
  <si>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</si>
  <si>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</si>
  <si>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</si>
  <si>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</si>
  <si>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</si>
  <si>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</si>
  <si>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</si>
  <si>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</si>
  <si>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</si>
  <si>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</si>
  <si>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</si>
  <si>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</si>
  <si>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</si>
  <si>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</si>
  <si>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</si>
  <si>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</si>
  <si>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</si>
  <si>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</si>
  <si>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</si>
  <si>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</si>
  <si>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</si>
  <si>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</si>
  <si>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</si>
  <si>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</si>
  <si>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</si>
  <si>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</si>
  <si>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</si>
  <si>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</si>
  <si>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</si>
  <si>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</si>
  <si>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</si>
  <si>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</si>
  <si>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</si>
  <si>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</si>
  <si>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</si>
  <si>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</si>
  <si>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</si>
  <si>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</si>
  <si>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</si>
  <si>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</si>
  <si>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</si>
  <si>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</si>
  <si>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</si>
  <si>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</si>
  <si>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</si>
  <si>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</si>
  <si>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</si>
  <si>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</si>
  <si>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</si>
  <si>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</si>
  <si>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</si>
  <si>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</si>
  <si>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</si>
  <si>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</si>
  <si>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</si>
  <si>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</si>
  <si>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</si>
  <si>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</si>
  <si>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</si>
  <si>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</si>
  <si>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</si>
  <si>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</si>
  <si>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</si>
  <si>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</si>
  <si>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</si>
  <si>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</si>
  <si>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</si>
  <si>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</si>
  <si>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</si>
  <si>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</si>
  <si>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</si>
  <si>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</si>
  <si>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</si>
  <si>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</si>
  <si>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</si>
  <si>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</si>
  <si>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</si>
  <si>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</si>
  <si>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</si>
  <si>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</si>
  <si>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</si>
  <si>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</si>
  <si>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</si>
  <si>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</si>
  <si>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</si>
  <si>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</si>
  <si>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</si>
  <si>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</si>
  <si>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</si>
  <si>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</si>
  <si>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</si>
  <si>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</si>
  <si>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</si>
  <si>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</si>
  <si>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</si>
  <si>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</si>
  <si>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</si>
  <si>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</si>
  <si>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</si>
  <si>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</si>
  <si>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</si>
  <si>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</si>
  <si>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</si>
  <si>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</si>
  <si>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</si>
  <si>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</si>
  <si>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</si>
  <si>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</si>
  <si>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</si>
  <si>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</si>
  <si>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</si>
  <si>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</si>
  <si>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</si>
  <si>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</si>
  <si>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</si>
  <si>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</si>
  <si>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</si>
  <si>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</si>
  <si>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</si>
  <si>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</si>
  <si>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</si>
  <si>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</si>
  <si>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</si>
  <si>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</si>
  <si>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</si>
  <si>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</si>
  <si>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</si>
  <si>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</si>
  <si>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</si>
  <si>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</si>
  <si>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</si>
  <si>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</si>
  <si>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</si>
  <si>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</si>
  <si>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</si>
  <si>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</si>
  <si>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</si>
  <si>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</si>
  <si>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</si>
  <si>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</si>
  <si>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</si>
  <si>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</si>
  <si>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</si>
  <si>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</si>
  <si>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</si>
  <si>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</si>
  <si>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</si>
  <si>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</si>
  <si>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</si>
  <si>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</si>
  <si>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</si>
  <si>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</si>
  <si>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</si>
  <si>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</si>
  <si>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</si>
  <si>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</si>
  <si>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</si>
  <si>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</si>
  <si>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</si>
  <si>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</si>
  <si>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</si>
  <si>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</si>
  <si>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</si>
  <si>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</si>
  <si>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</si>
  <si>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</si>
  <si>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</si>
  <si>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</si>
  <si>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</si>
  <si>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</si>
  <si>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</si>
  <si>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</si>
  <si>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</si>
  <si>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</si>
  <si>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</si>
  <si>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</si>
  <si>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</si>
  <si>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</si>
  <si>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</si>
  <si>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</si>
  <si>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</si>
  <si>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</si>
  <si>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</si>
  <si>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</si>
  <si>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</si>
  <si>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</si>
  <si>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</si>
  <si>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</si>
  <si>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</si>
  <si>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</si>
  <si>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</si>
  <si>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</si>
  <si>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</si>
  <si>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</si>
  <si>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</si>
  <si>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</si>
  <si>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</si>
  <si>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</si>
  <si>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</si>
  <si>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</si>
  <si>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</si>
  <si>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</si>
  <si>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</si>
  <si>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</si>
  <si>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</si>
  <si>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</si>
  <si>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</si>
  <si>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</si>
  <si>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</si>
  <si>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</si>
  <si>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</si>
  <si>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</si>
  <si>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</si>
  <si>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</si>
  <si>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</si>
  <si>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</si>
  <si>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</si>
  <si>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</si>
  <si>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</si>
  <si>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</si>
  <si>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</si>
  <si>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</si>
  <si>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</si>
  <si>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</si>
  <si>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</si>
  <si>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</si>
  <si>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</si>
  <si>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</si>
  <si>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</si>
  <si>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</si>
  <si>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</si>
  <si>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</si>
  <si>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</si>
  <si>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</si>
  <si>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</si>
  <si>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</si>
  <si>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</si>
  <si>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</si>
  <si>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</si>
  <si>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</si>
  <si>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</si>
  <si>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</si>
  <si>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</si>
  <si>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</si>
  <si>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</si>
  <si>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</si>
  <si>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</si>
  <si>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</si>
  <si>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</si>
  <si>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</si>
  <si>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</si>
  <si>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</si>
  <si>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</si>
  <si>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</si>
  <si>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</si>
  <si>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</si>
  <si>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</si>
  <si>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</si>
  <si>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</si>
  <si>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</si>
  <si>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</si>
  <si>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</si>
  <si>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</si>
  <si>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</si>
  <si>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</si>
  <si>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</si>
  <si>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</si>
  <si>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</si>
  <si>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</si>
  <si>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</si>
  <si>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</si>
  <si>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</si>
  <si>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</si>
  <si>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</si>
  <si>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</si>
  <si>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</si>
  <si>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</si>
  <si>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</si>
  <si>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</si>
  <si>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</si>
  <si>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</si>
  <si>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</si>
  <si>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</si>
  <si>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</si>
  <si>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</si>
  <si>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</si>
  <si>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</si>
  <si>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</si>
  <si>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</si>
  <si>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</si>
  <si>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</si>
  <si>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</si>
  <si>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</si>
  <si>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</si>
  <si>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</si>
  <si>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</si>
  <si>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</si>
  <si>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</si>
  <si>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</si>
  <si>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</si>
  <si>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</si>
  <si>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</si>
  <si>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</si>
  <si>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</si>
  <si>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</si>
  <si>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</si>
  <si>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</si>
  <si>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</si>
  <si>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</si>
  <si>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</si>
  <si>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</si>
  <si>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</si>
  <si>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</si>
  <si>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</si>
  <si>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</si>
  <si>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</si>
  <si>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</si>
  <si>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</si>
  <si>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</si>
  <si>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</si>
  <si>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</si>
  <si>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</si>
  <si>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</si>
  <si>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</si>
  <si>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</si>
  <si>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</si>
  <si>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</si>
  <si>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</si>
  <si>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</si>
  <si>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</si>
  <si>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</si>
  <si>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</si>
  <si>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</si>
  <si>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</si>
  <si>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</si>
  <si>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</si>
  <si>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</si>
  <si>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</si>
  <si>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</si>
  <si>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</si>
  <si>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</si>
  <si>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</si>
  <si>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</si>
  <si>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</si>
  <si>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</si>
  <si>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</si>
  <si>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</si>
  <si>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</si>
  <si>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</si>
  <si>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</si>
  <si>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</si>
  <si>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</si>
  <si>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</si>
  <si>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</si>
  <si>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</si>
  <si>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</si>
  <si>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</si>
  <si>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</si>
  <si>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</si>
  <si>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</si>
  <si>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</si>
  <si>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</si>
  <si>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</si>
  <si>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</si>
  <si>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</si>
  <si>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</si>
  <si>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</si>
  <si>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</si>
  <si>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</si>
  <si>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</si>
  <si>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</si>
  <si>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</si>
  <si>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</si>
  <si>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</si>
  <si>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</si>
  <si>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</si>
  <si>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</si>
  <si>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</si>
  <si>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</si>
  <si>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</si>
  <si>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</si>
  <si>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</si>
  <si>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</si>
  <si>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</si>
  <si>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</si>
  <si>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</si>
  <si>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</si>
  <si>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</si>
  <si>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</si>
  <si>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</si>
  <si>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</si>
  <si>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</si>
  <si>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</si>
  <si>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</si>
  <si>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</si>
  <si>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</si>
  <si>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</si>
  <si>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</si>
  <si>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</si>
  <si>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</si>
  <si>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</si>
  <si>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</si>
  <si>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</si>
  <si>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</si>
  <si>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</si>
  <si>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</si>
  <si>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</si>
  <si>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</si>
  <si>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</si>
  <si>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</si>
  <si>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</si>
  <si>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</si>
  <si>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</si>
  <si>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</si>
  <si>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</si>
  <si>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</si>
  <si>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</si>
  <si>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</si>
  <si>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</si>
  <si>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</si>
  <si>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</si>
  <si>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</si>
  <si>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</si>
  <si>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</si>
  <si>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</si>
  <si>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</si>
  <si>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</si>
  <si>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</si>
  <si>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</si>
  <si>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</si>
  <si>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</si>
  <si>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</si>
  <si>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</si>
  <si>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</si>
  <si>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</si>
  <si>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</si>
  <si>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</si>
  <si>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</si>
  <si>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</si>
  <si>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</si>
  <si>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</si>
  <si>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</si>
  <si>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</si>
  <si>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</si>
  <si>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</si>
  <si>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</si>
  <si>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</si>
  <si>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</si>
  <si>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</si>
  <si>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</si>
  <si>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</si>
  <si>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</si>
  <si>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</si>
  <si>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</si>
  <si>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</si>
  <si>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</si>
  <si>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</si>
  <si>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</si>
  <si>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</si>
  <si>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</si>
  <si>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</si>
  <si>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</si>
  <si>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</si>
  <si>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</si>
  <si>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</si>
  <si>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</si>
  <si>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</si>
  <si>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</si>
  <si>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</si>
  <si>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</si>
  <si>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</si>
  <si>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</si>
  <si>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</si>
  <si>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</si>
  <si>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</si>
  <si>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</si>
  <si>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</si>
  <si>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</si>
  <si>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</si>
  <si>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</si>
  <si>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</si>
  <si>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</si>
  <si>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</si>
  <si>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</si>
  <si>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</si>
  <si>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</si>
  <si>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</si>
  <si>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</si>
  <si>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</si>
  <si>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</si>
  <si>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</si>
  <si>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</si>
  <si>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</si>
  <si>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</si>
  <si>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</si>
  <si>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</si>
  <si>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</si>
  <si>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</si>
  <si>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</si>
  <si>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</si>
  <si>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</si>
  <si>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</si>
  <si>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</si>
  <si>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</si>
  <si>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</si>
  <si>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</si>
  <si>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</si>
  <si>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</si>
  <si>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</si>
  <si>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</si>
  <si>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</si>
  <si>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</si>
  <si>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</si>
  <si>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</si>
  <si>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</si>
  <si>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</si>
  <si>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</si>
  <si>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</si>
  <si>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</si>
  <si>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</si>
  <si>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</si>
  <si>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</si>
  <si>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</si>
  <si>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</si>
  <si>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</si>
  <si>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</si>
  <si>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</si>
  <si>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</si>
  <si>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</si>
  <si>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</si>
  <si>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</si>
  <si>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</si>
  <si>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</si>
  <si>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</si>
  <si>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</si>
  <si>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</si>
  <si>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</si>
  <si>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</si>
  <si>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</si>
  <si>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</si>
  <si>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</si>
  <si>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</si>
  <si>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</si>
  <si>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</si>
  <si>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</si>
  <si>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</si>
  <si>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</si>
  <si>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</si>
  <si>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</si>
  <si>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</si>
  <si>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</si>
  <si>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</si>
  <si>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</si>
  <si>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</si>
  <si>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</si>
  <si>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</si>
  <si>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</si>
  <si>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</si>
  <si>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</si>
  <si>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</si>
  <si>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</si>
  <si>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</si>
  <si>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</si>
  <si>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</si>
  <si>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</si>
  <si>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</si>
  <si>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</si>
  <si>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</si>
  <si>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</si>
  <si>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</si>
  <si>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</si>
  <si>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</si>
  <si>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</si>
  <si>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</si>
  <si>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</si>
  <si>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</si>
  <si>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</si>
  <si>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</si>
  <si>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</si>
  <si>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</si>
  <si>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</si>
  <si>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</si>
  <si>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</si>
  <si>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</si>
  <si>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</si>
  <si>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</si>
  <si>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</si>
  <si>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</si>
  <si>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</si>
  <si>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</si>
  <si>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</si>
  <si>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</si>
  <si>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</si>
  <si>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</si>
  <si>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</si>
  <si>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</si>
  <si>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</si>
  <si>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</si>
  <si>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</si>
  <si>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</si>
  <si>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</si>
  <si>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</si>
  <si>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</si>
  <si>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</si>
  <si>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</si>
  <si>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</si>
  <si>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</si>
  <si>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</si>
  <si>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</si>
  <si>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</si>
  <si>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</si>
  <si>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</si>
  <si>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</si>
  <si>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</si>
  <si>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</si>
  <si>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</si>
  <si>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</si>
  <si>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</si>
  <si>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</si>
  <si>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</si>
  <si>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</si>
  <si>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</si>
  <si>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</si>
  <si>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</si>
  <si>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</si>
  <si>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</si>
  <si>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</si>
  <si>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</si>
  <si>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</si>
  <si>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</si>
  <si>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</si>
  <si>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</si>
  <si>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</si>
  <si>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</si>
  <si>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</si>
  <si>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</si>
  <si>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</si>
  <si>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</si>
  <si>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</si>
  <si>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</si>
  <si>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</si>
  <si>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</si>
  <si>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</si>
  <si>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</si>
  <si>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</si>
  <si>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</si>
  <si>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</si>
  <si>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</si>
  <si>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</si>
  <si>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</si>
  <si>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</si>
  <si>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</si>
  <si>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</si>
  <si>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</si>
  <si>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</si>
  <si>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</si>
  <si>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</si>
  <si>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</si>
  <si>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</si>
  <si>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</si>
  <si>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</si>
  <si>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</si>
  <si>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</si>
  <si>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</si>
  <si>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</si>
  <si>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</si>
  <si>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</si>
  <si>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</si>
  <si>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</si>
  <si>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</si>
  <si>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</si>
  <si>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</si>
  <si>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</si>
  <si>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</si>
  <si>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</si>
  <si>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</si>
  <si>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</si>
  <si>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</si>
  <si>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</si>
  <si>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</si>
  <si>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</si>
  <si>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</si>
  <si>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</si>
  <si>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</si>
  <si>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</si>
  <si>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</si>
  <si>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</si>
  <si>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</si>
  <si>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</si>
  <si>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</si>
  <si>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</si>
  <si>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</si>
  <si>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</si>
  <si>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</si>
  <si>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</si>
  <si>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</si>
  <si>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</si>
  <si>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</si>
  <si>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</si>
  <si>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</si>
  <si>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</si>
  <si>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</si>
  <si>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</si>
  <si>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</si>
  <si>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</si>
  <si>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</si>
  <si>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</si>
  <si>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</si>
  <si>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</si>
  <si>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</si>
  <si>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</si>
  <si>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</si>
  <si>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</si>
  <si>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</si>
  <si>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</si>
  <si>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</si>
  <si>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</si>
  <si>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</si>
  <si>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</si>
  <si>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</si>
  <si>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</si>
  <si>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</si>
  <si>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</si>
  <si>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</si>
  <si>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</si>
  <si>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</si>
  <si>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</si>
  <si>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</si>
  <si>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</si>
  <si>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</si>
  <si>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</si>
  <si>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</si>
  <si>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</si>
  <si>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</si>
  <si>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</si>
  <si>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</si>
  <si>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</si>
  <si>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</si>
  <si>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</si>
  <si>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</si>
  <si>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</si>
  <si>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</si>
  <si>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</si>
  <si>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</si>
  <si>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</si>
  <si>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</si>
  <si>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</si>
  <si>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</si>
  <si>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</si>
  <si>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</si>
  <si>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</si>
  <si>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</si>
  <si>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</si>
  <si>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</si>
  <si>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</si>
  <si>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</si>
  <si>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</si>
  <si>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</si>
  <si>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</si>
  <si>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</si>
  <si>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</si>
  <si>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</si>
  <si>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</si>
  <si>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</si>
  <si>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</si>
  <si>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</si>
  <si>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</si>
  <si>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</si>
  <si>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</si>
  <si>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</si>
  <si>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</si>
  <si>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</si>
  <si>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</si>
  <si>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</si>
  <si>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</si>
  <si>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</si>
  <si>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</si>
  <si>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</si>
  <si>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</si>
  <si>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</si>
  <si>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</si>
  <si>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</si>
  <si>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</si>
  <si>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</si>
  <si>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</si>
  <si>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</si>
  <si>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</si>
  <si>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</si>
  <si>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</si>
  <si>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</si>
  <si>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</si>
  <si>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</si>
  <si>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</si>
  <si>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</si>
  <si>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</si>
  <si>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</si>
  <si>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</si>
  <si>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</si>
  <si>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</si>
  <si>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</si>
  <si>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</si>
  <si>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</si>
  <si>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</si>
  <si>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</si>
  <si>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</si>
  <si>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</si>
  <si>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</si>
  <si>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</si>
  <si>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</si>
  <si>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</si>
  <si>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</si>
  <si>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</si>
  <si>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</si>
  <si>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</si>
  <si>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</si>
  <si>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</si>
  <si>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</si>
  <si>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</si>
  <si>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</si>
  <si>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</si>
  <si>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</si>
  <si>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</si>
  <si>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</si>
  <si>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</si>
  <si>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</si>
  <si>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</si>
  <si>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</si>
  <si>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</si>
  <si>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</si>
  <si>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</si>
  <si>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</si>
  <si>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</si>
  <si>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</si>
  <si>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</si>
  <si>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</si>
  <si>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</si>
  <si>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</si>
  <si>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</si>
  <si>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</si>
  <si>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</si>
  <si>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</si>
  <si>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</si>
  <si>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</si>
  <si>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</si>
  <si>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</si>
  <si>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</si>
  <si>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</si>
  <si>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</si>
  <si>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</si>
  <si>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</si>
  <si>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</si>
  <si>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</si>
  <si>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</si>
  <si>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</si>
  <si>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</si>
  <si>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</si>
  <si>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</si>
  <si>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</si>
  <si>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</si>
  <si>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</si>
  <si>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</si>
  <si>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</si>
  <si>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</si>
  <si>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</si>
  <si>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</si>
  <si>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</si>
  <si>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</si>
  <si>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</si>
  <si>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</si>
  <si>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</si>
  <si>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</si>
  <si>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</si>
  <si>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</si>
  <si>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</si>
  <si>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</si>
  <si>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</si>
  <si>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</si>
  <si>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</si>
  <si>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</si>
  <si>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</si>
  <si>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</si>
  <si>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</si>
  <si>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</si>
  <si>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</si>
  <si>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</si>
  <si>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</si>
  <si>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</si>
  <si>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</si>
  <si>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</si>
  <si>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</si>
  <si>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</si>
  <si>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</si>
  <si>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</si>
  <si>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</si>
  <si>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</si>
  <si>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</si>
  <si>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</si>
  <si>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</si>
  <si>
    <t>收益法已出租</t>
    <phoneticPr fontId="16" type="noConversion"/>
  </si>
  <si>
    <t>商业已出租</t>
  </si>
  <si>
    <t>商业已出租</t>
    <phoneticPr fontId="7" type="noConversion"/>
  </si>
  <si>
    <t>商业未出租</t>
  </si>
  <si>
    <t>商业未出租</t>
    <phoneticPr fontId="7" type="noConversion"/>
  </si>
  <si>
    <t>商业地上已出租</t>
    <phoneticPr fontId="143" type="noConversion"/>
  </si>
  <si>
    <t>商业地下已出租</t>
    <phoneticPr fontId="143" type="noConversion"/>
  </si>
  <si>
    <t>1层标准租金</t>
    <phoneticPr fontId="143" type="noConversion"/>
  </si>
  <si>
    <t>合计</t>
    <phoneticPr fontId="143" type="noConversion"/>
  </si>
  <si>
    <t>收益法（汇总）</t>
  </si>
  <si>
    <t>商业</t>
    <phoneticPr fontId="7" type="noConversion"/>
  </si>
  <si>
    <t>8号楼-103</t>
    <phoneticPr fontId="25" type="noConversion"/>
  </si>
  <si>
    <t>9号楼-103</t>
    <phoneticPr fontId="25" type="noConversion"/>
  </si>
  <si>
    <t>10号楼-103</t>
    <phoneticPr fontId="25" type="noConversion"/>
  </si>
  <si>
    <t>业态</t>
    <phoneticPr fontId="3" type="noConversion"/>
  </si>
  <si>
    <t>可餐饮</t>
    <phoneticPr fontId="25" type="noConversion"/>
  </si>
  <si>
    <t>不可餐饮</t>
    <phoneticPr fontId="25" type="noConversion"/>
  </si>
  <si>
    <t>层高</t>
    <phoneticPr fontId="3" type="noConversion"/>
  </si>
  <si>
    <t>超高</t>
    <phoneticPr fontId="25" type="noConversion"/>
  </si>
  <si>
    <t>标准</t>
    <phoneticPr fontId="25" type="noConversion"/>
  </si>
  <si>
    <t>超低</t>
    <phoneticPr fontId="25"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</si>
  <si>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</si>
  <si>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</si>
  <si>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7号楼101</t>
    <phoneticPr fontId="25" type="noConversion"/>
  </si>
  <si>
    <t>典型户型修正</t>
  </si>
  <si>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</si>
  <si>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</si>
  <si>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</si>
  <si>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</si>
  <si>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</si>
  <si>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</si>
  <si>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未出租平均租金</t>
    <phoneticPr fontId="143" type="noConversion"/>
  </si>
  <si>
    <t>已出租部分建筑面积</t>
    <phoneticPr fontId="143" type="noConversion"/>
  </si>
  <si>
    <t>已出租平均租金</t>
    <phoneticPr fontId="143" type="noConversion"/>
  </si>
  <si>
    <t>——</t>
    <phoneticPr fontId="143" type="noConversion"/>
  </si>
  <si>
    <r>
      <t>2</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</si>
  <si>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</si>
  <si>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t>1</t>
    </r>
    <r>
      <rPr>
        <sz val="10"/>
        <color indexed="8"/>
        <rFont val="宋体"/>
        <family val="3"/>
        <charset val="134"/>
      </rPr>
      <t>层</t>
    </r>
    <phoneticPr fontId="25" type="noConversion"/>
  </si>
  <si>
    <t>地下1层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</si>
</sst>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0" fillId="16" borderId="1" xfId="0" applyFill="1" applyBorder="1" applyAlignment="1" applyProtection="1">
      <alignment horizontal="center" vertical="center"/>
      <protection locked="0"/>
    </xf>
    <xf numFmtId="0" fontId="260" fillId="18" borderId="1" xfId="0" applyFont="1" applyFill="1" applyBorder="1" applyAlignment="1" applyProtection="1">
      <alignment horizontal="center" vertical="center"/>
      <protection locked="0"/>
    </xf>
    <xf numFmtId="0" fontId="260" fillId="1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1114425</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1104899</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估价对象为北京市房地产，为所有。根据《国有土地使用证》[]，估价对象（分摊）出让国有建设用地使用权面积为0平方米，建筑面积为14709.01平方米。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估价对象为北京市房地产,属开发建设的综合项目（居住、综合），该项目尚在开发建设中。根据《国有土地使用证》[]，估价对象（分摊）出让国有建设用地使用权面积为0平方米，规划建筑面积为14709.01平方米。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32438</v>
      </c>
    </row>
    <row r="21" spans="1:2" s="1589" customFormat="1">
      <c r="A21" s="1587" t="s">
        <v>1234</v>
      </c>
      <c r="B21" s="1588">
        <f ca="1">'预评函-2'!D7</f>
        <v>61118</v>
      </c>
    </row>
    <row r="22" spans="1:2" s="1589" customFormat="1">
      <c r="A22" s="1587" t="s">
        <v>1235</v>
      </c>
      <c r="B22" s="1588" t="str">
        <f ca="1">'预评函-2'!D6</f>
        <v>叁亿贰仟肆佰叁拾捌万元整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32438</v>
      </c>
    </row>
    <row r="31" spans="1:2" s="1589" customFormat="1">
      <c r="A31" s="1587" t="s">
        <v>1273</v>
      </c>
      <c r="B31" s="1588">
        <f ca="1">'预评函-2'!D15</f>
        <v>22053</v>
      </c>
    </row>
    <row r="32" spans="1:2" s="1589" customFormat="1">
      <c r="A32" s="1587" t="s">
        <v>1240</v>
      </c>
      <c r="B32" s="1588" t="str">
        <f ca="1">'预评函-2'!D14</f>
        <v>叁亿贰仟肆佰叁拾捌万元整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14709.010000000002</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3367</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3392</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489"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2018" t="s">
        <v>863</v>
      </c>
      <c r="C54" s="2015" t="s">
        <v>1280</v>
      </c>
    </row>
    <row r="55" spans="1:4">
      <c r="A55" s="3489"/>
      <c r="B55" s="2018" t="s">
        <v>864</v>
      </c>
      <c r="C55" s="2015" t="s">
        <v>1281</v>
      </c>
    </row>
    <row r="56" spans="1:4">
      <c r="A56" s="3489"/>
      <c r="B56" s="2018" t="s">
        <v>865</v>
      </c>
      <c r="C56" s="2015" t="s">
        <v>1285</v>
      </c>
    </row>
    <row r="57" spans="1:4">
      <c r="A57" s="3489"/>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490" t="str">
        <f>IF(B10="北京市","北京市",C10)&amp;F10&amp;IF(结果表住宅!G1="在建","出让国有建设用地使用权及在建建筑物",IF(结果表住宅!G1="土地","出让国有建设用地使用权",))&amp;B9&amp;"预评估"</f>
        <v>北京市房地产抵押价值预评估</v>
      </c>
      <c r="C1" s="3491"/>
      <c r="D1" s="3491"/>
      <c r="E1" s="3491"/>
      <c r="F1" s="3491"/>
      <c r="G1" s="3491"/>
      <c r="H1" s="3491"/>
      <c r="I1" s="3492"/>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493"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494"/>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00"/>
      <c r="C16" s="3501"/>
      <c r="D16" s="3502"/>
      <c r="E16" s="2082" t="s">
        <v>1800</v>
      </c>
      <c r="F16" s="3503"/>
      <c r="G16" s="3504"/>
      <c r="H16" s="3504"/>
      <c r="I16" s="3505"/>
      <c r="J16" s="2025"/>
      <c r="K16" s="2079"/>
      <c r="L16" s="2080"/>
      <c r="M16" s="2080"/>
      <c r="N16" s="2081"/>
      <c r="O16" s="2080"/>
      <c r="P16" s="2081"/>
      <c r="Q16" s="2025"/>
      <c r="R16" s="2025"/>
    </row>
    <row r="17" spans="1:22" ht="18" customHeight="1">
      <c r="A17" s="2083" t="s">
        <v>1801</v>
      </c>
      <c r="B17" s="2031" t="s">
        <v>1802</v>
      </c>
      <c r="C17" s="1050">
        <f>'数据-汇总表'!E3</f>
        <v>14709.010000000002</v>
      </c>
      <c r="D17" s="2084" t="s">
        <v>1803</v>
      </c>
      <c r="E17" s="3506" t="s">
        <v>1804</v>
      </c>
      <c r="F17" s="3507"/>
      <c r="G17" s="3507"/>
      <c r="H17" s="3507"/>
      <c r="I17" s="3508"/>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09" t="s">
        <v>1807</v>
      </c>
      <c r="F18" s="3510"/>
      <c r="G18" s="3510"/>
      <c r="H18" s="3510"/>
      <c r="I18" s="3511"/>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496" t="s">
        <v>1812</v>
      </c>
      <c r="C20" s="3497"/>
      <c r="D20" s="3498" t="s">
        <v>1813</v>
      </c>
      <c r="E20" s="3499"/>
      <c r="F20" s="2094" t="s">
        <v>1814</v>
      </c>
      <c r="G20" s="2038"/>
      <c r="H20" s="2038"/>
      <c r="I20" s="2038"/>
      <c r="J20" s="2038"/>
      <c r="K20" s="3495"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49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495"/>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13"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13"/>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13"/>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14"/>
      <c r="B30" s="2031" t="s">
        <v>1831</v>
      </c>
      <c r="C30" s="3515"/>
      <c r="D30" s="3516"/>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17"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18"/>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18"/>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512" t="s">
        <v>1841</v>
      </c>
      <c r="T34" s="2131" t="str">
        <f>NUMBERSTRING(7-K34,1)&amp;"通"</f>
        <v>七通</v>
      </c>
      <c r="U34" s="2025"/>
      <c r="V34" s="2025"/>
    </row>
    <row r="35" spans="1:22" ht="18" customHeight="1">
      <c r="A35" s="2132"/>
      <c r="B35" s="3519" t="s">
        <v>1842</v>
      </c>
      <c r="C35" s="3519"/>
      <c r="D35" s="3519"/>
      <c r="E35" s="3519"/>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12"/>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69" sqref="L6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14709.010000000002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14709.010000000002</v>
      </c>
      <c r="H5" s="16">
        <f t="shared" ref="H5:AT5" si="0">SUM(H13:H656)</f>
        <v>14709.010000000002</v>
      </c>
      <c r="I5" s="16">
        <f t="shared" si="0"/>
        <v>5307.46</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14709.010000000002</v>
      </c>
      <c r="BA5" s="18">
        <f t="shared" si="1"/>
        <v>14709.010000000002</v>
      </c>
      <c r="BB5" s="18">
        <f t="shared" si="1"/>
        <v>5307.46</v>
      </c>
      <c r="BC5" s="18">
        <f t="shared" si="1"/>
        <v>8854.5300000000025</v>
      </c>
      <c r="BD5" s="18">
        <f t="shared" si="1"/>
        <v>547.02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t="s">
        <v>3070</v>
      </c>
      <c r="C20" s="2962">
        <v>2302</v>
      </c>
      <c r="D20" s="2210" t="s">
        <v>3061</v>
      </c>
      <c r="E20" s="35">
        <f t="shared" si="7"/>
        <v>0</v>
      </c>
      <c r="F20" s="36"/>
      <c r="G20" s="37">
        <f t="shared" si="8"/>
        <v>275.93</v>
      </c>
      <c r="H20" s="38">
        <f t="shared" si="9"/>
        <v>275.93</v>
      </c>
      <c r="I20" s="2962">
        <v>275.93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t="str">
        <f t="shared" si="12"/>
        <v>3B住宅楼</v>
      </c>
      <c r="AX20" s="1791">
        <f t="shared" si="13"/>
        <v>2302</v>
      </c>
      <c r="AY20" s="42">
        <f t="shared" si="14"/>
        <v>0</v>
      </c>
      <c r="AZ20" s="35">
        <f t="shared" si="15"/>
        <v>275.93</v>
      </c>
      <c r="BA20" s="35">
        <f t="shared" si="16"/>
        <v>275.93</v>
      </c>
      <c r="BB20" s="35">
        <f t="shared" si="17"/>
        <v>275.93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3062</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70.56</v>
      </c>
      <c r="BA32" s="35">
        <f t="shared" si="16"/>
        <v>70.56</v>
      </c>
      <c r="BB32" s="35">
        <f t="shared" si="17"/>
        <v>0</v>
      </c>
      <c r="BC32" s="35">
        <f t="shared" si="18"/>
        <v>0</v>
      </c>
      <c r="BD32" s="35">
        <f t="shared" si="19"/>
        <v>70.56</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3062</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70.56</v>
      </c>
      <c r="BA33" s="35">
        <f t="shared" si="16"/>
        <v>70.56</v>
      </c>
      <c r="BB33" s="35">
        <f t="shared" si="17"/>
        <v>0</v>
      </c>
      <c r="BC33" s="35">
        <f t="shared" si="18"/>
        <v>0</v>
      </c>
      <c r="BD33" s="35">
        <f t="shared" si="19"/>
        <v>70.56</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3062</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356.83</v>
      </c>
      <c r="BA34" s="35">
        <f t="shared" si="16"/>
        <v>356.83</v>
      </c>
      <c r="BB34" s="35">
        <f t="shared" si="17"/>
        <v>0</v>
      </c>
      <c r="BC34" s="35">
        <f t="shared" si="18"/>
        <v>356.83</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3062</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80.42</v>
      </c>
      <c r="BA36" s="35">
        <f t="shared" si="16"/>
        <v>80.42</v>
      </c>
      <c r="BB36" s="35">
        <f t="shared" si="17"/>
        <v>0</v>
      </c>
      <c r="BC36" s="35">
        <f t="shared" si="18"/>
        <v>80.42</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3062</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80.42</v>
      </c>
      <c r="BA37" s="35">
        <f t="shared" si="16"/>
        <v>80.42</v>
      </c>
      <c r="BB37" s="35">
        <f t="shared" si="17"/>
        <v>0</v>
      </c>
      <c r="BC37" s="35">
        <f t="shared" si="18"/>
        <v>80.42</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3062</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744.05</v>
      </c>
      <c r="BA38" s="35">
        <f t="shared" si="16"/>
        <v>744.05</v>
      </c>
      <c r="BB38" s="35">
        <f t="shared" si="17"/>
        <v>0</v>
      </c>
      <c r="BC38" s="35">
        <f t="shared" si="18"/>
        <v>744.05</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3062</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361.96</v>
      </c>
      <c r="BA39" s="35">
        <f t="shared" si="16"/>
        <v>361.96</v>
      </c>
      <c r="BB39" s="35">
        <f t="shared" si="17"/>
        <v>0</v>
      </c>
      <c r="BC39" s="35">
        <f t="shared" si="18"/>
        <v>361.96</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3062</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80.42</v>
      </c>
      <c r="BA40" s="35">
        <f t="shared" si="16"/>
        <v>80.42</v>
      </c>
      <c r="BB40" s="35">
        <f t="shared" si="17"/>
        <v>0</v>
      </c>
      <c r="BC40" s="35">
        <f t="shared" si="18"/>
        <v>80.42</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3062</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77.94</v>
      </c>
      <c r="BA41" s="35">
        <f t="shared" si="16"/>
        <v>77.94</v>
      </c>
      <c r="BB41" s="35">
        <f t="shared" si="17"/>
        <v>0</v>
      </c>
      <c r="BC41" s="35">
        <f t="shared" si="18"/>
        <v>77.94</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3062</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65.989999999999995</v>
      </c>
      <c r="BA42" s="35">
        <f t="shared" si="16"/>
        <v>65.989999999999995</v>
      </c>
      <c r="BB42" s="35">
        <f t="shared" si="17"/>
        <v>0</v>
      </c>
      <c r="BC42" s="35">
        <f t="shared" si="18"/>
        <v>0</v>
      </c>
      <c r="BD42" s="35">
        <f t="shared" si="19"/>
        <v>65.989999999999995</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3062</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65.989999999999995</v>
      </c>
      <c r="BA43" s="35">
        <f t="shared" si="16"/>
        <v>65.989999999999995</v>
      </c>
      <c r="BB43" s="35">
        <f t="shared" si="17"/>
        <v>0</v>
      </c>
      <c r="BC43" s="35">
        <f t="shared" si="18"/>
        <v>0</v>
      </c>
      <c r="BD43" s="35">
        <f t="shared" si="19"/>
        <v>65.989999999999995</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3062</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306.70999999999998</v>
      </c>
      <c r="BA44" s="35">
        <f t="shared" si="16"/>
        <v>306.70999999999998</v>
      </c>
      <c r="BB44" s="35">
        <f t="shared" si="17"/>
        <v>0</v>
      </c>
      <c r="BC44" s="35">
        <f t="shared" si="18"/>
        <v>306.70999999999998</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3062</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538.85</v>
      </c>
      <c r="BA45" s="35">
        <f t="shared" si="16"/>
        <v>538.85</v>
      </c>
      <c r="BB45" s="35">
        <f t="shared" si="17"/>
        <v>0</v>
      </c>
      <c r="BC45" s="35">
        <f t="shared" si="18"/>
        <v>538.85</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3062</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74.86</v>
      </c>
      <c r="BA46" s="35">
        <f t="shared" si="16"/>
        <v>74.86</v>
      </c>
      <c r="BB46" s="35">
        <f t="shared" si="17"/>
        <v>0</v>
      </c>
      <c r="BC46" s="35">
        <f t="shared" si="18"/>
        <v>74.86</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3062</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74.86</v>
      </c>
      <c r="BA47" s="35">
        <f t="shared" si="16"/>
        <v>74.86</v>
      </c>
      <c r="BB47" s="35">
        <f t="shared" si="17"/>
        <v>0</v>
      </c>
      <c r="BC47" s="35">
        <f t="shared" si="18"/>
        <v>74.86</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3062</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538.35</v>
      </c>
      <c r="BA48" s="35">
        <f t="shared" si="16"/>
        <v>538.35</v>
      </c>
      <c r="BB48" s="35">
        <f t="shared" si="17"/>
        <v>0</v>
      </c>
      <c r="BC48" s="35">
        <f t="shared" si="18"/>
        <v>538.35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3062</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306.70999999999998</v>
      </c>
      <c r="BA49" s="35">
        <f t="shared" si="16"/>
        <v>306.70999999999998</v>
      </c>
      <c r="BB49" s="35">
        <f t="shared" si="17"/>
        <v>0</v>
      </c>
      <c r="BC49" s="35">
        <f t="shared" si="18"/>
        <v>306.70999999999998</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3062</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73.33</v>
      </c>
      <c r="BA50" s="35">
        <f t="shared" si="16"/>
        <v>73.33</v>
      </c>
      <c r="BB50" s="35">
        <f t="shared" si="17"/>
        <v>0</v>
      </c>
      <c r="BC50" s="35">
        <f t="shared" si="18"/>
        <v>73.33</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3062</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73.33</v>
      </c>
      <c r="BA51" s="35">
        <f t="shared" si="16"/>
        <v>73.33</v>
      </c>
      <c r="BB51" s="35">
        <f t="shared" si="17"/>
        <v>0</v>
      </c>
      <c r="BC51" s="35">
        <f t="shared" si="18"/>
        <v>73.33</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3062</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66.39</v>
      </c>
      <c r="BA52" s="35">
        <f t="shared" si="16"/>
        <v>66.39</v>
      </c>
      <c r="BB52" s="35">
        <f t="shared" si="17"/>
        <v>0</v>
      </c>
      <c r="BC52" s="35">
        <f t="shared" si="18"/>
        <v>0</v>
      </c>
      <c r="BD52" s="35">
        <f t="shared" si="19"/>
        <v>66.39</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3062</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66.39</v>
      </c>
      <c r="BA53" s="35">
        <f t="shared" si="16"/>
        <v>66.39</v>
      </c>
      <c r="BB53" s="35">
        <f t="shared" si="17"/>
        <v>0</v>
      </c>
      <c r="BC53" s="35">
        <f t="shared" si="18"/>
        <v>0</v>
      </c>
      <c r="BD53" s="35">
        <f t="shared" si="19"/>
        <v>66.39</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3062</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306.67</v>
      </c>
      <c r="BA54" s="35">
        <f t="shared" si="16"/>
        <v>306.67</v>
      </c>
      <c r="BB54" s="35">
        <f t="shared" si="17"/>
        <v>0</v>
      </c>
      <c r="BC54" s="35">
        <f t="shared" si="18"/>
        <v>306.67</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3062</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539.1</v>
      </c>
      <c r="BA55" s="35">
        <f t="shared" si="16"/>
        <v>539.1</v>
      </c>
      <c r="BB55" s="35">
        <f t="shared" si="17"/>
        <v>0</v>
      </c>
      <c r="BC55" s="35">
        <f t="shared" si="18"/>
        <v>539.1</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3062</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74.849999999999994</v>
      </c>
      <c r="BA56" s="35">
        <f t="shared" si="16"/>
        <v>74.849999999999994</v>
      </c>
      <c r="BB56" s="35">
        <f t="shared" si="17"/>
        <v>0</v>
      </c>
      <c r="BC56" s="35">
        <f t="shared" si="18"/>
        <v>74.849999999999994</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3062</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74.849999999999994</v>
      </c>
      <c r="BA57" s="35">
        <f t="shared" si="16"/>
        <v>74.849999999999994</v>
      </c>
      <c r="BB57" s="35">
        <f t="shared" si="17"/>
        <v>0</v>
      </c>
      <c r="BC57" s="35">
        <f t="shared" si="18"/>
        <v>74.849999999999994</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3062</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539.1</v>
      </c>
      <c r="BA58" s="35">
        <f t="shared" si="16"/>
        <v>539.1</v>
      </c>
      <c r="BB58" s="35">
        <f t="shared" si="17"/>
        <v>0</v>
      </c>
      <c r="BC58" s="35">
        <f t="shared" si="18"/>
        <v>539.1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3062</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306.67</v>
      </c>
      <c r="BA59" s="35">
        <f t="shared" si="16"/>
        <v>306.67</v>
      </c>
      <c r="BB59" s="35">
        <f t="shared" si="17"/>
        <v>0</v>
      </c>
      <c r="BC59" s="35">
        <f t="shared" si="18"/>
        <v>306.67</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3062</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73.319999999999993</v>
      </c>
      <c r="BA60" s="35">
        <f t="shared" si="16"/>
        <v>73.319999999999993</v>
      </c>
      <c r="BB60" s="35">
        <f t="shared" si="17"/>
        <v>0</v>
      </c>
      <c r="BC60" s="35">
        <f t="shared" si="18"/>
        <v>73.319999999999993</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3062</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73.319999999999993</v>
      </c>
      <c r="BA61" s="35">
        <f t="shared" si="16"/>
        <v>73.319999999999993</v>
      </c>
      <c r="BB61" s="35">
        <f t="shared" si="17"/>
        <v>0</v>
      </c>
      <c r="BC61" s="35">
        <f t="shared" si="18"/>
        <v>73.319999999999993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3062</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70.569999999999993</v>
      </c>
      <c r="BA62" s="35">
        <f t="shared" si="16"/>
        <v>70.569999999999993</v>
      </c>
      <c r="BB62" s="35">
        <f t="shared" si="17"/>
        <v>0</v>
      </c>
      <c r="BC62" s="35">
        <f t="shared" si="18"/>
        <v>0</v>
      </c>
      <c r="BD62" s="35">
        <f t="shared" si="19"/>
        <v>70.569999999999993</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3062</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70.569999999999993</v>
      </c>
      <c r="BA63" s="35">
        <f t="shared" si="16"/>
        <v>70.569999999999993</v>
      </c>
      <c r="BB63" s="35">
        <f t="shared" si="17"/>
        <v>0</v>
      </c>
      <c r="BC63" s="35">
        <f t="shared" si="18"/>
        <v>0</v>
      </c>
      <c r="BD63" s="35">
        <f t="shared" si="19"/>
        <v>70.569999999999993</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3062</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362.03</v>
      </c>
      <c r="BA64" s="35">
        <f t="shared" si="16"/>
        <v>362.03</v>
      </c>
      <c r="BB64" s="35">
        <f t="shared" si="17"/>
        <v>0</v>
      </c>
      <c r="BC64" s="35">
        <f t="shared" si="18"/>
        <v>362.03</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3062</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744.31</v>
      </c>
      <c r="BA65" s="35">
        <f t="shared" si="16"/>
        <v>744.31</v>
      </c>
      <c r="BB65" s="35">
        <f t="shared" si="17"/>
        <v>0</v>
      </c>
      <c r="BC65" s="35">
        <f t="shared" si="18"/>
        <v>744.31</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3062</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80.430000000000007</v>
      </c>
      <c r="BA66" s="35">
        <f t="shared" si="16"/>
        <v>80.430000000000007</v>
      </c>
      <c r="BB66" s="35">
        <f t="shared" si="17"/>
        <v>0</v>
      </c>
      <c r="BC66" s="35">
        <f t="shared" si="18"/>
        <v>80.430000000000007</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3062</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80.430000000000007</v>
      </c>
      <c r="BA67" s="35">
        <f t="shared" si="16"/>
        <v>80.430000000000007</v>
      </c>
      <c r="BB67" s="35">
        <f t="shared" si="17"/>
        <v>0</v>
      </c>
      <c r="BC67" s="35">
        <f t="shared" si="18"/>
        <v>80.430000000000007</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3062</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655.83</v>
      </c>
      <c r="BA68" s="35">
        <f t="shared" si="16"/>
        <v>655.83</v>
      </c>
      <c r="BB68" s="35">
        <f t="shared" si="17"/>
        <v>0</v>
      </c>
      <c r="BC68" s="35">
        <f t="shared" si="18"/>
        <v>655.83</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3062</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359.94</v>
      </c>
      <c r="BA69" s="35">
        <f t="shared" si="16"/>
        <v>359.94</v>
      </c>
      <c r="BB69" s="35">
        <f t="shared" si="17"/>
        <v>0</v>
      </c>
      <c r="BC69" s="35">
        <f t="shared" si="18"/>
        <v>359.94</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3062</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77.95</v>
      </c>
      <c r="BA70" s="35">
        <f t="shared" si="16"/>
        <v>77.95</v>
      </c>
      <c r="BB70" s="35">
        <f t="shared" si="17"/>
        <v>0</v>
      </c>
      <c r="BC70" s="35">
        <f t="shared" si="18"/>
        <v>77.95</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3062</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80.430000000000007</v>
      </c>
      <c r="BA71" s="35">
        <f t="shared" si="16"/>
        <v>80.430000000000007</v>
      </c>
      <c r="BB71" s="35">
        <f t="shared" si="17"/>
        <v>0</v>
      </c>
      <c r="BC71" s="35">
        <f t="shared" si="18"/>
        <v>80.430000000000007</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20" t="s">
        <v>0</v>
      </c>
      <c r="B1" s="3520" t="s">
        <v>4</v>
      </c>
      <c r="C1" s="3520" t="s">
        <v>5</v>
      </c>
      <c r="D1" s="3521" t="s">
        <v>53</v>
      </c>
      <c r="E1" s="3521" t="s">
        <v>54</v>
      </c>
      <c r="F1" s="3521"/>
      <c r="G1" s="3521"/>
      <c r="H1" s="3521"/>
      <c r="I1" s="3521"/>
      <c r="J1" s="3521"/>
      <c r="K1" s="3521"/>
      <c r="L1" s="3521"/>
      <c r="M1" s="3521"/>
    </row>
    <row r="2" spans="1:13" ht="27" customHeight="1">
      <c r="A2" s="3520"/>
      <c r="B2" s="3520"/>
      <c r="C2" s="3520"/>
      <c r="D2" s="3521"/>
      <c r="E2" s="3521" t="s">
        <v>37</v>
      </c>
      <c r="F2" s="3521" t="s">
        <v>38</v>
      </c>
      <c r="G2" s="3521"/>
      <c r="H2" s="3521"/>
      <c r="I2" s="3521"/>
      <c r="J2" s="3521" t="s">
        <v>39</v>
      </c>
      <c r="K2" s="3521"/>
      <c r="L2" s="3521"/>
      <c r="M2" s="3521"/>
    </row>
    <row r="3" spans="1:13" ht="28.5">
      <c r="A3" s="3520"/>
      <c r="B3" s="3520"/>
      <c r="C3" s="3520"/>
      <c r="D3" s="3521"/>
      <c r="E3" s="35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21" t="s">
        <v>55</v>
      </c>
      <c r="B9" s="3521"/>
      <c r="C9" s="35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31" t="s">
        <v>1938</v>
      </c>
      <c r="B2" s="3531"/>
      <c r="C2" s="3531"/>
      <c r="D2" s="963" t="s">
        <v>1914</v>
      </c>
      <c r="E2" s="2224" t="s">
        <v>1915</v>
      </c>
      <c r="F2" s="1388"/>
      <c r="G2" s="2225"/>
      <c r="H2" s="2226"/>
      <c r="I2" s="2227" t="s">
        <v>1939</v>
      </c>
      <c r="J2" s="1388"/>
      <c r="K2" s="1388"/>
      <c r="L2" s="1388"/>
      <c r="M2" s="1388"/>
      <c r="N2" s="1423"/>
      <c r="O2" s="1388"/>
      <c r="P2" s="1388"/>
    </row>
    <row r="3" spans="1:16" ht="15.75" thickBot="1">
      <c r="A3" s="3532" t="s">
        <v>1912</v>
      </c>
      <c r="B3" s="3532"/>
      <c r="C3" s="3532"/>
      <c r="D3" s="46">
        <f>'数据-基础表'!AY6</f>
        <v>0</v>
      </c>
      <c r="E3" s="46">
        <f>'数据-基础表'!AZ5</f>
        <v>14709.010000000002</v>
      </c>
      <c r="F3" s="1388"/>
      <c r="G3" s="1395"/>
      <c r="H3" s="1243" t="s">
        <v>1913</v>
      </c>
      <c r="I3" s="55" t="e">
        <f>ROUND('数据-基础表'!B3/'数据-基础表'!A3,2)</f>
        <v>#DIV/0!</v>
      </c>
      <c r="J3" s="1388"/>
      <c r="K3" s="1388"/>
      <c r="L3" s="1388"/>
      <c r="M3" s="1388"/>
      <c r="N3" s="1423"/>
      <c r="O3" s="1388"/>
      <c r="P3" s="1388"/>
    </row>
    <row r="4" spans="1:16" ht="15">
      <c r="A4" s="3533"/>
      <c r="B4" s="3534"/>
      <c r="C4" s="3535"/>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36" t="s">
        <v>1917</v>
      </c>
      <c r="C5" s="3536"/>
      <c r="D5" s="48">
        <f>ROUND($D$3*E5/$E$3,2)</f>
        <v>0</v>
      </c>
      <c r="E5" s="49">
        <f>SUMIF('数据-基础表'!$11:$11,"住宅",'数据-基础表'!$5:$5)</f>
        <v>5307.46</v>
      </c>
      <c r="F5" s="1388"/>
      <c r="G5" s="1395"/>
      <c r="H5" s="1243" t="s">
        <v>1913</v>
      </c>
      <c r="I5" s="55" t="e">
        <f>ROUND(E31/D31,2)</f>
        <v>#DIV/0!</v>
      </c>
      <c r="J5" s="1388"/>
      <c r="K5" s="1388"/>
      <c r="L5" s="1388"/>
      <c r="M5" s="1388"/>
      <c r="N5" s="1388"/>
      <c r="O5" s="1388"/>
      <c r="P5" s="1388"/>
    </row>
    <row r="6" spans="1:16" ht="15" thickBot="1">
      <c r="A6" s="2231"/>
      <c r="B6" s="3536" t="s">
        <v>1918</v>
      </c>
      <c r="C6" s="3536"/>
      <c r="D6" s="48">
        <f>ROUND($D$3*E6/$E$3,2)</f>
        <v>0</v>
      </c>
      <c r="E6" s="49">
        <f>E3-E5</f>
        <v>9401.5500000000029</v>
      </c>
      <c r="F6" s="1388"/>
      <c r="G6" s="2232" t="s">
        <v>1919</v>
      </c>
      <c r="H6" s="1395" t="s">
        <v>1920</v>
      </c>
      <c r="I6" s="935" t="e">
        <f>ROUND(F31/D31,2)</f>
        <v>#DIV/0!</v>
      </c>
      <c r="J6" s="1388"/>
      <c r="K6" s="1388"/>
      <c r="L6" s="1388"/>
      <c r="M6" s="1388"/>
      <c r="N6" s="1388"/>
      <c r="O6" s="1388"/>
      <c r="P6" s="1388"/>
    </row>
    <row r="7" spans="1:16" ht="15">
      <c r="A7" s="3528"/>
      <c r="B7" s="3529"/>
      <c r="C7" s="3530"/>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14161.990000000002</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547.02</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14709.010000000002</v>
      </c>
      <c r="F16" s="1388"/>
      <c r="G16" s="2234"/>
      <c r="H16" s="2237" t="s">
        <v>1942</v>
      </c>
      <c r="I16" s="2238"/>
      <c r="J16" s="1388"/>
      <c r="K16" s="3525" t="s">
        <v>1942</v>
      </c>
      <c r="L16" s="3526"/>
      <c r="M16" s="3526"/>
      <c r="N16" s="3526"/>
      <c r="O16" s="3526"/>
      <c r="P16" s="3527"/>
    </row>
    <row r="17" spans="1:19" ht="15">
      <c r="A17" s="2239" t="s">
        <v>1943</v>
      </c>
      <c r="B17" s="2240" t="s">
        <v>1944</v>
      </c>
      <c r="C17" s="2241" t="s">
        <v>1945</v>
      </c>
      <c r="D17" s="2242" t="s">
        <v>1933</v>
      </c>
      <c r="E17" s="2243" t="s">
        <v>1934</v>
      </c>
      <c r="F17" s="2244"/>
      <c r="G17" s="2245"/>
      <c r="H17" s="2246" t="s">
        <v>1946</v>
      </c>
      <c r="I17" s="2247" t="s">
        <v>1931</v>
      </c>
      <c r="J17" s="1388"/>
      <c r="K17" s="3522" t="s">
        <v>1947</v>
      </c>
      <c r="L17" s="3523"/>
      <c r="M17" s="3524"/>
      <c r="N17" s="3522" t="s">
        <v>1948</v>
      </c>
      <c r="O17" s="3523"/>
      <c r="P17" s="3524"/>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5307.46</v>
      </c>
      <c r="F19" s="57">
        <f>'数据-基础表'!I5</f>
        <v>5307.46</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5307.46</v>
      </c>
    </row>
    <row r="20" spans="1:19">
      <c r="A20" s="2259"/>
      <c r="B20" s="50" t="s">
        <v>1960</v>
      </c>
      <c r="C20" s="2965" t="s">
        <v>3369</v>
      </c>
      <c r="D20" s="48">
        <f t="shared" ref="D20:D26" si="6">ROUND($D$3*E20/$E$3,2)</f>
        <v>0</v>
      </c>
      <c r="E20" s="56">
        <f t="shared" si="1"/>
        <v>2188.9700000000003</v>
      </c>
      <c r="F20" s="57">
        <f>楼层修正!S19</f>
        <v>2052.42</v>
      </c>
      <c r="G20" s="58">
        <f>楼层修正!T19</f>
        <v>136.55000000000001</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2188.9700000000003</v>
      </c>
    </row>
    <row r="21" spans="1:19">
      <c r="A21" s="2259"/>
      <c r="B21" s="50" t="s">
        <v>1960</v>
      </c>
      <c r="C21" s="2965" t="s">
        <v>3371</v>
      </c>
      <c r="D21" s="48">
        <f t="shared" si="6"/>
        <v>0</v>
      </c>
      <c r="E21" s="56">
        <f t="shared" si="1"/>
        <v>7212.5800000000027</v>
      </c>
      <c r="F21" s="57">
        <f>'数据-基础表'!K5-'数据-汇总表'!F20</f>
        <v>6802.1100000000024</v>
      </c>
      <c r="G21" s="58">
        <f>'数据-基础表'!M5-'数据-汇总表'!G20</f>
        <v>410.46999999999997</v>
      </c>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7212.5800000000027</v>
      </c>
    </row>
    <row r="22" spans="1:19">
      <c r="A22" s="2259"/>
      <c r="B22" s="50" t="s">
        <v>1960</v>
      </c>
      <c r="C22" s="3428" t="s">
        <v>3377</v>
      </c>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14709.010000000002</v>
      </c>
      <c r="F27" s="1389">
        <f>IF(SUM(F19:F26)=E8,SUM(F19:F26),"地上面积有误")</f>
        <v>14161.990000000002</v>
      </c>
      <c r="G27" s="1391">
        <f>SUM(G19:G26)</f>
        <v>547.02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14709.010000000002</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14709.010000000002</v>
      </c>
      <c r="F31" s="726">
        <f>F27+F30</f>
        <v>14161.990000000002</v>
      </c>
      <c r="G31" s="727">
        <f>G27+G30</f>
        <v>547.02</v>
      </c>
      <c r="H31" s="1388"/>
      <c r="I31" s="1388"/>
      <c r="J31" s="1388"/>
      <c r="K31" s="1388"/>
      <c r="L31" s="1388"/>
      <c r="M31" s="1388"/>
      <c r="N31" s="1388"/>
      <c r="O31" s="1388"/>
      <c r="P31" s="1388"/>
    </row>
    <row r="32" spans="1:19">
      <c r="A32" s="2230"/>
      <c r="B32" s="2230" t="s">
        <v>1966</v>
      </c>
      <c r="C32" s="2230"/>
      <c r="D32" s="2230"/>
      <c r="E32" s="1270">
        <f>SUMIF(C19:C26,"*住宅*",E19:E26)</f>
        <v>5307.46</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5307.46</v>
      </c>
      <c r="L6" s="799">
        <v>6000</v>
      </c>
      <c r="M6" s="75">
        <f t="shared" ref="M6:M14" si="0">ROUND(K6*L6/10000,0)</f>
        <v>3184</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31844760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商业已出租</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2188.9700000000003</v>
      </c>
      <c r="L7" s="799">
        <v>3000</v>
      </c>
      <c r="M7" s="75">
        <f t="shared" si="0"/>
        <v>657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已出租明细表!G7</f>
        <v>7.04</v>
      </c>
      <c r="V7" s="79">
        <v>0</v>
      </c>
      <c r="W7" s="79">
        <v>0</v>
      </c>
      <c r="X7" s="1257"/>
      <c r="Y7" s="80">
        <v>0.95</v>
      </c>
      <c r="Z7" s="81">
        <f>ROUND(楼层修正!I7*(1+AA7)^AF7,2)</f>
        <v>8.41</v>
      </c>
      <c r="AA7" s="74">
        <f>V8</f>
        <v>0.04</v>
      </c>
      <c r="AB7" s="74">
        <v>0.1</v>
      </c>
      <c r="AC7" s="1257"/>
      <c r="AD7" s="82">
        <v>0.87</v>
      </c>
      <c r="AE7" s="1258">
        <f t="shared" ref="AE7:AE13" ca="1" si="6">IF(AN7="",0,SUMIF(INDIRECT("'"&amp;AN7&amp;"'"&amp;"!E:E"),$AE$5,INDIRECT("'"&amp;AN7&amp;"'"&amp;"!F:F")))</f>
        <v>31.34</v>
      </c>
      <c r="AF7" s="1800">
        <v>4.76</v>
      </c>
      <c r="AG7" s="146">
        <f t="shared" ref="AG7:AG13" ca="1" si="7">IF(AF7="",0,AE7-AF7)</f>
        <v>26.58</v>
      </c>
      <c r="AH7" s="83"/>
      <c r="AI7" s="85">
        <v>365</v>
      </c>
      <c r="AJ7" s="86"/>
      <c r="AK7" s="87">
        <v>1.4999999999999999E-2</v>
      </c>
      <c r="AL7" s="88">
        <v>1.5E-3</v>
      </c>
      <c r="AM7" s="89">
        <v>1.4999999999999999E-2</v>
      </c>
      <c r="AN7" s="2305" t="s">
        <v>3366</v>
      </c>
      <c r="AO7" s="55">
        <f t="shared" ref="AO7:AO13" ca="1" si="8">SUMIF(INDIRECT("'"&amp;AN7&amp;"'"&amp;"!A:A"),"总价",INDIRECT("'"&amp;AN7&amp;"'"&amp;"!B:B"))</f>
        <v>10833</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t="str">
        <f>'数据-汇总表'!C21</f>
        <v>商业未出租</v>
      </c>
      <c r="B8" s="2303" t="str">
        <f t="shared" si="1"/>
        <v>经营性</v>
      </c>
      <c r="C8" s="2304" t="s">
        <v>1376</v>
      </c>
      <c r="D8" s="1047">
        <f>SUMIF(项目基本情况!D$12:I$12,C8,项目基本情况!D$14:I$14)</f>
        <v>40</v>
      </c>
      <c r="E8" s="1044">
        <f>IF(B8="","",SUMIF(项目基本情况!D$12:I$12,C8,项目基本情况!D$13:I$13))</f>
        <v>54595</v>
      </c>
      <c r="F8" s="72">
        <f>SUMIF(项目基本情况!D$12:I$12,C8,项目基本情况!D$15:I$15)</f>
        <v>31.34</v>
      </c>
      <c r="G8" s="73">
        <f t="shared" si="2"/>
        <v>0.91300000000000003</v>
      </c>
      <c r="H8" s="798">
        <v>0.05</v>
      </c>
      <c r="I8" s="798">
        <v>5.5E-2</v>
      </c>
      <c r="J8" s="74">
        <v>8.5000000000000006E-2</v>
      </c>
      <c r="K8" s="1247">
        <f>SUMIF('数据-汇总表'!C$19:C$33,A8,'数据-汇总表'!E$19:E$33)</f>
        <v>7212.5800000000027</v>
      </c>
      <c r="L8" s="799">
        <f>L7</f>
        <v>3000</v>
      </c>
      <c r="M8" s="75">
        <f>ROUND(K8*L8/10000,0)</f>
        <v>2164</v>
      </c>
      <c r="N8" s="797">
        <f>N7</f>
        <v>0.95</v>
      </c>
      <c r="O8" s="75" t="str">
        <f t="shared" si="3"/>
        <v>——</v>
      </c>
      <c r="P8" s="76" t="str">
        <f t="shared" si="4"/>
        <v>——</v>
      </c>
      <c r="Q8" s="800">
        <f>Q7</f>
        <v>0.35</v>
      </c>
      <c r="R8" s="77">
        <f ca="1">SUMIF('数据-汇总表'!C$19:C$33,A8,'数据-汇总表'!R$19:R$27)</f>
        <v>0</v>
      </c>
      <c r="S8" s="54">
        <f>IF('数据-汇总表'!$I$17="按面积比例",SUMIF('数据-汇总表'!C$19:C$33,A8,'数据-汇总表'!K$19:K$33),SUMIF('数据-汇总表'!C$19:C$33,A8,'数据-汇总表'!N$19:N$33))</f>
        <v>0</v>
      </c>
      <c r="T8" s="1439">
        <f t="shared" si="5"/>
        <v>0</v>
      </c>
      <c r="U8" s="801">
        <f>楼层修正!I6</f>
        <v>7.01</v>
      </c>
      <c r="V8" s="802">
        <v>0.04</v>
      </c>
      <c r="W8" s="802">
        <v>0.1</v>
      </c>
      <c r="X8" s="1257"/>
      <c r="Y8" s="803">
        <v>0.95</v>
      </c>
      <c r="Z8" s="81"/>
      <c r="AA8" s="74"/>
      <c r="AB8" s="74"/>
      <c r="AC8" s="1257"/>
      <c r="AD8" s="82"/>
      <c r="AE8" s="1258">
        <f t="shared" ca="1" si="6"/>
        <v>31.34</v>
      </c>
      <c r="AF8" s="1800"/>
      <c r="AG8" s="146">
        <f t="shared" si="7"/>
        <v>0</v>
      </c>
      <c r="AH8" s="804"/>
      <c r="AI8" s="85">
        <v>365</v>
      </c>
      <c r="AJ8" s="86"/>
      <c r="AK8" s="87">
        <v>1.4999999999999999E-2</v>
      </c>
      <c r="AL8" s="88">
        <v>1.5E-3</v>
      </c>
      <c r="AM8" s="89">
        <v>1.4999999999999999E-2</v>
      </c>
      <c r="AN8" s="2305" t="s">
        <v>3364</v>
      </c>
      <c r="AO8" s="55">
        <f t="shared" ca="1" si="8"/>
        <v>35220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t="str">
        <f>'数据-汇总表'!C22</f>
        <v>商业</v>
      </c>
      <c r="B9" s="2303" t="str">
        <f t="shared" si="1"/>
        <v>经营性</v>
      </c>
      <c r="C9" s="2304"/>
      <c r="D9" s="1047">
        <f>SUMIF(项目基本情况!D$12:I$12,C9,项目基本情况!D$14:I$14)</f>
        <v>0</v>
      </c>
      <c r="E9" s="1044">
        <f>IF(B9="","",SUMIF(项目基本情况!D$12:I$12,C9,项目基本情况!D$13:I$13))</f>
        <v>0</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0.93600000000000005</v>
      </c>
      <c r="H16" s="99">
        <f>ROUND(SUMPRODUCT(H6:H13,K6:K13)/SUMPRODUCT((H6:H13&gt;0)*(K6:K13)),3)</f>
        <v>4.8000000000000001E-2</v>
      </c>
      <c r="I16" s="100"/>
      <c r="J16" s="100"/>
      <c r="K16" s="101">
        <f>SUM(K6:K15)</f>
        <v>14709.010000000002</v>
      </c>
      <c r="L16" s="102">
        <f>ROUND(M16*10000/SUM(K6:K14),0)</f>
        <v>4083</v>
      </c>
      <c r="M16" s="102">
        <f>SUM(M6:M14)</f>
        <v>6005</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37" t="s">
        <v>2083</v>
      </c>
      <c r="B1" s="3538"/>
      <c r="C1" s="3538"/>
      <c r="D1" s="3538"/>
      <c r="E1" s="3538"/>
      <c r="F1" s="3538"/>
      <c r="G1" s="353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9" sqref="C29"/>
    </sheetView>
  </sheetViews>
  <sheetFormatPr defaultRowHeight="13.5"/>
  <cols>
    <col min="1" max="1" width="23.375" style="1734" customWidth="1"/>
    <col min="2" max="9" width="15.75" style="1734" customWidth="1"/>
    <col min="10" max="16384" width="9" style="1734"/>
  </cols>
  <sheetData>
    <row r="1" spans="1:10" ht="16.5">
      <c r="A1" s="1739" t="s">
        <v>1364</v>
      </c>
      <c r="B1" s="1739">
        <f>SUM(B14:B23)</f>
        <v>7496.43</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81243</v>
      </c>
      <c r="C5" s="1739">
        <f ca="1">ROUND(B5*10000/$B$1,0)</f>
        <v>108376</v>
      </c>
      <c r="D5" s="1739" t="e">
        <f ca="1">ROUND(B5*10000/$B$2,0)</f>
        <v>#DIV/0!</v>
      </c>
      <c r="E5" s="1738"/>
      <c r="F5" s="1736"/>
      <c r="G5" s="1736"/>
    </row>
    <row r="6" spans="1:10" ht="16.5">
      <c r="A6" s="1739" t="s">
        <v>1355</v>
      </c>
      <c r="B6" s="1739">
        <f ca="1">SUM(G14:G23)</f>
        <v>81243</v>
      </c>
      <c r="C6" s="1739">
        <f ca="1">ROUND(B6*10000/$B$1,0)</f>
        <v>108376</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5307.46</v>
      </c>
      <c r="C14" s="1737">
        <f>结果表住宅!C118</f>
        <v>0</v>
      </c>
      <c r="D14" s="1737">
        <f ca="1">结果表住宅!H118</f>
        <v>32438</v>
      </c>
      <c r="E14" s="1737">
        <f ca="1">ROUND(D14*10000/B14,0)</f>
        <v>61118</v>
      </c>
      <c r="F14" s="1737" t="e">
        <f ca="1">ROUND(D14*10000/C14,0)</f>
        <v>#DIV/0!</v>
      </c>
      <c r="G14" s="1737">
        <f ca="1">结果表住宅!D122</f>
        <v>32438</v>
      </c>
      <c r="H14" s="1737" t="str">
        <f>结果表住宅!D124</f>
        <v>——</v>
      </c>
      <c r="I14" s="1737" t="str">
        <f>结果表住宅!D126</f>
        <v>——</v>
      </c>
      <c r="J14" s="1736"/>
    </row>
    <row r="15" spans="1:10" ht="16.5">
      <c r="A15" s="1735" t="s">
        <v>1348</v>
      </c>
      <c r="B15" s="1742">
        <f>'数据-汇总表'!E20</f>
        <v>2188.9700000000003</v>
      </c>
      <c r="C15" s="1742"/>
      <c r="D15" s="1742">
        <f ca="1">结果表商业!G19</f>
        <v>48805</v>
      </c>
      <c r="E15" s="1737">
        <f t="shared" ref="E15:E23" ca="1" si="0">ROUND(D15*10000/B15,0)</f>
        <v>222959</v>
      </c>
      <c r="F15" s="1737" t="e">
        <f t="shared" ref="F15:F23" ca="1" si="1">ROUND(D15*10000/C15,0)</f>
        <v>#DIV/0!</v>
      </c>
      <c r="G15" s="1743">
        <f ca="1">D15</f>
        <v>48805</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611" t="str">
        <f>项目基本情况!S2</f>
        <v>北京市房地产</v>
      </c>
      <c r="B2" s="3612"/>
      <c r="C2" s="3612"/>
      <c r="D2" s="3612"/>
      <c r="E2" s="3612"/>
      <c r="F2" s="3612"/>
      <c r="G2" s="3612"/>
      <c r="H2" s="3612"/>
      <c r="I2" s="3613"/>
    </row>
    <row r="3" spans="1:12" ht="12.75">
      <c r="A3" s="3614" t="s">
        <v>2122</v>
      </c>
      <c r="B3" s="3615"/>
      <c r="C3" s="3615"/>
      <c r="D3" s="3615"/>
      <c r="E3" s="3615"/>
      <c r="F3" s="3615"/>
      <c r="G3" s="3615"/>
      <c r="H3" s="3615"/>
      <c r="I3" s="3615"/>
    </row>
    <row r="4" spans="1:12" ht="14.25">
      <c r="A4" s="2422" t="s">
        <v>2123</v>
      </c>
      <c r="B4" s="2423" t="s">
        <v>2124</v>
      </c>
      <c r="C4" s="2424" t="s">
        <v>3217</v>
      </c>
      <c r="D4" s="2424" t="s">
        <v>3218</v>
      </c>
      <c r="E4" s="3595" t="s">
        <v>2125</v>
      </c>
      <c r="F4" s="3608"/>
      <c r="G4" s="3608"/>
      <c r="H4" s="3608"/>
      <c r="I4" s="3596"/>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86" t="s">
        <v>2126</v>
      </c>
      <c r="B5" s="3512">
        <v>25</v>
      </c>
      <c r="C5" s="3616"/>
      <c r="D5" s="3604"/>
      <c r="E5" s="139" t="s">
        <v>2127</v>
      </c>
      <c r="F5" s="2426"/>
      <c r="G5" s="2426"/>
      <c r="H5" s="2426"/>
      <c r="I5" s="1827"/>
    </row>
    <row r="6" spans="1:12" ht="12.75">
      <c r="A6" s="3586"/>
      <c r="B6" s="3512"/>
      <c r="C6" s="3618"/>
      <c r="D6" s="3604"/>
      <c r="E6" s="139" t="s">
        <v>2128</v>
      </c>
      <c r="F6" s="2426"/>
      <c r="G6" s="2426"/>
      <c r="H6" s="2426"/>
      <c r="I6" s="1827"/>
    </row>
    <row r="7" spans="1:12" ht="12.75">
      <c r="A7" s="3586"/>
      <c r="B7" s="3512"/>
      <c r="C7" s="3617"/>
      <c r="D7" s="3604"/>
      <c r="E7" s="139" t="s">
        <v>2129</v>
      </c>
      <c r="F7" s="2426"/>
      <c r="G7" s="2426"/>
      <c r="H7" s="2426"/>
      <c r="I7" s="1827"/>
    </row>
    <row r="8" spans="1:12" ht="12.75">
      <c r="A8" s="3586" t="s">
        <v>2130</v>
      </c>
      <c r="B8" s="3512">
        <v>15</v>
      </c>
      <c r="C8" s="3616"/>
      <c r="D8" s="3604"/>
      <c r="E8" s="139" t="s">
        <v>2131</v>
      </c>
      <c r="F8" s="2426"/>
      <c r="G8" s="2426"/>
      <c r="H8" s="2426"/>
      <c r="I8" s="1827"/>
    </row>
    <row r="9" spans="1:12" ht="12.75">
      <c r="A9" s="3586"/>
      <c r="B9" s="3512"/>
      <c r="C9" s="3617"/>
      <c r="D9" s="3604"/>
      <c r="E9" s="139" t="s">
        <v>2132</v>
      </c>
      <c r="F9" s="2426"/>
      <c r="G9" s="2426"/>
      <c r="H9" s="2426"/>
      <c r="I9" s="1827"/>
    </row>
    <row r="10" spans="1:12" ht="12.75">
      <c r="A10" s="3586" t="s">
        <v>2133</v>
      </c>
      <c r="B10" s="3512">
        <v>15</v>
      </c>
      <c r="C10" s="3616"/>
      <c r="D10" s="3604"/>
      <c r="E10" s="139" t="s">
        <v>2134</v>
      </c>
      <c r="F10" s="2426"/>
      <c r="G10" s="2426"/>
      <c r="H10" s="2426"/>
      <c r="I10" s="1827"/>
    </row>
    <row r="11" spans="1:12" ht="12.75">
      <c r="A11" s="3586"/>
      <c r="B11" s="3512"/>
      <c r="C11" s="3617"/>
      <c r="D11" s="3604"/>
      <c r="E11" s="139" t="s">
        <v>2135</v>
      </c>
      <c r="F11" s="2426"/>
      <c r="G11" s="2426"/>
      <c r="H11" s="2426"/>
      <c r="I11" s="1827"/>
    </row>
    <row r="12" spans="1:12" ht="12.75">
      <c r="A12" s="3586" t="s">
        <v>2136</v>
      </c>
      <c r="B12" s="3512">
        <v>15</v>
      </c>
      <c r="C12" s="3616"/>
      <c r="D12" s="3604"/>
      <c r="E12" s="139" t="s">
        <v>2137</v>
      </c>
      <c r="F12" s="2426"/>
      <c r="G12" s="2426"/>
      <c r="H12" s="2426"/>
      <c r="I12" s="1827"/>
    </row>
    <row r="13" spans="1:12" ht="12.75">
      <c r="A13" s="3586"/>
      <c r="B13" s="3512"/>
      <c r="C13" s="3617"/>
      <c r="D13" s="3604"/>
      <c r="E13" s="139" t="s">
        <v>2138</v>
      </c>
      <c r="F13" s="2426"/>
      <c r="G13" s="2426"/>
      <c r="H13" s="2426"/>
      <c r="I13" s="1827"/>
    </row>
    <row r="14" spans="1:12" ht="12.75">
      <c r="A14" s="3586" t="s">
        <v>2139</v>
      </c>
      <c r="B14" s="3512">
        <v>30</v>
      </c>
      <c r="C14" s="3616">
        <v>0.6</v>
      </c>
      <c r="D14" s="3604">
        <f>1-C14</f>
        <v>0.4</v>
      </c>
      <c r="E14" s="139" t="s">
        <v>2140</v>
      </c>
      <c r="F14" s="2426"/>
      <c r="G14" s="2426"/>
      <c r="H14" s="2426"/>
      <c r="I14" s="1827"/>
    </row>
    <row r="15" spans="1:12" ht="12.75">
      <c r="A15" s="3586"/>
      <c r="B15" s="3512"/>
      <c r="C15" s="3618"/>
      <c r="D15" s="3604"/>
      <c r="E15" s="139" t="s">
        <v>2141</v>
      </c>
      <c r="F15" s="2426"/>
      <c r="G15" s="2426"/>
      <c r="H15" s="2426"/>
      <c r="I15" s="1827"/>
    </row>
    <row r="16" spans="1:12" ht="12.75">
      <c r="A16" s="3586"/>
      <c r="B16" s="3512"/>
      <c r="C16" s="3617"/>
      <c r="D16" s="3604"/>
      <c r="E16" s="139" t="s">
        <v>2142</v>
      </c>
      <c r="F16" s="2426"/>
      <c r="G16" s="2426"/>
      <c r="H16" s="2426"/>
      <c r="I16" s="1827"/>
    </row>
    <row r="17" spans="1:35" ht="15">
      <c r="A17" s="2427" t="s">
        <v>2143</v>
      </c>
      <c r="B17" s="64"/>
      <c r="C17" s="140">
        <f>SUM(C5:C16)</f>
        <v>0.6</v>
      </c>
      <c r="D17" s="140">
        <f>SUM(D5:D16)</f>
        <v>0.4</v>
      </c>
      <c r="E17" s="137"/>
      <c r="F17" s="137"/>
      <c r="G17" s="137"/>
      <c r="H17" s="137"/>
      <c r="I17" s="137"/>
      <c r="K17" s="2425"/>
      <c r="L17" s="2428" t="s">
        <v>2144</v>
      </c>
      <c r="M17" s="2428" t="s">
        <v>2145</v>
      </c>
    </row>
    <row r="18" spans="1:35" ht="15.75" thickBot="1">
      <c r="A18" s="2429" t="s">
        <v>2146</v>
      </c>
      <c r="B18" s="2430"/>
      <c r="C18" s="141">
        <f>ROUND(C17/SUM(C17:D17),2)</f>
        <v>0.6</v>
      </c>
      <c r="D18" s="141">
        <f>1-C18</f>
        <v>0.4</v>
      </c>
      <c r="E18" s="137"/>
      <c r="F18" s="137"/>
      <c r="G18" s="137"/>
      <c r="H18" s="137"/>
      <c r="I18" s="137"/>
      <c r="K18" s="2425" t="s">
        <v>2147</v>
      </c>
      <c r="L18" s="2425">
        <f>IF(C1="",'数据-汇总表'!E3,SUMIF(项目类型,C1,'数据-汇总表'!E17:E26)+SUMIF(项目类型,C1,'数据-汇总表'!I17:I26))</f>
        <v>5307.46</v>
      </c>
      <c r="M18" s="2425">
        <f>IF(C1="",'数据-汇总表'!E3,SUMIF(项目类型,C1,'数据-汇总表'!E17:E26))</f>
        <v>5307.46</v>
      </c>
    </row>
    <row r="19" spans="1:35" ht="15">
      <c r="A19" s="2431" t="s">
        <v>2148</v>
      </c>
      <c r="B19" s="2432" t="s">
        <v>2149</v>
      </c>
      <c r="C19" s="142">
        <f ca="1">SUMIF(INDIRECT("'"&amp;C4&amp;"'"&amp;"!A:A"),结果表住宅!B19,INDIRECT("'"&amp;C4&amp;"'"&amp;"!B:B"))</f>
        <v>39564</v>
      </c>
      <c r="D19" s="143">
        <f ca="1">SUMIF(INDIRECT("'"&amp;D4&amp;"'"&amp;"!A:A"),结果表住宅!B19,INDIRECT("'"&amp;D4&amp;"'"&amp;"!B:B"))</f>
        <v>21749</v>
      </c>
      <c r="E19" s="2431" t="s">
        <v>2150</v>
      </c>
      <c r="F19" s="2432" t="s">
        <v>2149</v>
      </c>
      <c r="G19" s="144">
        <f ca="1">ROUND(C19*$C$18+D19*$D$18,0)</f>
        <v>32438</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74545</v>
      </c>
      <c r="D20" s="146">
        <f ca="1">SUMIF(INDIRECT("'"&amp;D4&amp;"'"&amp;"!A:A"),结果表住宅!B20,INDIRECT("'"&amp;D4&amp;"'"&amp;"!B:B"))</f>
        <v>40978</v>
      </c>
      <c r="E20" s="2434"/>
      <c r="F20" s="1243" t="s">
        <v>2153</v>
      </c>
      <c r="G20" s="147">
        <f ca="1">ROUND(C20*$C$18+D20*$D$18,0)</f>
        <v>61118</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0.81911812037335041</v>
      </c>
      <c r="E22" s="137"/>
      <c r="F22" s="137"/>
      <c r="G22" s="137"/>
      <c r="H22" s="137"/>
      <c r="I22" s="137"/>
    </row>
    <row r="23" spans="1:35" ht="13.5" thickBot="1">
      <c r="A23" s="2415"/>
      <c r="B23" s="2415"/>
      <c r="C23" s="2415"/>
      <c r="D23" s="2415"/>
      <c r="E23" s="137"/>
      <c r="F23" s="137"/>
      <c r="G23" s="137"/>
      <c r="H23" s="137"/>
      <c r="I23" s="137"/>
    </row>
    <row r="24" spans="1:35" ht="14.25">
      <c r="A24" s="3625" t="s">
        <v>2157</v>
      </c>
      <c r="B24" s="2432" t="s">
        <v>2149</v>
      </c>
      <c r="C24" s="144">
        <f>IF(B30=0,0,D30)</f>
        <v>0</v>
      </c>
      <c r="D24" s="2439"/>
      <c r="E24" s="137"/>
      <c r="F24" s="137"/>
      <c r="G24" s="137"/>
      <c r="H24" s="137"/>
      <c r="I24" s="137"/>
    </row>
    <row r="25" spans="1:35" ht="14.25">
      <c r="A25" s="3626"/>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32438</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05" t="s">
        <v>2171</v>
      </c>
      <c r="B36" s="2458" t="s">
        <v>2172</v>
      </c>
      <c r="C36" s="153"/>
      <c r="D36" s="2459"/>
      <c r="E36" s="2460"/>
      <c r="F36" s="2461"/>
      <c r="G36" s="137"/>
      <c r="H36" s="137"/>
      <c r="I36" s="137"/>
    </row>
    <row r="37" spans="1:15" ht="15.75" thickBot="1">
      <c r="A37" s="3606"/>
      <c r="B37" s="2263" t="s">
        <v>2173</v>
      </c>
      <c r="C37" s="155"/>
      <c r="D37" s="1388"/>
      <c r="E37" s="1388"/>
      <c r="F37" s="2461"/>
      <c r="G37" s="137"/>
      <c r="H37" s="137"/>
      <c r="I37" s="137"/>
    </row>
    <row r="38" spans="1:15" ht="15.75" thickBot="1">
      <c r="A38" s="3607"/>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22" t="s">
        <v>2185</v>
      </c>
      <c r="B45" s="3623"/>
      <c r="C45" s="3624"/>
      <c r="D45" s="163">
        <f ca="1">ROUND(H101*F45,0)</f>
        <v>32438</v>
      </c>
      <c r="E45" s="164" t="s">
        <v>2186</v>
      </c>
      <c r="F45" s="165">
        <v>1</v>
      </c>
      <c r="G45" s="166" t="s">
        <v>2187</v>
      </c>
      <c r="H45" s="137"/>
      <c r="I45" s="137"/>
      <c r="J45" s="3541" t="s">
        <v>2188</v>
      </c>
      <c r="K45" s="3541"/>
      <c r="L45" s="3541"/>
      <c r="M45" s="3541"/>
      <c r="N45" s="3541"/>
      <c r="O45" s="3541"/>
    </row>
    <row r="46" spans="1:15" ht="14.25" customHeight="1">
      <c r="A46" s="3619" t="s">
        <v>2189</v>
      </c>
      <c r="B46" s="3620"/>
      <c r="C46" s="3620"/>
      <c r="D46" s="3620"/>
      <c r="E46" s="3620"/>
      <c r="F46" s="3620"/>
      <c r="G46" s="3621"/>
      <c r="H46" s="2477"/>
      <c r="I46" s="167"/>
      <c r="J46" s="1805">
        <v>1</v>
      </c>
      <c r="K46" s="3541" t="s">
        <v>2190</v>
      </c>
      <c r="L46" s="3541"/>
      <c r="M46" s="3542"/>
      <c r="N46" s="3542"/>
      <c r="O46" s="3542"/>
    </row>
    <row r="47" spans="1:15" ht="12" customHeight="1">
      <c r="A47" s="168" t="s">
        <v>2191</v>
      </c>
      <c r="B47" s="169"/>
      <c r="C47" s="170"/>
      <c r="D47" s="171" t="s">
        <v>2192</v>
      </c>
      <c r="E47" s="24" t="s">
        <v>2193</v>
      </c>
      <c r="F47" s="172" t="s">
        <v>2194</v>
      </c>
      <c r="G47" s="173" t="s">
        <v>2195</v>
      </c>
      <c r="H47" s="2477"/>
      <c r="I47" s="167"/>
      <c r="J47" s="1805">
        <v>2</v>
      </c>
      <c r="K47" s="3541" t="s">
        <v>2196</v>
      </c>
      <c r="L47" s="3541"/>
      <c r="M47" s="3543">
        <f>'数据-取费表'!B2</f>
        <v>43155</v>
      </c>
      <c r="N47" s="3543"/>
      <c r="O47" s="3543"/>
    </row>
    <row r="48" spans="1:15" ht="25.5">
      <c r="A48" s="3609" t="s">
        <v>2197</v>
      </c>
      <c r="B48" s="3610"/>
      <c r="C48" s="3610"/>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541" t="s">
        <v>2200</v>
      </c>
      <c r="L48" s="3541"/>
      <c r="M48" s="3544">
        <f ca="1">H101</f>
        <v>32438</v>
      </c>
      <c r="N48" s="3544"/>
      <c r="O48" s="3544"/>
    </row>
    <row r="49" spans="1:35" ht="25.5" customHeight="1">
      <c r="A49" s="175" t="s">
        <v>2201</v>
      </c>
      <c r="B49" s="3589" t="s">
        <v>2202</v>
      </c>
      <c r="C49" s="3589"/>
      <c r="D49" s="176">
        <v>0</v>
      </c>
      <c r="E49" s="23" t="s">
        <v>2203</v>
      </c>
      <c r="F49" s="28" t="s">
        <v>34</v>
      </c>
      <c r="G49" s="3570"/>
      <c r="H49" s="137"/>
      <c r="I49" s="2480"/>
      <c r="J49" s="1805">
        <v>4</v>
      </c>
      <c r="K49" s="3541" t="str">
        <f>IF(项目基本情况!E8="房地产抵押价值","房地产抵押价值","抵押担保权已注销时的房地产抵押价值")</f>
        <v>房地产抵押价值</v>
      </c>
      <c r="L49" s="3541"/>
      <c r="M49" s="3544">
        <f ca="1">IF(项目基本情况!E8="房地产抵押价值",H107,H109)</f>
        <v>32438</v>
      </c>
      <c r="N49" s="3544"/>
      <c r="O49" s="3544"/>
    </row>
    <row r="50" spans="1:35" ht="25.5" customHeight="1">
      <c r="A50" s="177"/>
      <c r="B50" s="3589" t="s">
        <v>2204</v>
      </c>
      <c r="C50" s="3589"/>
      <c r="D50" s="178"/>
      <c r="E50" s="31"/>
      <c r="F50" s="179"/>
      <c r="G50" s="3571"/>
      <c r="H50" s="137"/>
      <c r="I50" s="2480"/>
      <c r="J50" s="3541" t="s">
        <v>2205</v>
      </c>
      <c r="K50" s="3541"/>
      <c r="L50" s="3541"/>
      <c r="M50" s="3541"/>
      <c r="N50" s="3541"/>
      <c r="O50" s="3541"/>
    </row>
    <row r="51" spans="1:35" ht="12" customHeight="1">
      <c r="A51" s="180"/>
      <c r="B51" s="3589" t="s">
        <v>2206</v>
      </c>
      <c r="C51" s="3589"/>
      <c r="D51" s="181"/>
      <c r="E51" s="30"/>
      <c r="F51" s="179"/>
      <c r="G51" s="3572"/>
      <c r="H51" s="137"/>
      <c r="I51" s="2480"/>
      <c r="J51" s="2481" t="s">
        <v>2207</v>
      </c>
      <c r="K51" s="3541" t="s">
        <v>2208</v>
      </c>
      <c r="L51" s="3541"/>
      <c r="M51" s="2481" t="s">
        <v>2209</v>
      </c>
      <c r="N51" s="2481" t="s">
        <v>2210</v>
      </c>
      <c r="O51" s="2481" t="s">
        <v>2211</v>
      </c>
    </row>
    <row r="52" spans="1:35" ht="24" customHeight="1">
      <c r="A52" s="182" t="s">
        <v>2212</v>
      </c>
      <c r="B52" s="3589" t="s">
        <v>2213</v>
      </c>
      <c r="C52" s="3589"/>
      <c r="D52" s="181">
        <f ca="1">ROUND(D45*'数据-取费表'!B41/(1+'数据-取费表'!C42),0)</f>
        <v>1699</v>
      </c>
      <c r="E52" s="11" t="s">
        <v>2214</v>
      </c>
      <c r="F52" s="183">
        <f>'数据-取费表'!B41</f>
        <v>5.5000000000000007E-2</v>
      </c>
      <c r="G52" s="2482"/>
      <c r="H52" s="137"/>
      <c r="I52" s="2480"/>
      <c r="J52" s="1805">
        <v>1</v>
      </c>
      <c r="K52" s="3564" t="s">
        <v>2215</v>
      </c>
      <c r="L52" s="3564"/>
      <c r="M52" s="1747">
        <f>D48</f>
        <v>0</v>
      </c>
      <c r="N52" s="1805" t="str">
        <f>E48</f>
        <v>销售额×税（费）率</v>
      </c>
      <c r="O52" s="1748" t="str">
        <f>F48</f>
        <v>免征</v>
      </c>
    </row>
    <row r="53" spans="1:35" ht="12" customHeight="1">
      <c r="A53" s="182" t="s">
        <v>2216</v>
      </c>
      <c r="B53" s="3590" t="s">
        <v>2217</v>
      </c>
      <c r="C53" s="3591"/>
      <c r="D53" s="181">
        <f ca="1">ROUND(D45*'数据-取费表'!B41/(1+'数据-取费表'!C42),0)</f>
        <v>1699</v>
      </c>
      <c r="E53" s="11" t="s">
        <v>2214</v>
      </c>
      <c r="F53" s="183">
        <f>'数据-取费表'!B41</f>
        <v>5.5000000000000007E-2</v>
      </c>
      <c r="G53" s="2482"/>
      <c r="H53" s="137"/>
      <c r="I53" s="2480"/>
      <c r="J53" s="1805">
        <v>2</v>
      </c>
      <c r="K53" s="3564" t="s">
        <v>2218</v>
      </c>
      <c r="L53" s="3564"/>
      <c r="M53" s="1747">
        <f t="shared" ref="M53:O54" ca="1" si="0">D55</f>
        <v>16</v>
      </c>
      <c r="N53" s="1805" t="str">
        <f t="shared" si="0"/>
        <v>销售额×税（费）率</v>
      </c>
      <c r="O53" s="1748">
        <f t="shared" si="0"/>
        <v>5.0000000000000001E-4</v>
      </c>
    </row>
    <row r="54" spans="1:35" ht="12" customHeight="1">
      <c r="A54" s="182" t="s">
        <v>2219</v>
      </c>
      <c r="B54" s="3590" t="s">
        <v>2220</v>
      </c>
      <c r="C54" s="3591"/>
      <c r="D54" s="181">
        <f ca="1">C68</f>
        <v>1699</v>
      </c>
      <c r="E54" s="30" t="s">
        <v>2221</v>
      </c>
      <c r="F54" s="183">
        <f>'数据-取费表'!B41</f>
        <v>5.5000000000000007E-2</v>
      </c>
      <c r="G54" s="2482"/>
      <c r="H54" s="2483"/>
      <c r="I54" s="2480"/>
      <c r="J54" s="1805">
        <v>3</v>
      </c>
      <c r="K54" s="3564" t="s">
        <v>2222</v>
      </c>
      <c r="L54" s="3564"/>
      <c r="M54" s="1747">
        <f t="shared" ca="1" si="0"/>
        <v>18390</v>
      </c>
      <c r="N54" s="1805" t="str">
        <f t="shared" si="0"/>
        <v>增值额×税（费）率</v>
      </c>
      <c r="O54" s="1749" t="str">
        <f t="shared" si="0"/>
        <v>——</v>
      </c>
    </row>
    <row r="55" spans="1:35" ht="24" customHeight="1">
      <c r="A55" s="3628" t="s">
        <v>2223</v>
      </c>
      <c r="B55" s="3610"/>
      <c r="C55" s="3610"/>
      <c r="D55" s="184">
        <f ca="1">IF(H55="个人住宅",0,ROUND(D45*I55,0))</f>
        <v>16</v>
      </c>
      <c r="E55" s="11" t="s">
        <v>2224</v>
      </c>
      <c r="F55" s="183">
        <f>IF(H55="正常",I55,"免征")</f>
        <v>5.0000000000000001E-4</v>
      </c>
      <c r="G55" s="2482"/>
      <c r="H55" s="2479" t="s">
        <v>2225</v>
      </c>
      <c r="I55" s="185">
        <f>'数据-取费表'!B49</f>
        <v>5.0000000000000001E-4</v>
      </c>
      <c r="J55" s="1805" t="str">
        <f>IF(H59="非个人房产","",4)</f>
        <v/>
      </c>
      <c r="K55" s="3564" t="str">
        <f>IF(H59="非个人房产","——","个人所得税")</f>
        <v>——</v>
      </c>
      <c r="L55" s="3564"/>
      <c r="M55" s="1750" t="str">
        <f>D59</f>
        <v>——</v>
      </c>
      <c r="N55" s="1803" t="str">
        <f>E59</f>
        <v>——</v>
      </c>
      <c r="O55" s="1751" t="str">
        <f>F59</f>
        <v>——</v>
      </c>
    </row>
    <row r="56" spans="1:35" ht="24.75">
      <c r="A56" s="3628" t="s">
        <v>2226</v>
      </c>
      <c r="B56" s="3610"/>
      <c r="C56" s="3610"/>
      <c r="D56" s="184">
        <f ca="1">IF(H56="个人住宅",D57,D58)</f>
        <v>18390</v>
      </c>
      <c r="E56" s="11" t="s">
        <v>2227</v>
      </c>
      <c r="F56" s="183" t="str">
        <f>IF(H56="正常",F58,"免征")</f>
        <v>——</v>
      </c>
      <c r="G56" s="2484" t="s">
        <v>2228</v>
      </c>
      <c r="H56" s="2485" t="s">
        <v>2225</v>
      </c>
      <c r="I56" s="2486"/>
      <c r="J56" s="1805" t="str">
        <f>IF(项目基本情况!K6="上海银行",IF(J55="",4,J55+1),"")</f>
        <v/>
      </c>
      <c r="K56" s="3547" t="str">
        <f>IF(项目基本情况!K6="上海银行","其他处置费用","")</f>
        <v/>
      </c>
      <c r="L56" s="3548"/>
      <c r="M56" s="1747" t="str">
        <f>IF(项目基本情况!K6="上海银行",M69,"")</f>
        <v/>
      </c>
      <c r="N56" s="3550" t="str">
        <f>IF(项目基本情况!K6="上海银行","包含处置中涉及的律师、诉讼、拍卖、评估等费用","")</f>
        <v/>
      </c>
      <c r="O56" s="3551"/>
    </row>
    <row r="57" spans="1:35" ht="12.75">
      <c r="A57" s="182" t="s">
        <v>2201</v>
      </c>
      <c r="B57" s="3595" t="s">
        <v>2229</v>
      </c>
      <c r="C57" s="3596"/>
      <c r="D57" s="186">
        <v>0</v>
      </c>
      <c r="E57" s="23" t="s">
        <v>2203</v>
      </c>
      <c r="F57" s="154"/>
      <c r="G57" s="2482"/>
      <c r="H57" s="2486"/>
      <c r="I57" s="2486"/>
      <c r="J57" s="3564">
        <f>IF(AND(J55="",J56=""),4,IF(项目基本情况!K6="上海银行",结果表住宅!J56+1,结果表住宅!J55+1))</f>
        <v>4</v>
      </c>
      <c r="K57" s="3564" t="s">
        <v>2230</v>
      </c>
      <c r="L57" s="2487" t="s">
        <v>2231</v>
      </c>
      <c r="M57" s="1752"/>
      <c r="N57" s="1753">
        <f ca="1">SUMIF(M52:M56,"&lt;9e307")</f>
        <v>18406</v>
      </c>
      <c r="O57" s="2488"/>
      <c r="P57" s="1746">
        <f ca="1">N57/M49</f>
        <v>0.56742092607435723</v>
      </c>
    </row>
    <row r="58" spans="1:35" ht="24.75">
      <c r="A58" s="182" t="s">
        <v>2212</v>
      </c>
      <c r="B58" s="3595" t="s">
        <v>2232</v>
      </c>
      <c r="C58" s="3608"/>
      <c r="D58" s="184">
        <f ca="1">IF(H58="转让取得",C81,C97)</f>
        <v>18390</v>
      </c>
      <c r="E58" s="11" t="s">
        <v>2227</v>
      </c>
      <c r="F58" s="24" t="s">
        <v>34</v>
      </c>
      <c r="G58" s="2482"/>
      <c r="H58" s="2485" t="s">
        <v>2233</v>
      </c>
      <c r="I58" s="2486"/>
      <c r="J58" s="3564"/>
      <c r="K58" s="3564"/>
      <c r="L58" s="2487" t="s">
        <v>2234</v>
      </c>
      <c r="M58" s="1754"/>
      <c r="N58" s="2489" t="str">
        <f ca="1">NUMBERSTRING(INT(N57*10000),2)&amp;"元整"</f>
        <v>壹亿捌仟肆佰零陆万元整</v>
      </c>
      <c r="O58" s="2490"/>
    </row>
    <row r="59" spans="1:35" ht="24.75" thickBot="1">
      <c r="A59" s="3568" t="s">
        <v>2235</v>
      </c>
      <c r="B59" s="3569"/>
      <c r="C59" s="3569"/>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66">
        <f>J57+1</f>
        <v>5</v>
      </c>
      <c r="K59" s="3564" t="s">
        <v>2237</v>
      </c>
      <c r="L59" s="1805" t="s">
        <v>2231</v>
      </c>
      <c r="M59" s="1755"/>
      <c r="N59" s="1756">
        <f ca="1">M49-N57</f>
        <v>14032</v>
      </c>
      <c r="O59" s="2492"/>
    </row>
    <row r="60" spans="1:35" ht="12" customHeight="1">
      <c r="A60" s="2493"/>
      <c r="B60" s="2415"/>
      <c r="C60" s="2415"/>
      <c r="D60" s="2415"/>
      <c r="E60" s="2163"/>
      <c r="F60" s="2486"/>
      <c r="G60" s="2486"/>
      <c r="H60" s="2494"/>
      <c r="I60" s="137"/>
      <c r="J60" s="3567"/>
      <c r="K60" s="3564"/>
      <c r="L60" s="2487" t="s">
        <v>2234</v>
      </c>
      <c r="M60" s="1754"/>
      <c r="N60" s="2489" t="str">
        <f ca="1">NUMBERSTRING(INT(N59*10000),2)&amp;"元整"</f>
        <v>壹亿肆仟零叁拾贰万元整</v>
      </c>
      <c r="O60" s="2490"/>
    </row>
    <row r="61" spans="1:35" ht="13.5" thickBot="1">
      <c r="A61" s="3627" t="s">
        <v>2238</v>
      </c>
      <c r="B61" s="3627"/>
      <c r="C61" s="3627"/>
      <c r="D61" s="3627"/>
      <c r="E61" s="3627"/>
      <c r="F61" s="2486"/>
      <c r="G61" s="2486"/>
      <c r="H61" s="2494"/>
      <c r="I61" s="137"/>
      <c r="J61" s="1805">
        <f>J59+1</f>
        <v>6</v>
      </c>
      <c r="K61" s="3564" t="s">
        <v>2239</v>
      </c>
      <c r="L61" s="3564"/>
      <c r="M61" s="1757"/>
      <c r="N61" s="1758">
        <f ca="1">ROUND(N59*10000/'数据-汇总表'!E3,0)</f>
        <v>9540</v>
      </c>
      <c r="O61" s="2495"/>
    </row>
    <row r="62" spans="1:35" ht="12.75">
      <c r="A62" s="3584" t="s">
        <v>2240</v>
      </c>
      <c r="B62" s="3585"/>
      <c r="C62" s="1797"/>
      <c r="D62" s="1797" t="s">
        <v>2241</v>
      </c>
      <c r="E62" s="191" t="s">
        <v>2242</v>
      </c>
      <c r="F62" s="2486"/>
      <c r="G62" s="2486"/>
      <c r="H62" s="2494"/>
      <c r="I62" s="137"/>
    </row>
    <row r="63" spans="1:35" ht="12.75">
      <c r="A63" s="202" t="s">
        <v>774</v>
      </c>
      <c r="B63" s="192" t="s">
        <v>2243</v>
      </c>
      <c r="C63" s="193">
        <f ca="1">ROUND((C64+C65)/(1+'数据-取费表'!C42),0)</f>
        <v>30893</v>
      </c>
      <c r="D63" s="194"/>
      <c r="E63" s="195"/>
      <c r="F63" s="2486"/>
      <c r="G63" s="2486"/>
      <c r="H63" s="2494"/>
      <c r="I63" s="137"/>
      <c r="J63" s="3549" t="s">
        <v>2244</v>
      </c>
      <c r="K63" s="2496" t="s">
        <v>2245</v>
      </c>
      <c r="L63" s="1745">
        <f ca="1">IF(M49&gt;10000,M49*0.5%,IF(AND(M49&gt;1000,M49&lt;=10000),M49*1%,IF(AND(M49&gt;100,M49&lt;=1000),M49*3%,IF(AND(M49&gt;10,M49&lt;=100),M49*5%,M49*8%))))</f>
        <v>162.19</v>
      </c>
      <c r="M63" s="24">
        <f ca="1">ROUND(L63,1)</f>
        <v>162.19999999999999</v>
      </c>
      <c r="Z63" s="2420"/>
      <c r="AI63" s="2421"/>
    </row>
    <row r="64" spans="1:35" ht="14.25" customHeight="1">
      <c r="A64" s="196" t="s">
        <v>769</v>
      </c>
      <c r="B64" s="197" t="s">
        <v>2246</v>
      </c>
      <c r="C64" s="198">
        <f ca="1">D45</f>
        <v>32438</v>
      </c>
      <c r="D64" s="199" t="s">
        <v>32</v>
      </c>
      <c r="E64" s="200"/>
      <c r="F64" s="2486"/>
      <c r="G64" s="2486"/>
      <c r="H64" s="2494"/>
      <c r="I64" s="137"/>
      <c r="J64" s="3549"/>
      <c r="K64" s="2496" t="s">
        <v>2247</v>
      </c>
      <c r="L64" s="1745">
        <f ca="1">IF(M49&gt;2000,M49*0.5%,IF(AND(M49&gt;1000,M49&lt;=2000),M49*0.6%,IF(AND(M49&gt;500,M49&lt;=1000),M49*0.7%,IF(AND(M49&gt;200,M49&lt;=500),M49*0.8%,IF(AND(M49&gt;100,M49&lt;=200),M49*0.9%,IF(AND(M49&gt;50,M49&lt;=100),M49*1%,IF(AND(M49&gt;20,M49&lt;=50),M49*1.5%,IF(AND(M49&gt;10,M49&lt;=20),M49*2%,IF(AND(M49&gt;1,M49&lt;=10),M49*2.5%)))))))))</f>
        <v>162.19</v>
      </c>
      <c r="M64" s="24">
        <f t="shared" ref="M64:M65" ca="1" si="1">ROUND(L64,1)</f>
        <v>162.19999999999999</v>
      </c>
      <c r="N64" s="137" t="s">
        <v>2248</v>
      </c>
      <c r="Z64" s="2420"/>
      <c r="AI64" s="2421"/>
    </row>
    <row r="65" spans="1:35" ht="14.25" customHeight="1">
      <c r="A65" s="196" t="s">
        <v>770</v>
      </c>
      <c r="B65" s="197" t="s">
        <v>2249</v>
      </c>
      <c r="C65" s="201"/>
      <c r="D65" s="199"/>
      <c r="E65" s="200"/>
      <c r="F65" s="2486"/>
      <c r="G65" s="2486"/>
      <c r="H65" s="2494"/>
      <c r="I65" s="137"/>
      <c r="J65" s="3549"/>
      <c r="K65" s="2496" t="s">
        <v>2250</v>
      </c>
      <c r="L65" s="1745">
        <f ca="1">IF(M49&gt;1000,M49*0.1%,IF(AND(M49&gt;500,M49&lt;=1000),M49*0.5%,IF(AND(M49&gt;50,M49&lt;=500),M49*1%,IF(AND(M49&gt;1,M49&lt;=50),M49*1.5%))))</f>
        <v>32.438000000000002</v>
      </c>
      <c r="M65" s="24">
        <f t="shared" ca="1" si="1"/>
        <v>32.4</v>
      </c>
      <c r="N65" s="137" t="s">
        <v>2248</v>
      </c>
      <c r="Z65" s="2420"/>
      <c r="AI65" s="2421"/>
    </row>
    <row r="66" spans="1:35" ht="14.25" customHeight="1">
      <c r="A66" s="202" t="s">
        <v>771</v>
      </c>
      <c r="B66" s="203" t="s">
        <v>2251</v>
      </c>
      <c r="C66" s="204"/>
      <c r="D66" s="205" t="s">
        <v>32</v>
      </c>
      <c r="E66" s="1769" t="s">
        <v>1370</v>
      </c>
      <c r="F66" s="2486"/>
      <c r="G66" s="2486"/>
      <c r="H66" s="2494"/>
      <c r="I66" s="137"/>
      <c r="J66" s="3549"/>
      <c r="K66" s="2496" t="s">
        <v>2252</v>
      </c>
      <c r="L66" s="1745">
        <f ca="1">M49*0.5%</f>
        <v>162.19</v>
      </c>
      <c r="M66" s="24">
        <f ca="1">IF(L66&gt;0.5,0.5,ROUND(L66,0))</f>
        <v>0.5</v>
      </c>
      <c r="N66" s="137" t="s">
        <v>2253</v>
      </c>
      <c r="Z66" s="2420"/>
      <c r="AI66" s="2421"/>
    </row>
    <row r="67" spans="1:35" ht="14.25" customHeight="1">
      <c r="A67" s="202" t="s">
        <v>772</v>
      </c>
      <c r="B67" s="203" t="s">
        <v>2254</v>
      </c>
      <c r="C67" s="206">
        <f ca="1">C63-C66</f>
        <v>30893</v>
      </c>
      <c r="D67" s="199" t="s">
        <v>32</v>
      </c>
      <c r="E67" s="200"/>
      <c r="F67" s="2486"/>
      <c r="G67" s="2486"/>
      <c r="H67" s="2494"/>
      <c r="I67" s="137"/>
      <c r="J67" s="3549"/>
      <c r="K67" s="2496" t="s">
        <v>2255</v>
      </c>
      <c r="L67" s="1745">
        <f ca="1">IF(M49&gt;=10000,(8.25+(M49-10000)*0.01%),IF(AND(M49&gt;=8000,M49&lt;10000),(7.85+(M49-8000)*0.02%),IF(AND(M49&gt;=5000,M49&lt;8000),(6.65+(M49-5000)*0.04%),IF(AND(M49&gt;=2000,M49&lt;5000),(4.25+(PM49-2000)*0.08%),IF(AND(M49&gt;=1000,M49&lt;2000),(2.75+(M49-1000)*0.15%),IF(AND(M49&gt;=100,M49&lt;1000),(0.5+(M49-100)*0.25%),IF(AND(M49&gt;0,M49&lt;100),M49*0.5%)))))))</f>
        <v>10.4938</v>
      </c>
      <c r="M67" s="24">
        <f ca="1">ROUND(L67*0.9,1)</f>
        <v>9.4</v>
      </c>
      <c r="Z67" s="2420"/>
      <c r="AI67" s="2421"/>
    </row>
    <row r="68" spans="1:35" ht="14.25" customHeight="1" thickBot="1">
      <c r="A68" s="207" t="s">
        <v>773</v>
      </c>
      <c r="B68" s="208" t="s">
        <v>2256</v>
      </c>
      <c r="C68" s="209">
        <f ca="1">IF(C67&lt;=0,0,ROUND(C67*D68,0))</f>
        <v>1699</v>
      </c>
      <c r="D68" s="210">
        <f>'数据-取费表'!B41</f>
        <v>5.5000000000000007E-2</v>
      </c>
      <c r="E68" s="211"/>
      <c r="F68" s="2486"/>
      <c r="G68" s="2486"/>
      <c r="H68" s="2494"/>
      <c r="I68" s="137"/>
      <c r="J68" s="3549"/>
      <c r="K68" s="2496" t="s">
        <v>2257</v>
      </c>
      <c r="L68" s="1745">
        <f ca="1">IF(M49&gt;10000,M49*0.5%,IF(AND(M49&gt;5000,M49&lt;=10000),M49*1%,IF(AND(M49&gt;1000,M49&lt;=5000),M49*2%,IF(AND(M49&gt;200,M49&lt;=1000),M49*3%,M49*5%))))</f>
        <v>162.19</v>
      </c>
      <c r="M68" s="24">
        <f ca="1">ROUND(L68,1)</f>
        <v>162.19999999999999</v>
      </c>
      <c r="Z68" s="2420"/>
      <c r="AI68" s="2421"/>
    </row>
    <row r="69" spans="1:35" s="2443" customFormat="1" ht="16.5" customHeight="1">
      <c r="A69" s="2497"/>
      <c r="B69" s="2498"/>
      <c r="C69" s="2499"/>
      <c r="D69" s="2500"/>
      <c r="E69" s="2501"/>
      <c r="F69" s="2163"/>
      <c r="G69" s="2163"/>
      <c r="H69" s="2162"/>
      <c r="I69" s="2415"/>
      <c r="J69" s="3549"/>
      <c r="K69" s="2496" t="s">
        <v>2258</v>
      </c>
      <c r="L69" s="2502"/>
      <c r="M69" s="24">
        <f ca="1">ROUND(SUM(M63:M68),0)</f>
        <v>529</v>
      </c>
      <c r="N69" s="1746">
        <f ca="1">M69/M49</f>
        <v>1.6308033787533139E-2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593" t="s">
        <v>2259</v>
      </c>
      <c r="B70" s="3594"/>
      <c r="C70" s="3594"/>
      <c r="D70" s="3594"/>
      <c r="E70" s="3594"/>
      <c r="F70" s="3594"/>
      <c r="G70" s="3594"/>
      <c r="H70" s="359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84" t="s">
        <v>2240</v>
      </c>
      <c r="B71" s="3585"/>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30893</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154</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90" t="s">
        <v>2268</v>
      </c>
      <c r="F76" s="3589"/>
      <c r="G76" s="3589"/>
      <c r="H76" s="359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154</v>
      </c>
      <c r="D78" s="225">
        <f>'数据-取费表'!B43</f>
        <v>5.000000000000001E-3</v>
      </c>
      <c r="E78" s="3581" t="s">
        <v>2273</v>
      </c>
      <c r="F78" s="3582"/>
      <c r="G78" s="3582"/>
      <c r="H78" s="358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30739</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199.60389610389609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18390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593" t="s">
        <v>2277</v>
      </c>
      <c r="B83" s="3594"/>
      <c r="C83" s="3594"/>
      <c r="D83" s="3594"/>
      <c r="E83" s="3594"/>
      <c r="F83" s="3594"/>
      <c r="G83" s="3594"/>
      <c r="H83" s="359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84" t="s">
        <v>2240</v>
      </c>
      <c r="B84" s="3585"/>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30893</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154</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81" t="s">
        <v>2286</v>
      </c>
      <c r="F91" s="3582"/>
      <c r="G91" s="358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81" t="s">
        <v>2290</v>
      </c>
      <c r="F92" s="3582"/>
      <c r="G92" s="3582"/>
      <c r="H92" s="358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154</v>
      </c>
      <c r="D93" s="225">
        <f>'数据-取费表'!B43</f>
        <v>5.000000000000001E-3</v>
      </c>
      <c r="E93" s="3581" t="s">
        <v>2273</v>
      </c>
      <c r="F93" s="3582"/>
      <c r="G93" s="3582"/>
      <c r="H93" s="358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29" t="s">
        <v>2294</v>
      </c>
      <c r="F94" s="3630"/>
      <c r="G94" s="3630"/>
      <c r="H94" s="363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30739</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199.60389610389609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18390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33" t="s">
        <v>2296</v>
      </c>
      <c r="B100" s="3534"/>
      <c r="C100" s="3534"/>
      <c r="D100" s="3565"/>
      <c r="E100" s="3534" t="s">
        <v>2297</v>
      </c>
      <c r="F100" s="3534"/>
      <c r="G100" s="3534"/>
      <c r="H100" s="3565"/>
      <c r="I100" s="137"/>
    </row>
    <row r="101" spans="1:35" ht="18.75" customHeight="1">
      <c r="A101" s="3573" t="s">
        <v>2298</v>
      </c>
      <c r="B101" s="3574"/>
      <c r="C101" s="732" t="str">
        <f>C4</f>
        <v>比较法-住宅</v>
      </c>
      <c r="D101" s="733" t="str">
        <f>D4</f>
        <v>成本法</v>
      </c>
      <c r="E101" s="3545" t="s">
        <v>2299</v>
      </c>
      <c r="F101" s="3546"/>
      <c r="G101" s="2517" t="s">
        <v>2300</v>
      </c>
      <c r="H101" s="1041">
        <f ca="1">H118</f>
        <v>32438</v>
      </c>
      <c r="I101" s="137"/>
    </row>
    <row r="102" spans="1:35" ht="18.75" customHeight="1">
      <c r="A102" s="3575" t="s">
        <v>2301</v>
      </c>
      <c r="B102" s="2517" t="s">
        <v>2300</v>
      </c>
      <c r="C102" s="732">
        <f ca="1">C19</f>
        <v>39564</v>
      </c>
      <c r="D102" s="733">
        <f ca="1">D19</f>
        <v>21749</v>
      </c>
      <c r="E102" s="3545"/>
      <c r="F102" s="3546"/>
      <c r="G102" s="2517" t="s">
        <v>2302</v>
      </c>
      <c r="H102" s="370">
        <f ca="1">I118</f>
        <v>61118</v>
      </c>
      <c r="I102" s="137"/>
    </row>
    <row r="103" spans="1:35" ht="42.75" customHeight="1">
      <c r="A103" s="3575"/>
      <c r="B103" s="2517" t="s">
        <v>2302</v>
      </c>
      <c r="C103" s="734">
        <f ca="1">C20</f>
        <v>74545</v>
      </c>
      <c r="D103" s="735">
        <f ca="1">D20</f>
        <v>40978</v>
      </c>
      <c r="E103" s="3539" t="s">
        <v>2303</v>
      </c>
      <c r="F103" s="3540"/>
      <c r="G103" s="2518" t="s">
        <v>2304</v>
      </c>
      <c r="H103" s="1041">
        <f>IF(D36="正常操作",H104+H105+H106,H105+H106)</f>
        <v>0</v>
      </c>
      <c r="I103" s="137"/>
    </row>
    <row r="104" spans="1:35" ht="18.75" customHeight="1">
      <c r="A104" s="3575" t="s">
        <v>2305</v>
      </c>
      <c r="B104" s="2519" t="s">
        <v>2300</v>
      </c>
      <c r="C104" s="736">
        <f ca="1">H118</f>
        <v>32438</v>
      </c>
      <c r="D104" s="737"/>
      <c r="E104" s="2263" t="s">
        <v>2306</v>
      </c>
      <c r="F104" s="2255"/>
      <c r="G104" s="2518" t="s">
        <v>2304</v>
      </c>
      <c r="H104" s="1042">
        <f>IF(D36="同一抵押权人同一抵押物续贷",C36&amp;"（未扣减，详见特别提示）",C36)</f>
        <v>0</v>
      </c>
      <c r="I104" s="137"/>
    </row>
    <row r="105" spans="1:35" ht="18.75" customHeight="1" thickBot="1">
      <c r="A105" s="3587"/>
      <c r="B105" s="2520" t="s">
        <v>2302</v>
      </c>
      <c r="C105" s="738">
        <f ca="1">I118</f>
        <v>61118</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76" t="str">
        <f>IF(项目基本情况!E8="已注销","——","3.房地产抵押价值")</f>
        <v>3.房地产抵押价值</v>
      </c>
      <c r="F107" s="3546"/>
      <c r="G107" s="2517" t="s">
        <v>2300</v>
      </c>
      <c r="H107" s="1041">
        <f ca="1">IF(E107="——","——",H101-H103)</f>
        <v>32438</v>
      </c>
      <c r="I107" s="137"/>
    </row>
    <row r="108" spans="1:35" ht="18.75" customHeight="1">
      <c r="A108" s="137"/>
      <c r="B108" s="137"/>
      <c r="C108" s="137"/>
      <c r="D108" s="137"/>
      <c r="E108" s="3576"/>
      <c r="F108" s="3546"/>
      <c r="G108" s="2517" t="s">
        <v>2302</v>
      </c>
      <c r="H108" s="370">
        <f ca="1">ROUND(H107*10000/'数据-汇总表'!E3,0)</f>
        <v>22053</v>
      </c>
      <c r="I108" s="137"/>
    </row>
    <row r="109" spans="1:35" ht="18.75" customHeight="1">
      <c r="A109" s="137"/>
      <c r="B109" s="137"/>
      <c r="C109" s="137"/>
      <c r="D109" s="137"/>
      <c r="E109" s="3576" t="str">
        <f>IF(项目基本情况!E8="已注销及未注销","4.抵押担保权已注销时的房地产抵押价值",IF(项目基本情况!E8="已注销","3.抵押担保权已注销时的房地产抵押价值","——"))</f>
        <v>——</v>
      </c>
      <c r="F109" s="3546"/>
      <c r="G109" s="2517" t="s">
        <v>2300</v>
      </c>
      <c r="H109" s="347" t="str">
        <f>IF(E109="——","——",H101-H105-H106)</f>
        <v>——</v>
      </c>
      <c r="I109" s="137"/>
    </row>
    <row r="110" spans="1:35" ht="18.75" customHeight="1">
      <c r="A110" s="137"/>
      <c r="B110" s="137"/>
      <c r="C110" s="137"/>
      <c r="D110" s="137"/>
      <c r="E110" s="3576"/>
      <c r="F110" s="3546"/>
      <c r="G110" s="2517" t="s">
        <v>2302</v>
      </c>
      <c r="H110" s="370" t="str">
        <f>IF(H109="——","——",ROUND(H109*10000/'数据-汇总表'!E3,0))</f>
        <v>——</v>
      </c>
      <c r="I110" s="137"/>
    </row>
    <row r="111" spans="1:35" ht="18.75" customHeight="1">
      <c r="A111" s="137"/>
      <c r="B111" s="137"/>
      <c r="C111" s="137"/>
      <c r="D111" s="137"/>
      <c r="E111" s="3577" t="str">
        <f>IF(项目基本情况!E9="抵押净值",IF(OR(项目基本情况!E8="已注销",项目基本情况!E8="房地产抵押价值"),"4.抵押净值","5.抵押净值"),"——")</f>
        <v>——</v>
      </c>
      <c r="F111" s="3578"/>
      <c r="G111" s="2517" t="s">
        <v>2300</v>
      </c>
      <c r="H111" s="1041" t="str">
        <f>IF(E111="——","——",N59)</f>
        <v>——</v>
      </c>
      <c r="I111" s="137"/>
    </row>
    <row r="112" spans="1:35" ht="18.75" customHeight="1" thickBot="1">
      <c r="A112" s="137"/>
      <c r="B112" s="137"/>
      <c r="C112" s="137"/>
      <c r="D112" s="137"/>
      <c r="E112" s="3579"/>
      <c r="F112" s="3580"/>
      <c r="G112" s="2522" t="s">
        <v>2302</v>
      </c>
      <c r="H112" s="786" t="str">
        <f>IF(E111="——","——",N61)</f>
        <v>——</v>
      </c>
      <c r="I112" s="137"/>
    </row>
    <row r="113" spans="1:11" ht="18.75" customHeight="1">
      <c r="A113" s="137"/>
      <c r="B113" s="137"/>
      <c r="C113" s="137"/>
      <c r="D113" s="137"/>
      <c r="E113" s="3588" t="s">
        <v>2308</v>
      </c>
      <c r="F113" s="3588"/>
      <c r="G113" s="3588"/>
      <c r="H113" s="3588"/>
      <c r="I113" s="137"/>
    </row>
    <row r="114" spans="1:11" ht="3.75" customHeight="1">
      <c r="A114" s="2415"/>
      <c r="B114" s="2415"/>
      <c r="C114" s="2415"/>
      <c r="D114" s="2415"/>
      <c r="E114" s="2493"/>
      <c r="F114" s="2493"/>
      <c r="G114" s="2493"/>
      <c r="H114" s="2493"/>
      <c r="I114" s="2415"/>
    </row>
    <row r="115" spans="1:11" ht="18.75" customHeight="1">
      <c r="A115" s="3601" t="s">
        <v>2310</v>
      </c>
      <c r="B115" s="3602"/>
      <c r="C115" s="3602"/>
      <c r="D115" s="3602"/>
      <c r="E115" s="3602"/>
      <c r="F115" s="3602"/>
      <c r="G115" s="3602"/>
      <c r="H115" s="3602"/>
      <c r="I115" s="3603"/>
    </row>
    <row r="116" spans="1:11" ht="27" customHeight="1">
      <c r="A116" s="3512" t="s">
        <v>2311</v>
      </c>
      <c r="B116" s="3555" t="s">
        <v>2312</v>
      </c>
      <c r="C116" s="3555" t="s">
        <v>2313</v>
      </c>
      <c r="D116" s="3561" t="s">
        <v>2314</v>
      </c>
      <c r="E116" s="3562"/>
      <c r="F116" s="3597" t="s">
        <v>2315</v>
      </c>
      <c r="G116" s="3597"/>
      <c r="H116" s="3512" t="s">
        <v>2316</v>
      </c>
      <c r="I116" s="3512"/>
    </row>
    <row r="117" spans="1:11" ht="18.75" customHeight="1">
      <c r="A117" s="3512"/>
      <c r="B117" s="3556"/>
      <c r="C117" s="3556"/>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5307.46</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32438</v>
      </c>
      <c r="I118" s="1791">
        <f ca="1">ROUND(IF(D32="楼面单价",C32,H118*10000/B118),0)</f>
        <v>61118</v>
      </c>
    </row>
    <row r="119" spans="1:11" ht="18.75" customHeight="1">
      <c r="A119" s="3512" t="s">
        <v>2320</v>
      </c>
      <c r="B119" s="3512"/>
      <c r="C119" s="3512"/>
      <c r="D119" s="3557" t="e">
        <f ca="1">NUMBERSTRING(INT(D118*10000),2)&amp;"元整"</f>
        <v>#REF!</v>
      </c>
      <c r="E119" s="3558"/>
      <c r="F119" s="3557" t="e">
        <f ca="1">NUMBERSTRING(INT(F118*10000),2)&amp;"元整"</f>
        <v>#REF!</v>
      </c>
      <c r="G119" s="3558"/>
      <c r="H119" s="3557" t="str">
        <f ca="1">NUMBERSTRING(INT(H118*10000),2)&amp;"元整"</f>
        <v>叁亿贰仟肆佰叁拾捌万元整</v>
      </c>
      <c r="I119" s="3558"/>
    </row>
    <row r="120" spans="1:11" ht="18.75" customHeight="1">
      <c r="A120" s="3552" t="str">
        <f>IF(项目基本情况!B9="房地产市场价值","",MID(E103,3,LEN(E103)-2))</f>
        <v>估价师知悉的法定优先受偿款</v>
      </c>
      <c r="B120" s="3553"/>
      <c r="C120" s="3554"/>
      <c r="D120" s="3552">
        <f>H103</f>
        <v>0</v>
      </c>
      <c r="E120" s="3553"/>
      <c r="F120" s="3553"/>
      <c r="G120" s="3553"/>
      <c r="H120" s="3553"/>
      <c r="I120" s="3554"/>
      <c r="K120" s="2420" t="str">
        <f>IF(D120=0,"故，本次评估不存在"&amp;A120,"故，本次评估"&amp;A120&amp;"为人民币"&amp;D120&amp;"万元整。")</f>
        <v>故，本次评估不存在估价师知悉的法定优先受偿款</v>
      </c>
    </row>
    <row r="121" spans="1:11" ht="18.75" customHeight="1">
      <c r="A121" s="3598" t="s">
        <v>2320</v>
      </c>
      <c r="B121" s="3599"/>
      <c r="C121" s="3600"/>
      <c r="D121" s="3557" t="str">
        <f>IF(D120=0,"零元整",NUMBERSTRING(INT(D120*10000),2)&amp;"元整")</f>
        <v>零元整</v>
      </c>
      <c r="E121" s="3559"/>
      <c r="F121" s="3559"/>
      <c r="G121" s="3559"/>
      <c r="H121" s="3559"/>
      <c r="I121" s="3558"/>
    </row>
    <row r="122" spans="1:11" ht="18.75" customHeight="1">
      <c r="A122" s="3563" t="str">
        <f>IF(项目基本情况!B9="房地产市场价值","",MID(E107,3,LEN(E107)-2))</f>
        <v>房地产抵押价值</v>
      </c>
      <c r="B122" s="3563"/>
      <c r="C122" s="3563"/>
      <c r="D122" s="3552">
        <f ca="1">H107</f>
        <v>32438</v>
      </c>
      <c r="E122" s="3553"/>
      <c r="F122" s="3553"/>
      <c r="G122" s="3553"/>
      <c r="H122" s="3553"/>
      <c r="I122" s="3554"/>
    </row>
    <row r="123" spans="1:11" ht="18.75" customHeight="1">
      <c r="A123" s="3512" t="s">
        <v>2320</v>
      </c>
      <c r="B123" s="3512"/>
      <c r="C123" s="3512"/>
      <c r="D123" s="3557" t="str">
        <f ca="1">NUMBERSTRING(INT(D122*10000),2)&amp;"元整"</f>
        <v>叁亿贰仟肆佰叁拾捌万元整</v>
      </c>
      <c r="E123" s="3559"/>
      <c r="F123" s="3559"/>
      <c r="G123" s="3559"/>
      <c r="H123" s="3559"/>
      <c r="I123" s="3558"/>
    </row>
    <row r="124" spans="1:11" ht="18.75" customHeight="1">
      <c r="A124" s="3563" t="str">
        <f>IF(项目基本情况!B9="房地产市场价值","",MID(E109,3,LEN(E109)-2))</f>
        <v/>
      </c>
      <c r="B124" s="3563"/>
      <c r="C124" s="3563"/>
      <c r="D124" s="3552" t="str">
        <f>H109</f>
        <v>——</v>
      </c>
      <c r="E124" s="3553"/>
      <c r="F124" s="3553"/>
      <c r="G124" s="3553"/>
      <c r="H124" s="3553"/>
      <c r="I124" s="3554"/>
    </row>
    <row r="125" spans="1:11" ht="18.75" customHeight="1">
      <c r="A125" s="3512" t="s">
        <v>2320</v>
      </c>
      <c r="B125" s="3512"/>
      <c r="C125" s="3512"/>
      <c r="D125" s="3557" t="e">
        <f>NUMBERSTRING(INT(D124*10000),2)&amp;"元整"</f>
        <v>#VALUE!</v>
      </c>
      <c r="E125" s="3559"/>
      <c r="F125" s="3559"/>
      <c r="G125" s="3559"/>
      <c r="H125" s="3559"/>
      <c r="I125" s="3558"/>
    </row>
    <row r="126" spans="1:11" ht="18.75" customHeight="1">
      <c r="A126" s="3563" t="str">
        <f>IF(项目基本情况!B9="房地产市场价值","",MID(E111,3,LEN(E111)-2))</f>
        <v/>
      </c>
      <c r="B126" s="3563"/>
      <c r="C126" s="3563"/>
      <c r="D126" s="3552" t="str">
        <f>H111</f>
        <v>——</v>
      </c>
      <c r="E126" s="3553"/>
      <c r="F126" s="3553"/>
      <c r="G126" s="3553"/>
      <c r="H126" s="3553"/>
      <c r="I126" s="3554"/>
    </row>
    <row r="127" spans="1:11" ht="18.75" customHeight="1">
      <c r="A127" s="3512" t="s">
        <v>2320</v>
      </c>
      <c r="B127" s="3512"/>
      <c r="C127" s="3512"/>
      <c r="D127" s="3557" t="e">
        <f>NUMBERSTRING(INT(D126*10000),2)&amp;"元整"</f>
        <v>#VALUE!</v>
      </c>
      <c r="E127" s="3559"/>
      <c r="F127" s="3559"/>
      <c r="G127" s="3559"/>
      <c r="H127" s="3559"/>
      <c r="I127" s="3558"/>
    </row>
    <row r="128" spans="1:11" ht="21.75" customHeight="1">
      <c r="A128" s="3560" t="s">
        <v>2321</v>
      </c>
      <c r="B128" s="3560"/>
      <c r="C128" s="3560"/>
      <c r="D128" s="3560"/>
      <c r="E128" s="3560"/>
      <c r="F128" s="3560"/>
      <c r="G128" s="3560"/>
      <c r="H128" s="3560"/>
      <c r="I128" s="356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43" sqref="C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39564</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74545</v>
      </c>
      <c r="C3" s="399" t="s">
        <v>2537</v>
      </c>
      <c r="D3" s="398">
        <f>IF(D1="",'数据-汇总表'!E3,SUMIF('数据-汇总表'!$C19:$C33,D1,'数据-汇总表'!$E19:$E33))</f>
        <v>5307.46</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52" t="s">
        <v>2539</v>
      </c>
      <c r="D4" s="3653"/>
      <c r="E4" s="3654" t="s">
        <v>2540</v>
      </c>
      <c r="F4" s="3655"/>
      <c r="G4" s="3652" t="s">
        <v>2541</v>
      </c>
      <c r="H4" s="3653"/>
      <c r="I4" s="3652" t="s">
        <v>2542</v>
      </c>
      <c r="J4" s="3653"/>
      <c r="K4" s="2595" t="s">
        <v>2543</v>
      </c>
      <c r="L4" s="1126"/>
      <c r="M4" s="1127"/>
      <c r="N4" s="1127"/>
      <c r="O4" s="1127"/>
      <c r="P4" s="3656" t="s">
        <v>2544</v>
      </c>
      <c r="Q4" s="3657"/>
      <c r="R4" s="3637" t="s">
        <v>2540</v>
      </c>
      <c r="S4" s="3638"/>
      <c r="T4" s="3637" t="s">
        <v>2541</v>
      </c>
      <c r="U4" s="3638"/>
      <c r="V4" s="3664" t="s">
        <v>2542</v>
      </c>
      <c r="W4" s="3664"/>
      <c r="X4" s="1809"/>
      <c r="Y4" s="3637" t="s">
        <v>2544</v>
      </c>
      <c r="Z4" s="3638"/>
      <c r="AA4" s="3632" t="s">
        <v>2540</v>
      </c>
      <c r="AB4" s="3632" t="s">
        <v>2541</v>
      </c>
      <c r="AC4" s="3632" t="s">
        <v>2542</v>
      </c>
    </row>
    <row r="5" spans="1:29" ht="15">
      <c r="A5" s="403"/>
      <c r="B5" s="404"/>
      <c r="C5" s="3643" t="s">
        <v>2545</v>
      </c>
      <c r="D5" s="3644"/>
      <c r="E5" s="3641" t="s">
        <v>3100</v>
      </c>
      <c r="F5" s="3642"/>
      <c r="G5" s="3647" t="s">
        <v>3101</v>
      </c>
      <c r="H5" s="3648"/>
      <c r="I5" s="3647" t="s">
        <v>3102</v>
      </c>
      <c r="J5" s="3648"/>
      <c r="K5" s="2596"/>
      <c r="L5" s="1126"/>
      <c r="M5" s="1127"/>
      <c r="N5" s="1127"/>
      <c r="O5" s="1127"/>
      <c r="P5" s="3658"/>
      <c r="Q5" s="3659"/>
      <c r="R5" s="3639"/>
      <c r="S5" s="3640"/>
      <c r="T5" s="3639"/>
      <c r="U5" s="3640"/>
      <c r="V5" s="3664"/>
      <c r="W5" s="3664"/>
      <c r="X5" s="1809"/>
      <c r="Y5" s="3639"/>
      <c r="Z5" s="3640"/>
      <c r="AA5" s="3633"/>
      <c r="AB5" s="3633"/>
      <c r="AC5" s="3633"/>
    </row>
    <row r="6" spans="1:29" ht="15.75" thickBot="1">
      <c r="A6" s="405"/>
      <c r="B6" s="406"/>
      <c r="C6" s="3645" t="s">
        <v>2549</v>
      </c>
      <c r="D6" s="3646"/>
      <c r="E6" s="3649" t="s">
        <v>2549</v>
      </c>
      <c r="F6" s="3650"/>
      <c r="G6" s="3645" t="s">
        <v>2549</v>
      </c>
      <c r="H6" s="3646"/>
      <c r="I6" s="3645" t="s">
        <v>2549</v>
      </c>
      <c r="J6" s="3646"/>
      <c r="K6" s="2596" t="s">
        <v>2550</v>
      </c>
      <c r="L6" s="1126"/>
      <c r="M6" s="1127"/>
      <c r="N6" s="1127"/>
      <c r="O6" s="1127"/>
      <c r="P6" s="3660"/>
      <c r="Q6" s="3661"/>
      <c r="R6" s="3639"/>
      <c r="S6" s="3640"/>
      <c r="T6" s="3662"/>
      <c r="U6" s="3663"/>
      <c r="V6" s="3664"/>
      <c r="W6" s="3664"/>
      <c r="X6" s="1809"/>
      <c r="Y6" s="3662"/>
      <c r="Z6" s="3663"/>
      <c r="AA6" s="3634"/>
      <c r="AB6" s="3634"/>
      <c r="AC6" s="363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35" t="s">
        <v>2552</v>
      </c>
      <c r="Q7" s="3665"/>
      <c r="R7" s="766" t="s">
        <v>23</v>
      </c>
      <c r="S7" s="767">
        <f t="shared" ref="S7:S15" si="0">F7</f>
        <v>100</v>
      </c>
      <c r="T7" s="766" t="s">
        <v>23</v>
      </c>
      <c r="U7" s="767">
        <f t="shared" ref="U7:U15" si="1">H7</f>
        <v>100</v>
      </c>
      <c r="V7" s="766" t="s">
        <v>23</v>
      </c>
      <c r="W7" s="767">
        <f t="shared" ref="W7:W15" si="2">J7</f>
        <v>100</v>
      </c>
      <c r="X7" s="768"/>
      <c r="Y7" s="3635" t="s">
        <v>2552</v>
      </c>
      <c r="Z7" s="3636"/>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35" t="s">
        <v>2555</v>
      </c>
      <c r="Q8" s="3636"/>
      <c r="R8" s="766" t="s">
        <v>23</v>
      </c>
      <c r="S8" s="767">
        <f t="shared" si="0"/>
        <v>100</v>
      </c>
      <c r="T8" s="766" t="s">
        <v>23</v>
      </c>
      <c r="U8" s="767">
        <f t="shared" si="1"/>
        <v>100</v>
      </c>
      <c r="V8" s="766" t="s">
        <v>23</v>
      </c>
      <c r="W8" s="767">
        <f t="shared" si="2"/>
        <v>100</v>
      </c>
      <c r="X8" s="768"/>
      <c r="Y8" s="3635" t="s">
        <v>2555</v>
      </c>
      <c r="Z8" s="3636"/>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51"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51"/>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51"/>
      <c r="Q11" s="1791" t="str">
        <f t="shared" si="6"/>
        <v>容积率</v>
      </c>
      <c r="R11" s="766" t="s">
        <v>21</v>
      </c>
      <c r="S11" s="767">
        <f t="shared" si="0"/>
        <v>100</v>
      </c>
      <c r="T11" s="766" t="s">
        <v>21</v>
      </c>
      <c r="U11" s="767">
        <f t="shared" si="1"/>
        <v>100</v>
      </c>
      <c r="V11" s="766" t="s">
        <v>21</v>
      </c>
      <c r="W11" s="767">
        <f t="shared" si="2"/>
        <v>100</v>
      </c>
      <c r="X11" s="768"/>
      <c r="Y11" s="3512"/>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51"/>
      <c r="Q12" s="1791">
        <f t="shared" si="6"/>
        <v>111</v>
      </c>
      <c r="R12" s="766" t="s">
        <v>21</v>
      </c>
      <c r="S12" s="767">
        <f t="shared" si="0"/>
        <v>100</v>
      </c>
      <c r="T12" s="766" t="s">
        <v>21</v>
      </c>
      <c r="U12" s="767">
        <f t="shared" si="1"/>
        <v>100</v>
      </c>
      <c r="V12" s="766" t="s">
        <v>21</v>
      </c>
      <c r="W12" s="767">
        <f t="shared" si="2"/>
        <v>100</v>
      </c>
      <c r="X12" s="768"/>
      <c r="Y12" s="3512"/>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51"/>
      <c r="Q13" s="1791">
        <f t="shared" si="6"/>
        <v>111</v>
      </c>
      <c r="R13" s="766" t="s">
        <v>21</v>
      </c>
      <c r="S13" s="767">
        <f t="shared" si="0"/>
        <v>100</v>
      </c>
      <c r="T13" s="766" t="s">
        <v>21</v>
      </c>
      <c r="U13" s="767">
        <f t="shared" si="1"/>
        <v>100</v>
      </c>
      <c r="V13" s="766" t="s">
        <v>21</v>
      </c>
      <c r="W13" s="767">
        <f t="shared" si="2"/>
        <v>100</v>
      </c>
      <c r="X13" s="768"/>
      <c r="Y13" s="3512"/>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51"/>
      <c r="Q14" s="1791">
        <f t="shared" si="6"/>
        <v>111</v>
      </c>
      <c r="R14" s="766" t="s">
        <v>21</v>
      </c>
      <c r="S14" s="767">
        <f t="shared" si="0"/>
        <v>100</v>
      </c>
      <c r="T14" s="766" t="s">
        <v>21</v>
      </c>
      <c r="U14" s="767">
        <f t="shared" si="1"/>
        <v>100</v>
      </c>
      <c r="V14" s="766" t="s">
        <v>21</v>
      </c>
      <c r="W14" s="767">
        <f t="shared" si="2"/>
        <v>100</v>
      </c>
      <c r="X14" s="768"/>
      <c r="Y14" s="3512"/>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78" t="s">
        <v>2563</v>
      </c>
      <c r="Q15" s="1806" t="str">
        <f t="shared" si="6"/>
        <v>居住社区成熟度</v>
      </c>
      <c r="R15" s="770" t="s">
        <v>21</v>
      </c>
      <c r="S15" s="771">
        <f t="shared" si="0"/>
        <v>98</v>
      </c>
      <c r="T15" s="770" t="s">
        <v>21</v>
      </c>
      <c r="U15" s="771">
        <f t="shared" si="1"/>
        <v>98</v>
      </c>
      <c r="V15" s="770" t="s">
        <v>21</v>
      </c>
      <c r="W15" s="771">
        <f t="shared" si="2"/>
        <v>98</v>
      </c>
      <c r="X15" s="1809"/>
      <c r="Y15" s="3671"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79"/>
      <c r="Q16" s="1806"/>
      <c r="R16" s="770"/>
      <c r="S16" s="771"/>
      <c r="T16" s="770"/>
      <c r="U16" s="771"/>
      <c r="V16" s="770"/>
      <c r="W16" s="771"/>
      <c r="X16" s="1809"/>
      <c r="Y16" s="3672"/>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79"/>
      <c r="Q17" s="1806" t="str">
        <f>B17</f>
        <v>交通便捷度</v>
      </c>
      <c r="R17" s="770" t="s">
        <v>21</v>
      </c>
      <c r="S17" s="771">
        <f>F17</f>
        <v>96</v>
      </c>
      <c r="T17" s="770" t="s">
        <v>21</v>
      </c>
      <c r="U17" s="771">
        <f>H17</f>
        <v>96</v>
      </c>
      <c r="V17" s="770" t="s">
        <v>21</v>
      </c>
      <c r="W17" s="771">
        <f>J17</f>
        <v>96</v>
      </c>
      <c r="X17" s="1809"/>
      <c r="Y17" s="3672"/>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79"/>
      <c r="Q18" s="1806"/>
      <c r="R18" s="770"/>
      <c r="S18" s="771"/>
      <c r="T18" s="770"/>
      <c r="U18" s="771"/>
      <c r="V18" s="770"/>
      <c r="W18" s="771"/>
      <c r="X18" s="1809"/>
      <c r="Y18" s="3672"/>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79"/>
      <c r="Q19" s="1806" t="str">
        <f>B19</f>
        <v>公共配套设施</v>
      </c>
      <c r="R19" s="770" t="s">
        <v>21</v>
      </c>
      <c r="S19" s="771">
        <f>F19</f>
        <v>98</v>
      </c>
      <c r="T19" s="770" t="s">
        <v>21</v>
      </c>
      <c r="U19" s="771">
        <f>H19</f>
        <v>100</v>
      </c>
      <c r="V19" s="770" t="s">
        <v>21</v>
      </c>
      <c r="W19" s="771">
        <f>J19</f>
        <v>100</v>
      </c>
      <c r="X19" s="1809"/>
      <c r="Y19" s="3672"/>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79"/>
      <c r="Q20" s="1806"/>
      <c r="R20" s="770"/>
      <c r="S20" s="771"/>
      <c r="T20" s="770"/>
      <c r="U20" s="771"/>
      <c r="V20" s="770"/>
      <c r="W20" s="771"/>
      <c r="X20" s="1809"/>
      <c r="Y20" s="3672"/>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79"/>
      <c r="Q21" s="1806" t="str">
        <f>B21</f>
        <v>基础设施水平</v>
      </c>
      <c r="R21" s="770" t="s">
        <v>17</v>
      </c>
      <c r="S21" s="771">
        <f>F21</f>
        <v>100</v>
      </c>
      <c r="T21" s="770" t="s">
        <v>17</v>
      </c>
      <c r="U21" s="771">
        <f>H21</f>
        <v>100</v>
      </c>
      <c r="V21" s="770" t="s">
        <v>17</v>
      </c>
      <c r="W21" s="771">
        <f>J21</f>
        <v>100</v>
      </c>
      <c r="X21" s="1809"/>
      <c r="Y21" s="3672"/>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79"/>
      <c r="Q22" s="1806"/>
      <c r="R22" s="770"/>
      <c r="S22" s="771"/>
      <c r="T22" s="770"/>
      <c r="U22" s="771"/>
      <c r="V22" s="770"/>
      <c r="W22" s="771"/>
      <c r="X22" s="1809"/>
      <c r="Y22" s="3672"/>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79"/>
      <c r="Q23" s="1806" t="str">
        <f>B23</f>
        <v>自然及人文环境</v>
      </c>
      <c r="R23" s="770" t="s">
        <v>21</v>
      </c>
      <c r="S23" s="771">
        <f>F23</f>
        <v>98</v>
      </c>
      <c r="T23" s="770" t="s">
        <v>21</v>
      </c>
      <c r="U23" s="771">
        <f>H23</f>
        <v>100</v>
      </c>
      <c r="V23" s="770" t="s">
        <v>21</v>
      </c>
      <c r="W23" s="771">
        <f>J23</f>
        <v>100</v>
      </c>
      <c r="X23" s="1809"/>
      <c r="Y23" s="3672"/>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79"/>
      <c r="Q24" s="1806"/>
      <c r="R24" s="770"/>
      <c r="S24" s="771"/>
      <c r="T24" s="770"/>
      <c r="U24" s="771"/>
      <c r="V24" s="770"/>
      <c r="W24" s="771"/>
      <c r="X24" s="1809"/>
      <c r="Y24" s="3672"/>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79"/>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72"/>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79"/>
      <c r="Q26" s="1806" t="str">
        <f t="shared" si="11"/>
        <v>朝向</v>
      </c>
      <c r="R26" s="770" t="s">
        <v>21</v>
      </c>
      <c r="S26" s="771">
        <f t="shared" si="12"/>
        <v>100</v>
      </c>
      <c r="T26" s="770" t="s">
        <v>21</v>
      </c>
      <c r="U26" s="771">
        <f t="shared" si="13"/>
        <v>100</v>
      </c>
      <c r="V26" s="770" t="s">
        <v>21</v>
      </c>
      <c r="W26" s="771">
        <f t="shared" si="14"/>
        <v>100</v>
      </c>
      <c r="X26" s="1809"/>
      <c r="Y26" s="367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600"/>
      <c r="L27" s="1128"/>
      <c r="M27" s="1129"/>
      <c r="N27" s="1129"/>
      <c r="O27" s="1129"/>
      <c r="P27" s="3679"/>
      <c r="Q27" s="1791">
        <f t="shared" si="11"/>
        <v>111</v>
      </c>
      <c r="R27" s="766" t="s">
        <v>21</v>
      </c>
      <c r="S27" s="767">
        <f t="shared" si="12"/>
        <v>100</v>
      </c>
      <c r="T27" s="766" t="s">
        <v>21</v>
      </c>
      <c r="U27" s="767">
        <f t="shared" si="13"/>
        <v>100</v>
      </c>
      <c r="V27" s="766" t="s">
        <v>21</v>
      </c>
      <c r="W27" s="767">
        <f t="shared" si="14"/>
        <v>100</v>
      </c>
      <c r="X27" s="768"/>
      <c r="Y27" s="3672"/>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79"/>
      <c r="Q28" s="1806">
        <f t="shared" si="11"/>
        <v>111</v>
      </c>
      <c r="R28" s="770" t="s">
        <v>21</v>
      </c>
      <c r="S28" s="771">
        <f t="shared" si="12"/>
        <v>100</v>
      </c>
      <c r="T28" s="770" t="s">
        <v>21</v>
      </c>
      <c r="U28" s="771">
        <f t="shared" si="13"/>
        <v>100</v>
      </c>
      <c r="V28" s="770" t="s">
        <v>21</v>
      </c>
      <c r="W28" s="771">
        <f t="shared" si="14"/>
        <v>100</v>
      </c>
      <c r="X28" s="1809"/>
      <c r="Y28" s="367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79"/>
      <c r="Q29" s="1806">
        <f t="shared" si="11"/>
        <v>111</v>
      </c>
      <c r="R29" s="770" t="s">
        <v>21</v>
      </c>
      <c r="S29" s="771">
        <f t="shared" si="12"/>
        <v>100</v>
      </c>
      <c r="T29" s="770" t="s">
        <v>21</v>
      </c>
      <c r="U29" s="771">
        <f t="shared" si="13"/>
        <v>100</v>
      </c>
      <c r="V29" s="770" t="s">
        <v>21</v>
      </c>
      <c r="W29" s="771">
        <f t="shared" si="14"/>
        <v>100</v>
      </c>
      <c r="X29" s="1809"/>
      <c r="Y29" s="367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79"/>
      <c r="Q30" s="1806">
        <f t="shared" si="11"/>
        <v>111</v>
      </c>
      <c r="R30" s="770" t="s">
        <v>21</v>
      </c>
      <c r="S30" s="771">
        <f t="shared" si="12"/>
        <v>100</v>
      </c>
      <c r="T30" s="770" t="s">
        <v>21</v>
      </c>
      <c r="U30" s="771">
        <f t="shared" si="13"/>
        <v>100</v>
      </c>
      <c r="V30" s="770" t="s">
        <v>21</v>
      </c>
      <c r="W30" s="771">
        <f t="shared" si="14"/>
        <v>100</v>
      </c>
      <c r="X30" s="1809"/>
      <c r="Y30" s="3672"/>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79"/>
      <c r="Q31" s="1806">
        <f t="shared" si="11"/>
        <v>111</v>
      </c>
      <c r="R31" s="770" t="s">
        <v>21</v>
      </c>
      <c r="S31" s="771">
        <f t="shared" si="12"/>
        <v>100</v>
      </c>
      <c r="T31" s="770" t="s">
        <v>21</v>
      </c>
      <c r="U31" s="771">
        <f t="shared" si="13"/>
        <v>100</v>
      </c>
      <c r="V31" s="770" t="s">
        <v>21</v>
      </c>
      <c r="W31" s="771">
        <f t="shared" si="14"/>
        <v>100</v>
      </c>
      <c r="X31" s="1809"/>
      <c r="Y31" s="3672"/>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73" t="s">
        <v>2568</v>
      </c>
      <c r="Q32" s="1806" t="str">
        <f t="shared" si="11"/>
        <v>建筑类型</v>
      </c>
      <c r="R32" s="770" t="s">
        <v>21</v>
      </c>
      <c r="S32" s="771">
        <f t="shared" si="12"/>
        <v>100</v>
      </c>
      <c r="T32" s="770" t="s">
        <v>21</v>
      </c>
      <c r="U32" s="771">
        <f t="shared" si="13"/>
        <v>100</v>
      </c>
      <c r="V32" s="770" t="s">
        <v>21</v>
      </c>
      <c r="W32" s="771">
        <f t="shared" si="14"/>
        <v>100</v>
      </c>
      <c r="X32" s="1809"/>
      <c r="Y32" s="3676"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74"/>
      <c r="Q33" s="772" t="str">
        <f t="shared" si="11"/>
        <v>项目建筑规模</v>
      </c>
      <c r="R33" s="773" t="s">
        <v>21</v>
      </c>
      <c r="S33" s="774">
        <f t="shared" si="12"/>
        <v>100</v>
      </c>
      <c r="T33" s="773" t="s">
        <v>21</v>
      </c>
      <c r="U33" s="774">
        <f t="shared" si="13"/>
        <v>100</v>
      </c>
      <c r="V33" s="773" t="s">
        <v>21</v>
      </c>
      <c r="W33" s="774">
        <f t="shared" si="14"/>
        <v>100</v>
      </c>
      <c r="X33" s="775"/>
      <c r="Y33" s="3676"/>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74"/>
      <c r="Q34" s="1806" t="str">
        <f t="shared" si="11"/>
        <v>建筑结构</v>
      </c>
      <c r="R34" s="770" t="s">
        <v>21</v>
      </c>
      <c r="S34" s="771">
        <f t="shared" si="12"/>
        <v>100</v>
      </c>
      <c r="T34" s="770" t="s">
        <v>21</v>
      </c>
      <c r="U34" s="771">
        <f t="shared" si="13"/>
        <v>100</v>
      </c>
      <c r="V34" s="770" t="s">
        <v>21</v>
      </c>
      <c r="W34" s="771">
        <f t="shared" si="14"/>
        <v>100</v>
      </c>
      <c r="X34" s="1809"/>
      <c r="Y34" s="3676"/>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74"/>
      <c r="Q35" s="1806" t="str">
        <f t="shared" si="11"/>
        <v>建筑品质</v>
      </c>
      <c r="R35" s="770" t="s">
        <v>21</v>
      </c>
      <c r="S35" s="771">
        <f t="shared" si="12"/>
        <v>97</v>
      </c>
      <c r="T35" s="770" t="s">
        <v>21</v>
      </c>
      <c r="U35" s="771">
        <f t="shared" si="13"/>
        <v>100</v>
      </c>
      <c r="V35" s="770" t="s">
        <v>21</v>
      </c>
      <c r="W35" s="771">
        <f t="shared" si="14"/>
        <v>100</v>
      </c>
      <c r="X35" s="1809"/>
      <c r="Y35" s="3676"/>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74"/>
      <c r="Q36" s="1806" t="str">
        <f t="shared" si="11"/>
        <v>公共部分装修</v>
      </c>
      <c r="R36" s="770" t="s">
        <v>21</v>
      </c>
      <c r="S36" s="771">
        <f t="shared" si="12"/>
        <v>100</v>
      </c>
      <c r="T36" s="770" t="s">
        <v>21</v>
      </c>
      <c r="U36" s="771">
        <f t="shared" si="13"/>
        <v>100</v>
      </c>
      <c r="V36" s="770" t="s">
        <v>21</v>
      </c>
      <c r="W36" s="771">
        <f t="shared" si="14"/>
        <v>100</v>
      </c>
      <c r="X36" s="1809"/>
      <c r="Y36" s="3676"/>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74"/>
      <c r="Q37" s="1791" t="str">
        <f t="shared" si="11"/>
        <v>成新度</v>
      </c>
      <c r="R37" s="766" t="s">
        <v>21</v>
      </c>
      <c r="S37" s="767">
        <f t="shared" si="12"/>
        <v>100</v>
      </c>
      <c r="T37" s="766" t="s">
        <v>21</v>
      </c>
      <c r="U37" s="767">
        <f t="shared" si="13"/>
        <v>100</v>
      </c>
      <c r="V37" s="766" t="s">
        <v>21</v>
      </c>
      <c r="W37" s="767">
        <f t="shared" si="14"/>
        <v>100</v>
      </c>
      <c r="X37" s="768"/>
      <c r="Y37" s="3676"/>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74" t="s">
        <v>2568</v>
      </c>
      <c r="Q38" s="1806" t="str">
        <f t="shared" si="11"/>
        <v>物业管理</v>
      </c>
      <c r="R38" s="770" t="s">
        <v>21</v>
      </c>
      <c r="S38" s="771">
        <f t="shared" si="12"/>
        <v>100</v>
      </c>
      <c r="T38" s="770" t="s">
        <v>21</v>
      </c>
      <c r="U38" s="771">
        <f t="shared" si="13"/>
        <v>100</v>
      </c>
      <c r="V38" s="770" t="s">
        <v>21</v>
      </c>
      <c r="W38" s="771">
        <f t="shared" si="14"/>
        <v>100</v>
      </c>
      <c r="X38" s="1809"/>
      <c r="Y38" s="3676"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74"/>
      <c r="Q39" s="1806" t="str">
        <f t="shared" si="11"/>
        <v>市政基础设施</v>
      </c>
      <c r="R39" s="770" t="s">
        <v>21</v>
      </c>
      <c r="S39" s="771">
        <f t="shared" si="12"/>
        <v>100</v>
      </c>
      <c r="T39" s="770" t="s">
        <v>21</v>
      </c>
      <c r="U39" s="771">
        <f t="shared" si="13"/>
        <v>100</v>
      </c>
      <c r="V39" s="770" t="s">
        <v>21</v>
      </c>
      <c r="W39" s="771">
        <f t="shared" si="14"/>
        <v>100</v>
      </c>
      <c r="X39" s="1809"/>
      <c r="Y39" s="3676"/>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74"/>
      <c r="Q40" s="1806" t="str">
        <f t="shared" si="11"/>
        <v>房型</v>
      </c>
      <c r="R40" s="770" t="s">
        <v>21</v>
      </c>
      <c r="S40" s="771">
        <f t="shared" si="12"/>
        <v>100</v>
      </c>
      <c r="T40" s="770" t="s">
        <v>21</v>
      </c>
      <c r="U40" s="771">
        <f t="shared" si="13"/>
        <v>100</v>
      </c>
      <c r="V40" s="770" t="s">
        <v>21</v>
      </c>
      <c r="W40" s="771">
        <f t="shared" si="14"/>
        <v>100</v>
      </c>
      <c r="X40" s="1809"/>
      <c r="Y40" s="3676"/>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74"/>
      <c r="Q41" s="772" t="str">
        <f t="shared" si="11"/>
        <v>单套/主力户型建筑面积</v>
      </c>
      <c r="R41" s="773" t="s">
        <v>21</v>
      </c>
      <c r="S41" s="774">
        <f t="shared" si="12"/>
        <v>100</v>
      </c>
      <c r="T41" s="773" t="s">
        <v>21</v>
      </c>
      <c r="U41" s="774">
        <f t="shared" si="13"/>
        <v>100</v>
      </c>
      <c r="V41" s="773" t="s">
        <v>21</v>
      </c>
      <c r="W41" s="774">
        <f t="shared" si="14"/>
        <v>100</v>
      </c>
      <c r="X41" s="775"/>
      <c r="Y41" s="3676"/>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74"/>
      <c r="Q42" s="1806" t="str">
        <f t="shared" si="11"/>
        <v>内部装修</v>
      </c>
      <c r="R42" s="770" t="s">
        <v>21</v>
      </c>
      <c r="S42" s="771">
        <f t="shared" si="12"/>
        <v>94</v>
      </c>
      <c r="T42" s="770" t="s">
        <v>21</v>
      </c>
      <c r="U42" s="771">
        <f t="shared" si="13"/>
        <v>94</v>
      </c>
      <c r="V42" s="770" t="s">
        <v>21</v>
      </c>
      <c r="W42" s="771">
        <f t="shared" si="14"/>
        <v>94</v>
      </c>
      <c r="X42" s="1809"/>
      <c r="Y42" s="3676"/>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74"/>
      <c r="Q43" s="1806" t="str">
        <f t="shared" si="11"/>
        <v>内部装修维护情况</v>
      </c>
      <c r="R43" s="770" t="s">
        <v>21</v>
      </c>
      <c r="S43" s="771">
        <f t="shared" si="12"/>
        <v>100</v>
      </c>
      <c r="T43" s="770" t="s">
        <v>21</v>
      </c>
      <c r="U43" s="771">
        <f t="shared" si="13"/>
        <v>100</v>
      </c>
      <c r="V43" s="770" t="s">
        <v>21</v>
      </c>
      <c r="W43" s="771">
        <f t="shared" si="14"/>
        <v>100</v>
      </c>
      <c r="X43" s="1809"/>
      <c r="Y43" s="367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74"/>
      <c r="Q44" s="1791">
        <f t="shared" si="11"/>
        <v>111</v>
      </c>
      <c r="R44" s="766" t="s">
        <v>21</v>
      </c>
      <c r="S44" s="767">
        <f t="shared" si="12"/>
        <v>100</v>
      </c>
      <c r="T44" s="766" t="s">
        <v>21</v>
      </c>
      <c r="U44" s="767">
        <f t="shared" si="13"/>
        <v>100</v>
      </c>
      <c r="V44" s="766" t="s">
        <v>21</v>
      </c>
      <c r="W44" s="767">
        <f t="shared" si="14"/>
        <v>100</v>
      </c>
      <c r="X44" s="768"/>
      <c r="Y44" s="3676"/>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74"/>
      <c r="Q45" s="1806">
        <f t="shared" si="11"/>
        <v>111</v>
      </c>
      <c r="R45" s="770" t="s">
        <v>21</v>
      </c>
      <c r="S45" s="771">
        <f t="shared" si="12"/>
        <v>100</v>
      </c>
      <c r="T45" s="770" t="s">
        <v>21</v>
      </c>
      <c r="U45" s="771">
        <f t="shared" si="13"/>
        <v>100</v>
      </c>
      <c r="V45" s="770" t="s">
        <v>21</v>
      </c>
      <c r="W45" s="771">
        <f t="shared" si="14"/>
        <v>100</v>
      </c>
      <c r="X45" s="1809"/>
      <c r="Y45" s="3676"/>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75"/>
      <c r="Q46" s="1806">
        <f t="shared" si="11"/>
        <v>111</v>
      </c>
      <c r="R46" s="770" t="s">
        <v>20</v>
      </c>
      <c r="S46" s="771">
        <f t="shared" si="12"/>
        <v>100</v>
      </c>
      <c r="T46" s="770" t="s">
        <v>20</v>
      </c>
      <c r="U46" s="771">
        <f t="shared" si="13"/>
        <v>100</v>
      </c>
      <c r="V46" s="770" t="s">
        <v>20</v>
      </c>
      <c r="W46" s="771">
        <f t="shared" si="14"/>
        <v>100</v>
      </c>
      <c r="X46" s="1809"/>
      <c r="Y46" s="3677"/>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60000</v>
      </c>
      <c r="H47" s="1408"/>
      <c r="I47" s="1405">
        <v>68000</v>
      </c>
      <c r="J47" s="1408"/>
      <c r="K47" s="2620"/>
      <c r="L47" s="1139"/>
      <c r="M47" s="1140"/>
      <c r="N47" s="1127"/>
      <c r="O47" s="1140"/>
      <c r="P47" s="3669" t="str">
        <f>A47</f>
        <v>成交单价（元/平方米）</v>
      </c>
      <c r="Q47" s="3669"/>
      <c r="R47" s="3670">
        <f>E47</f>
        <v>65000</v>
      </c>
      <c r="S47" s="3670"/>
      <c r="T47" s="3670">
        <f>G47</f>
        <v>60000</v>
      </c>
      <c r="U47" s="3670"/>
      <c r="V47" s="3670">
        <f>I47</f>
        <v>68000</v>
      </c>
      <c r="W47" s="3670"/>
      <c r="X47" s="755"/>
      <c r="Y47" s="777"/>
      <c r="Z47" s="755"/>
      <c r="AA47" s="755"/>
      <c r="AB47" s="755"/>
      <c r="AC47" s="755"/>
    </row>
    <row r="48" spans="1:29" ht="15.75" thickBot="1">
      <c r="A48" s="485" t="s">
        <v>2581</v>
      </c>
      <c r="B48" s="486"/>
      <c r="C48" s="1409">
        <f>R49</f>
        <v>74545</v>
      </c>
      <c r="D48" s="1410"/>
      <c r="E48" s="1411">
        <f>R48</f>
        <v>78898</v>
      </c>
      <c r="F48" s="1411"/>
      <c r="G48" s="1409">
        <f>T48</f>
        <v>67846</v>
      </c>
      <c r="H48" s="1410"/>
      <c r="I48" s="1411">
        <f>V48</f>
        <v>76892</v>
      </c>
      <c r="J48" s="1410"/>
      <c r="K48" s="2621"/>
      <c r="L48" s="1139"/>
      <c r="M48" s="1140"/>
      <c r="N48" s="1140"/>
      <c r="O48" s="1140"/>
      <c r="P48" s="3669" t="str">
        <f>A48</f>
        <v>比较价值（元/平方米）</v>
      </c>
      <c r="Q48" s="3669"/>
      <c r="R48" s="3670">
        <f>IF(F1="售价",ROUND(PRODUCT(R47,AA7:AA46),0),ROUND(PRODUCT(R47,AA7:AA46),1))</f>
        <v>78898</v>
      </c>
      <c r="S48" s="3670"/>
      <c r="T48" s="3670">
        <f>IF(F1="售价",ROUND(PRODUCT(T47,AB7:AB46),0),ROUND(PRODUCT(T47,AB7:AB46),1))</f>
        <v>67846</v>
      </c>
      <c r="U48" s="3670"/>
      <c r="V48" s="3670">
        <f>IF(F1="售价",ROUND(PRODUCT(V47,AC7:AC46),0),ROUND(PRODUCT(V47,AC7:AC46),1))</f>
        <v>76892</v>
      </c>
      <c r="W48" s="3670"/>
      <c r="X48" s="755"/>
      <c r="Y48" s="755"/>
      <c r="Z48" s="755"/>
      <c r="AA48" s="755"/>
      <c r="AB48" s="755"/>
      <c r="AC48" s="755"/>
    </row>
    <row r="49" spans="1:29" ht="15.75" thickBot="1">
      <c r="A49" s="491" t="s">
        <v>2582</v>
      </c>
      <c r="B49" s="492"/>
      <c r="C49" s="1412">
        <f>R49</f>
        <v>74545</v>
      </c>
      <c r="D49" s="1413"/>
      <c r="E49" s="1413"/>
      <c r="F49" s="1413"/>
      <c r="G49" s="1413"/>
      <c r="H49" s="1413"/>
      <c r="I49" s="1413"/>
      <c r="J49" s="1413"/>
      <c r="K49" s="2622"/>
      <c r="L49" s="1139"/>
      <c r="M49" s="1140"/>
      <c r="N49" s="1140"/>
      <c r="O49" s="1140"/>
      <c r="P49" s="3666" t="str">
        <f>A49</f>
        <v>估价对象XX用房的比较价值（楼面单价，元/平方米）</v>
      </c>
      <c r="Q49" s="3667"/>
      <c r="R49" s="3668">
        <f>IF(F1="售价",ROUND(AVERAGE(R48:V48),0),ROUND(AVERAGE(R48:V48),1))</f>
        <v>74545</v>
      </c>
      <c r="S49" s="3668"/>
      <c r="T49" s="3668"/>
      <c r="U49" s="3668"/>
      <c r="V49" s="3668"/>
      <c r="W49" s="366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0.1307666666666667</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0.16289832856763842</v>
      </c>
      <c r="F53" s="499" t="str">
        <f>IF(OR(E53&gt;=0.2,E53&lt;=-0.2),"超过20%","")</f>
        <v/>
      </c>
      <c r="G53" s="498">
        <f>IF(G48&lt;I48,I48/G48-1,G48/I48-1)</f>
        <v>0.13333136809834034</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8.3333333333333259E-2</v>
      </c>
      <c r="F54" s="499" t="str">
        <f>IF(OR(E54&gt;=0.3,E54&lt;=-0.3),"超过30%","")</f>
        <v/>
      </c>
      <c r="G54" s="498">
        <f>IF(G47&lt;I47,I47/G47-1,G47/I47-1)</f>
        <v>0.1333333333333333</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15.75" thickTop="1">
      <c r="A90" s="552"/>
      <c r="B90" s="537">
        <f>B27</f>
        <v>111</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46" t="str">
        <f>项目基本情况!B1</f>
        <v>北京市房地产抵押价值预评估</v>
      </c>
      <c r="C37" s="3446"/>
      <c r="D37" s="3446"/>
      <c r="E37" s="3446"/>
      <c r="F37" s="3446"/>
      <c r="G37" s="3446"/>
      <c r="H37" s="3446"/>
      <c r="I37" s="3446"/>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10</v>
      </c>
      <c r="H1" s="1278" t="str">
        <f>IF(ISERROR(FIND("住宅",B1)),"非住宅","住宅")</f>
        <v>非住宅</v>
      </c>
    </row>
    <row r="2" spans="1:8" s="243" customFormat="1" ht="18" customHeight="1">
      <c r="A2" s="244" t="s">
        <v>2330</v>
      </c>
      <c r="B2" s="245">
        <f ca="1">ROUND(IF(D2="——",C52/10000,C52/10000-E2),0)</f>
        <v>10995</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7475</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2729504</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2729504</v>
      </c>
      <c r="D8" s="265"/>
      <c r="E8" s="263"/>
      <c r="F8" s="264"/>
      <c r="G8" s="2549"/>
    </row>
    <row r="9" spans="1:8" s="257" customFormat="1" ht="13.5" customHeight="1">
      <c r="A9" s="946" t="s">
        <v>799</v>
      </c>
      <c r="B9" s="267" t="s">
        <v>2346</v>
      </c>
      <c r="C9" s="268">
        <f ca="1">ROUND(D9*E9,0)</f>
        <v>849194</v>
      </c>
      <c r="D9" s="1028">
        <f ca="1">IF(B1="",'数据-汇总表'!E5,IF(INDIRECT("'数据-取费表'!c"&amp;$G$1)="住宅",INDIRECT("'数据-取费表'!k"&amp;$G$1),0))</f>
        <v>5307.46</v>
      </c>
      <c r="E9" s="268">
        <f>'数据-取费表'!B27</f>
        <v>160</v>
      </c>
      <c r="F9" s="264"/>
      <c r="G9" s="269"/>
    </row>
    <row r="10" spans="1:8" s="257" customFormat="1" ht="13.5" customHeight="1">
      <c r="A10" s="946" t="s">
        <v>800</v>
      </c>
      <c r="B10" s="267" t="s">
        <v>2348</v>
      </c>
      <c r="C10" s="268">
        <f ca="1">ROUND(D10*E10,0)</f>
        <v>1880310</v>
      </c>
      <c r="D10" s="1028">
        <f ca="1">IF(B1="",'数据-汇总表'!E6,IF(INDIRECT("'数据-取费表'!c"&amp;$G$1)="住宅",INDIRECT("'数据-取费表'!s"&amp;$G$1),INDIRECT("'数据-取费表'!k"&amp;$G$1)+INDIRECT("'数据-取费表'!s"&amp;$G$1)))</f>
        <v>9401.5500000000029</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2941802</v>
      </c>
      <c r="D19" s="1032">
        <f ca="1">D9+D10</f>
        <v>14709.010000000002</v>
      </c>
      <c r="E19" s="254">
        <f>'数据-取费表'!B31</f>
        <v>200</v>
      </c>
      <c r="F19" s="274"/>
      <c r="G19" s="2549"/>
    </row>
    <row r="20" spans="1:7" s="257" customFormat="1" ht="13.5" customHeight="1">
      <c r="A20" s="298" t="s">
        <v>2442</v>
      </c>
      <c r="B20" s="253" t="s">
        <v>2443</v>
      </c>
      <c r="C20" s="275">
        <f ca="1">ROUND((C5+C19)*F20,0)</f>
        <v>170139</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559652</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265461</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286109</v>
      </c>
      <c r="D24" s="281"/>
      <c r="E24" s="281"/>
      <c r="F24" s="282"/>
      <c r="G24" s="283" t="s">
        <v>2454</v>
      </c>
    </row>
    <row r="25" spans="1:7" s="257" customFormat="1" ht="24">
      <c r="A25" s="947" t="s">
        <v>2344</v>
      </c>
      <c r="B25" s="258" t="s">
        <v>2455</v>
      </c>
      <c r="C25" s="1377">
        <f ca="1">ROUND(IF('数据-取费表'!B22&lt;=1,C20*F22*'数据-取费表'!B22/2,C20*(POWER((1+F22),'数据-取费表'!B22/2)-1)),0)</f>
        <v>8082</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2044506</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2044506</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9324945</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66648778</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60049410</v>
      </c>
      <c r="D34" s="260"/>
      <c r="E34" s="263"/>
      <c r="F34" s="300"/>
      <c r="G34" s="262"/>
    </row>
    <row r="35" spans="1:7" ht="13.5" customHeight="1">
      <c r="A35" s="947" t="s">
        <v>795</v>
      </c>
      <c r="B35" s="258" t="s">
        <v>2395</v>
      </c>
      <c r="C35" s="263">
        <f ca="1">ROUND(C34*F35,0)</f>
        <v>1801482</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955343</v>
      </c>
      <c r="D36" s="263"/>
      <c r="E36" s="263"/>
      <c r="F36" s="302">
        <f>'数据-取费表'!B34</f>
        <v>0.03</v>
      </c>
      <c r="G36" s="303" t="s">
        <v>2398</v>
      </c>
    </row>
    <row r="37" spans="1:7" s="301" customFormat="1" ht="13.5" customHeight="1">
      <c r="A37" s="947" t="s">
        <v>797</v>
      </c>
      <c r="B37" s="258" t="s">
        <v>2399</v>
      </c>
      <c r="C37" s="292">
        <f ca="1">ROUND(E37*D37,0)</f>
        <v>2941802</v>
      </c>
      <c r="D37" s="260">
        <f ca="1">D19</f>
        <v>14709.010000000002</v>
      </c>
      <c r="E37" s="292">
        <f>'数据-取费表'!B35</f>
        <v>200</v>
      </c>
      <c r="F37" s="302"/>
      <c r="G37" s="304"/>
    </row>
    <row r="38" spans="1:7" ht="13.5" customHeight="1">
      <c r="A38" s="947" t="s">
        <v>798</v>
      </c>
      <c r="B38" s="258" t="s">
        <v>2401</v>
      </c>
      <c r="C38" s="263">
        <f ca="1">ROUND(C34*F38,0)</f>
        <v>900741</v>
      </c>
      <c r="D38" s="263"/>
      <c r="E38" s="263"/>
      <c r="F38" s="302">
        <f>'数据-取费表'!B36</f>
        <v>1.4999999999999999E-2</v>
      </c>
      <c r="G38" s="262" t="s">
        <v>2396</v>
      </c>
    </row>
    <row r="39" spans="1:7" s="257" customFormat="1" ht="13.5" customHeight="1">
      <c r="A39" s="298" t="s">
        <v>2402</v>
      </c>
      <c r="B39" s="253" t="s">
        <v>2403</v>
      </c>
      <c r="C39" s="275">
        <f ca="1">ROUND(C33*F20,0)</f>
        <v>1999463</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3260791</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3165817</v>
      </c>
      <c r="D42" s="281"/>
      <c r="E42" s="281"/>
      <c r="F42" s="282"/>
      <c r="G42" s="3680" t="s">
        <v>2459</v>
      </c>
    </row>
    <row r="43" spans="1:7" ht="13.5" customHeight="1">
      <c r="A43" s="947" t="s">
        <v>791</v>
      </c>
      <c r="B43" s="258" t="s">
        <v>2413</v>
      </c>
      <c r="C43" s="281">
        <f ca="1">ROUND(IF('数据-取费表'!B22&lt;=1,C39*F22*'数据-取费表'!B20/2,C39*(POWER((1+F22),'数据-取费表'!B20/2)-1)),0)</f>
        <v>94974</v>
      </c>
      <c r="D43" s="281"/>
      <c r="E43" s="281"/>
      <c r="F43" s="282"/>
      <c r="G43" s="3681"/>
    </row>
    <row r="44" spans="1:7" ht="13.5" customHeight="1">
      <c r="A44" s="947" t="s">
        <v>792</v>
      </c>
      <c r="B44" s="258" t="s">
        <v>2414</v>
      </c>
      <c r="C44" s="281">
        <f ca="1">ROUND(IF('数据-取费表'!B22&lt;=1,C40*F22*'数据-取费表'!B20/2,C40*(POWER((1+F22),'数据-取费表'!B20/2)-1)),4)</f>
        <v>1.4E-3</v>
      </c>
      <c r="D44" s="281"/>
      <c r="E44" s="281"/>
      <c r="F44" s="282"/>
      <c r="G44" s="3682"/>
    </row>
    <row r="45" spans="1:7" s="257" customFormat="1" ht="13.5" customHeight="1">
      <c r="A45" s="298" t="s">
        <v>2415</v>
      </c>
      <c r="B45" s="287" t="s">
        <v>2381</v>
      </c>
      <c r="C45" s="288">
        <f ca="1">C46</f>
        <v>24026884</v>
      </c>
      <c r="D45" s="278">
        <f ca="1">C47</f>
        <v>1.0500000000000001E-2</v>
      </c>
      <c r="E45" s="279" t="s">
        <v>2407</v>
      </c>
      <c r="F45" s="289"/>
      <c r="G45" s="290" t="s">
        <v>2416</v>
      </c>
    </row>
    <row r="46" spans="1:7" s="257" customFormat="1" ht="13.5" customHeight="1">
      <c r="A46" s="947" t="s">
        <v>790</v>
      </c>
      <c r="B46" s="291" t="s">
        <v>2417</v>
      </c>
      <c r="C46" s="292">
        <f ca="1">ROUND((C33+C39)*F27,0)</f>
        <v>24026884</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105924606</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100628376</v>
      </c>
      <c r="D51" s="275"/>
      <c r="E51" s="275"/>
      <c r="F51" s="307"/>
      <c r="G51" s="277" t="s">
        <v>2428</v>
      </c>
    </row>
    <row r="52" spans="1:7" s="251" customFormat="1" ht="16.5" thickBot="1">
      <c r="A52" s="308" t="s">
        <v>2429</v>
      </c>
      <c r="B52" s="309"/>
      <c r="C52" s="310">
        <f ca="1">C31+C51</f>
        <v>109953321</v>
      </c>
      <c r="D52" s="309"/>
      <c r="E52" s="309"/>
      <c r="F52" s="309"/>
      <c r="G52" s="311"/>
    </row>
    <row r="55" spans="1:7" ht="15">
      <c r="B55" s="313" t="s">
        <v>2430</v>
      </c>
      <c r="C55" s="314"/>
    </row>
    <row r="56" spans="1:7">
      <c r="B56" s="316" t="s">
        <v>1512</v>
      </c>
      <c r="C56" s="318">
        <f ca="1">1-C57</f>
        <v>8.4999999999999964E-2</v>
      </c>
    </row>
    <row r="57" spans="1:7">
      <c r="B57" s="316" t="s">
        <v>1513</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10</v>
      </c>
    </row>
    <row r="2" spans="1:33" ht="18" customHeight="1">
      <c r="A2" s="244" t="s">
        <v>2330</v>
      </c>
      <c r="B2" s="247">
        <f ca="1">C32</f>
        <v>-368</v>
      </c>
      <c r="C2" s="319" t="s">
        <v>2463</v>
      </c>
      <c r="D2" s="319"/>
      <c r="E2" s="319"/>
      <c r="F2" s="319"/>
      <c r="G2" s="319"/>
      <c r="H2" s="319"/>
      <c r="I2" s="319"/>
      <c r="J2" s="319"/>
      <c r="K2" s="319"/>
    </row>
    <row r="3" spans="1:33" ht="18" customHeight="1" thickBot="1">
      <c r="A3" s="246" t="s">
        <v>2332</v>
      </c>
      <c r="B3" s="247">
        <f ca="1">ROUND(B2*10000/IF(C1="",'数据-汇总表'!E3,INDIRECT("'数据-取费表'!K"&amp;$K$1)),0)</f>
        <v>-250</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14709.010000000002</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14709.010000000002</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273</v>
      </c>
      <c r="D18" s="1029"/>
      <c r="E18" s="24"/>
      <c r="F18" s="972"/>
      <c r="G18" s="2555"/>
      <c r="H18" s="1573"/>
      <c r="I18" s="2556" t="s">
        <v>2496</v>
      </c>
      <c r="J18" s="975"/>
      <c r="K18" s="976"/>
    </row>
    <row r="19" spans="1:33" s="971" customFormat="1" ht="13.5" customHeight="1">
      <c r="A19" s="967" t="s">
        <v>804</v>
      </c>
      <c r="B19" s="968" t="s">
        <v>2497</v>
      </c>
      <c r="C19" s="24">
        <f ca="1">ROUND(D19*E19/10000,0)</f>
        <v>85</v>
      </c>
      <c r="D19" s="1029">
        <f ca="1">IF(C1="",'数据-汇总表'!E5,IF(INDIRECT("'数据-取费表'!c"&amp;$K$1)="住宅",INDIRECT("'数据-取费表'!k"&amp;$K$1),0))</f>
        <v>5307.46</v>
      </c>
      <c r="E19" s="24">
        <f>'数据-取费表'!B27</f>
        <v>160</v>
      </c>
      <c r="F19" s="972"/>
      <c r="G19" s="15"/>
      <c r="H19" s="1575"/>
      <c r="I19" s="977"/>
      <c r="J19" s="977"/>
      <c r="K19" s="978"/>
    </row>
    <row r="20" spans="1:33" s="971" customFormat="1" ht="13.5" customHeight="1">
      <c r="A20" s="967" t="s">
        <v>805</v>
      </c>
      <c r="B20" s="968" t="s">
        <v>2498</v>
      </c>
      <c r="C20" s="24">
        <f ca="1">ROUND(D20*E20/10000,0)</f>
        <v>188</v>
      </c>
      <c r="D20" s="1029">
        <f ca="1">IF(C1="",'数据-汇总表'!E6,IF(INDIRECT("'数据-取费表'!c"&amp;$K$1)="住宅",INDIRECT("'数据-取费表'!s"&amp;$K$1),INDIRECT("'数据-取费表'!k"&amp;$K$1)+INDIRECT("'数据-取费表'!s"&amp;$K$1)))</f>
        <v>9401.5500000000029</v>
      </c>
      <c r="E20" s="24">
        <f>'数据-取费表'!B28</f>
        <v>200</v>
      </c>
      <c r="F20" s="972"/>
      <c r="G20" s="15"/>
      <c r="H20" s="977"/>
      <c r="I20" s="977"/>
      <c r="J20" s="977"/>
      <c r="K20" s="978"/>
    </row>
    <row r="21" spans="1:33" s="971" customFormat="1" ht="13.5" customHeight="1">
      <c r="A21" s="957" t="s">
        <v>801</v>
      </c>
      <c r="B21" s="981" t="s">
        <v>2499</v>
      </c>
      <c r="C21" s="982">
        <f ca="1">C16+C17+C18</f>
        <v>273</v>
      </c>
      <c r="D21" s="983"/>
      <c r="E21" s="324"/>
      <c r="F21" s="324"/>
      <c r="G21" s="139" t="s">
        <v>2500</v>
      </c>
      <c r="H21" s="975"/>
      <c r="I21" s="975"/>
      <c r="J21" s="975"/>
      <c r="K21" s="976"/>
    </row>
    <row r="22" spans="1:33" s="971" customFormat="1" ht="13.5" customHeight="1">
      <c r="A22" s="957" t="s">
        <v>2472</v>
      </c>
      <c r="B22" s="981" t="s">
        <v>2501</v>
      </c>
      <c r="C22" s="982">
        <f ca="1">ROUND(C21*F22,0)</f>
        <v>8</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98</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98</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-368</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712" t="s">
        <v>3093</v>
      </c>
      <c r="D4" s="3713"/>
      <c r="E4" s="3714" t="s">
        <v>3094</v>
      </c>
      <c r="F4" s="3715"/>
      <c r="G4" s="3712" t="s">
        <v>3095</v>
      </c>
      <c r="H4" s="3713"/>
      <c r="I4" s="3712" t="s">
        <v>3096</v>
      </c>
      <c r="J4" s="3713"/>
      <c r="K4" s="2996" t="s">
        <v>3097</v>
      </c>
      <c r="L4" s="2997"/>
      <c r="M4" s="2998"/>
      <c r="N4" s="2998"/>
      <c r="O4" s="2998"/>
      <c r="P4" s="3716" t="s">
        <v>3098</v>
      </c>
      <c r="Q4" s="3717"/>
      <c r="R4" s="3702" t="s">
        <v>3094</v>
      </c>
      <c r="S4" s="3703"/>
      <c r="T4" s="3702" t="s">
        <v>3095</v>
      </c>
      <c r="U4" s="3703"/>
      <c r="V4" s="3701" t="s">
        <v>3096</v>
      </c>
      <c r="W4" s="3701"/>
      <c r="X4" s="2999"/>
      <c r="Y4" s="3702" t="s">
        <v>3098</v>
      </c>
      <c r="Z4" s="3703"/>
      <c r="AA4" s="3708" t="s">
        <v>3094</v>
      </c>
      <c r="AB4" s="3708" t="s">
        <v>3095</v>
      </c>
      <c r="AC4" s="3708" t="s">
        <v>3096</v>
      </c>
    </row>
    <row r="5" spans="1:29" ht="15">
      <c r="A5" s="3001"/>
      <c r="B5" s="3002"/>
      <c r="C5" s="3722" t="s">
        <v>3099</v>
      </c>
      <c r="D5" s="3648"/>
      <c r="E5" s="3641" t="s">
        <v>3100</v>
      </c>
      <c r="F5" s="3642"/>
      <c r="G5" s="3647" t="s">
        <v>3101</v>
      </c>
      <c r="H5" s="3648"/>
      <c r="I5" s="3647" t="s">
        <v>3102</v>
      </c>
      <c r="J5" s="3648"/>
      <c r="K5" s="3003"/>
      <c r="L5" s="2997"/>
      <c r="M5" s="2998"/>
      <c r="N5" s="2998"/>
      <c r="O5" s="2998"/>
      <c r="P5" s="3718"/>
      <c r="Q5" s="3719"/>
      <c r="R5" s="3704"/>
      <c r="S5" s="3705"/>
      <c r="T5" s="3704"/>
      <c r="U5" s="3705"/>
      <c r="V5" s="3701"/>
      <c r="W5" s="3701"/>
      <c r="X5" s="2999"/>
      <c r="Y5" s="3704"/>
      <c r="Z5" s="3705"/>
      <c r="AA5" s="3709"/>
      <c r="AB5" s="3709"/>
      <c r="AC5" s="3709"/>
    </row>
    <row r="6" spans="1:29" ht="15.75" thickBot="1">
      <c r="A6" s="3004"/>
      <c r="B6" s="3005"/>
      <c r="C6" s="3723" t="s">
        <v>3103</v>
      </c>
      <c r="D6" s="3724"/>
      <c r="E6" s="3725" t="s">
        <v>3103</v>
      </c>
      <c r="F6" s="3726"/>
      <c r="G6" s="3723" t="s">
        <v>3103</v>
      </c>
      <c r="H6" s="3724"/>
      <c r="I6" s="3723" t="s">
        <v>3103</v>
      </c>
      <c r="J6" s="3724"/>
      <c r="K6" s="3003" t="s">
        <v>3104</v>
      </c>
      <c r="L6" s="2997"/>
      <c r="M6" s="2998"/>
      <c r="N6" s="2998"/>
      <c r="O6" s="2998"/>
      <c r="P6" s="3720"/>
      <c r="Q6" s="3721"/>
      <c r="R6" s="3704"/>
      <c r="S6" s="3705"/>
      <c r="T6" s="3706"/>
      <c r="U6" s="3707"/>
      <c r="V6" s="3701"/>
      <c r="W6" s="3701"/>
      <c r="X6" s="2999"/>
      <c r="Y6" s="3706"/>
      <c r="Z6" s="3707"/>
      <c r="AA6" s="3710"/>
      <c r="AB6" s="3710"/>
      <c r="AC6" s="3710"/>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697" t="s">
        <v>2552</v>
      </c>
      <c r="Q7" s="3711"/>
      <c r="R7" s="3015" t="s">
        <v>21</v>
      </c>
      <c r="S7" s="3016">
        <f t="shared" ref="S7:S15" si="0">F7</f>
        <v>100</v>
      </c>
      <c r="T7" s="3015" t="s">
        <v>3106</v>
      </c>
      <c r="U7" s="3016">
        <f t="shared" ref="U7:U15" si="1">H7</f>
        <v>100</v>
      </c>
      <c r="V7" s="3015" t="s">
        <v>3106</v>
      </c>
      <c r="W7" s="3016">
        <f t="shared" ref="W7:W15" si="2">J7</f>
        <v>100</v>
      </c>
      <c r="X7" s="3017"/>
      <c r="Y7" s="3697" t="s">
        <v>3107</v>
      </c>
      <c r="Z7" s="3698"/>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697" t="s">
        <v>2555</v>
      </c>
      <c r="Q8" s="3698"/>
      <c r="R8" s="3015" t="s">
        <v>21</v>
      </c>
      <c r="S8" s="3016">
        <f t="shared" si="0"/>
        <v>100</v>
      </c>
      <c r="T8" s="3015" t="s">
        <v>21</v>
      </c>
      <c r="U8" s="3016">
        <f t="shared" si="1"/>
        <v>100</v>
      </c>
      <c r="V8" s="3015" t="s">
        <v>21</v>
      </c>
      <c r="W8" s="3016">
        <f t="shared" si="2"/>
        <v>100</v>
      </c>
      <c r="X8" s="3017"/>
      <c r="Y8" s="3697" t="s">
        <v>2555</v>
      </c>
      <c r="Z8" s="3698"/>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699" t="s">
        <v>2558</v>
      </c>
      <c r="Q9" s="3029" t="str">
        <f t="shared" ref="Q9:Q15" si="6">B9</f>
        <v>用途</v>
      </c>
      <c r="R9" s="3015" t="s">
        <v>3106</v>
      </c>
      <c r="S9" s="3016">
        <f t="shared" si="0"/>
        <v>100</v>
      </c>
      <c r="T9" s="3015" t="s">
        <v>3106</v>
      </c>
      <c r="U9" s="3016">
        <f t="shared" si="1"/>
        <v>100</v>
      </c>
      <c r="V9" s="3015" t="s">
        <v>3106</v>
      </c>
      <c r="W9" s="3016">
        <f t="shared" si="2"/>
        <v>100</v>
      </c>
      <c r="X9" s="3017"/>
      <c r="Y9" s="3700"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699"/>
      <c r="Q10" s="3029" t="str">
        <f t="shared" si="6"/>
        <v>土地使用年限（年）</v>
      </c>
      <c r="R10" s="3015" t="s">
        <v>3106</v>
      </c>
      <c r="S10" s="3016">
        <f t="shared" si="0"/>
        <v>100</v>
      </c>
      <c r="T10" s="3015" t="s">
        <v>3106</v>
      </c>
      <c r="U10" s="3016">
        <f t="shared" si="1"/>
        <v>100</v>
      </c>
      <c r="V10" s="3015" t="s">
        <v>3106</v>
      </c>
      <c r="W10" s="3016">
        <f t="shared" si="2"/>
        <v>100</v>
      </c>
      <c r="X10" s="3017"/>
      <c r="Y10" s="3700"/>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699"/>
      <c r="Q11" s="3029" t="str">
        <f t="shared" si="6"/>
        <v>容积率</v>
      </c>
      <c r="R11" s="3015" t="s">
        <v>3106</v>
      </c>
      <c r="S11" s="3016">
        <f t="shared" si="0"/>
        <v>100</v>
      </c>
      <c r="T11" s="3015" t="s">
        <v>3106</v>
      </c>
      <c r="U11" s="3016">
        <f t="shared" si="1"/>
        <v>101</v>
      </c>
      <c r="V11" s="3015" t="s">
        <v>3106</v>
      </c>
      <c r="W11" s="3016">
        <f t="shared" si="2"/>
        <v>100</v>
      </c>
      <c r="X11" s="3017"/>
      <c r="Y11" s="3700"/>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699"/>
      <c r="Q12" s="3029">
        <f t="shared" si="6"/>
        <v>111</v>
      </c>
      <c r="R12" s="3015" t="s">
        <v>3106</v>
      </c>
      <c r="S12" s="3016">
        <f t="shared" si="0"/>
        <v>100</v>
      </c>
      <c r="T12" s="3015" t="s">
        <v>3106</v>
      </c>
      <c r="U12" s="3016">
        <f t="shared" si="1"/>
        <v>100</v>
      </c>
      <c r="V12" s="3015" t="s">
        <v>3106</v>
      </c>
      <c r="W12" s="3016">
        <f t="shared" si="2"/>
        <v>100</v>
      </c>
      <c r="X12" s="3017"/>
      <c r="Y12" s="3700"/>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699"/>
      <c r="Q13" s="3029">
        <f t="shared" si="6"/>
        <v>111</v>
      </c>
      <c r="R13" s="3015" t="s">
        <v>3106</v>
      </c>
      <c r="S13" s="3016">
        <f t="shared" si="0"/>
        <v>100</v>
      </c>
      <c r="T13" s="3015" t="s">
        <v>3106</v>
      </c>
      <c r="U13" s="3016">
        <f t="shared" si="1"/>
        <v>100</v>
      </c>
      <c r="V13" s="3015" t="s">
        <v>3106</v>
      </c>
      <c r="W13" s="3016">
        <f t="shared" si="2"/>
        <v>100</v>
      </c>
      <c r="X13" s="3017"/>
      <c r="Y13" s="3700"/>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699"/>
      <c r="Q14" s="3029">
        <f t="shared" si="6"/>
        <v>111</v>
      </c>
      <c r="R14" s="3015" t="s">
        <v>3106</v>
      </c>
      <c r="S14" s="3016">
        <f t="shared" si="0"/>
        <v>100</v>
      </c>
      <c r="T14" s="3015" t="s">
        <v>3106</v>
      </c>
      <c r="U14" s="3016">
        <f t="shared" si="1"/>
        <v>100</v>
      </c>
      <c r="V14" s="3015" t="s">
        <v>3106</v>
      </c>
      <c r="W14" s="3016">
        <f t="shared" si="2"/>
        <v>100</v>
      </c>
      <c r="X14" s="3017"/>
      <c r="Y14" s="3700"/>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688" t="s">
        <v>3115</v>
      </c>
      <c r="Q15" s="3065" t="str">
        <f t="shared" si="6"/>
        <v>居住社区成熟度</v>
      </c>
      <c r="R15" s="3066" t="s">
        <v>3106</v>
      </c>
      <c r="S15" s="3067">
        <f t="shared" si="0"/>
        <v>100</v>
      </c>
      <c r="T15" s="3066" t="s">
        <v>3106</v>
      </c>
      <c r="U15" s="3067">
        <f t="shared" si="1"/>
        <v>100</v>
      </c>
      <c r="V15" s="3066" t="s">
        <v>3106</v>
      </c>
      <c r="W15" s="3067">
        <f t="shared" si="2"/>
        <v>100</v>
      </c>
      <c r="X15" s="2999"/>
      <c r="Y15" s="3690"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689"/>
      <c r="Q16" s="3065"/>
      <c r="R16" s="3066"/>
      <c r="S16" s="3067"/>
      <c r="T16" s="3066"/>
      <c r="U16" s="3067"/>
      <c r="V16" s="3066"/>
      <c r="W16" s="3067"/>
      <c r="X16" s="2999"/>
      <c r="Y16" s="3691"/>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689"/>
      <c r="Q17" s="3065" t="str">
        <f>B17</f>
        <v>交通便捷度</v>
      </c>
      <c r="R17" s="3066" t="s">
        <v>3106</v>
      </c>
      <c r="S17" s="3067">
        <f>F17</f>
        <v>98</v>
      </c>
      <c r="T17" s="3066" t="s">
        <v>3106</v>
      </c>
      <c r="U17" s="3067">
        <f>H17</f>
        <v>100</v>
      </c>
      <c r="V17" s="3066" t="s">
        <v>3106</v>
      </c>
      <c r="W17" s="3067">
        <f>J17</f>
        <v>100</v>
      </c>
      <c r="X17" s="2999"/>
      <c r="Y17" s="3691"/>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689"/>
      <c r="Q18" s="3065"/>
      <c r="R18" s="3066"/>
      <c r="S18" s="3067"/>
      <c r="T18" s="3066"/>
      <c r="U18" s="3067"/>
      <c r="V18" s="3066"/>
      <c r="W18" s="3067"/>
      <c r="X18" s="2999"/>
      <c r="Y18" s="3691"/>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689"/>
      <c r="Q19" s="3065" t="str">
        <f>B19</f>
        <v>公共配套设施</v>
      </c>
      <c r="R19" s="3066" t="s">
        <v>3106</v>
      </c>
      <c r="S19" s="3067">
        <f>F19</f>
        <v>100</v>
      </c>
      <c r="T19" s="3066" t="s">
        <v>3106</v>
      </c>
      <c r="U19" s="3067">
        <f>H19</f>
        <v>100</v>
      </c>
      <c r="V19" s="3066" t="s">
        <v>3106</v>
      </c>
      <c r="W19" s="3067">
        <f>J19</f>
        <v>100</v>
      </c>
      <c r="X19" s="2999"/>
      <c r="Y19" s="3691"/>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689"/>
      <c r="Q20" s="3065"/>
      <c r="R20" s="3066"/>
      <c r="S20" s="3067"/>
      <c r="T20" s="3066"/>
      <c r="U20" s="3067"/>
      <c r="V20" s="3066"/>
      <c r="W20" s="3067"/>
      <c r="X20" s="2999"/>
      <c r="Y20" s="3691"/>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689"/>
      <c r="Q21" s="3065" t="str">
        <f>B21</f>
        <v>基础设施水平</v>
      </c>
      <c r="R21" s="3066" t="s">
        <v>3106</v>
      </c>
      <c r="S21" s="3067">
        <f>F21</f>
        <v>100</v>
      </c>
      <c r="T21" s="3066" t="s">
        <v>3106</v>
      </c>
      <c r="U21" s="3067">
        <f>H21</f>
        <v>100</v>
      </c>
      <c r="V21" s="3066" t="s">
        <v>3106</v>
      </c>
      <c r="W21" s="3067">
        <f>J21</f>
        <v>100</v>
      </c>
      <c r="X21" s="2999"/>
      <c r="Y21" s="3691"/>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689"/>
      <c r="Q22" s="3065"/>
      <c r="R22" s="3066"/>
      <c r="S22" s="3067"/>
      <c r="T22" s="3066"/>
      <c r="U22" s="3067"/>
      <c r="V22" s="3066"/>
      <c r="W22" s="3067"/>
      <c r="X22" s="2999"/>
      <c r="Y22" s="3691"/>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689"/>
      <c r="Q23" s="3065" t="str">
        <f>B23</f>
        <v>自然及人文环境</v>
      </c>
      <c r="R23" s="3066" t="s">
        <v>3106</v>
      </c>
      <c r="S23" s="3067">
        <f>F23</f>
        <v>98</v>
      </c>
      <c r="T23" s="3066" t="s">
        <v>3106</v>
      </c>
      <c r="U23" s="3067">
        <f>H23</f>
        <v>100</v>
      </c>
      <c r="V23" s="3066" t="s">
        <v>3106</v>
      </c>
      <c r="W23" s="3067">
        <f>J23</f>
        <v>100</v>
      </c>
      <c r="X23" s="2999"/>
      <c r="Y23" s="3691"/>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689"/>
      <c r="Q24" s="3065"/>
      <c r="R24" s="3066"/>
      <c r="S24" s="3067"/>
      <c r="T24" s="3066"/>
      <c r="U24" s="3067"/>
      <c r="V24" s="3066"/>
      <c r="W24" s="3067"/>
      <c r="X24" s="2999"/>
      <c r="Y24" s="3691"/>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689"/>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691"/>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689"/>
      <c r="Q26" s="3065" t="str">
        <f t="shared" si="11"/>
        <v>朝向</v>
      </c>
      <c r="R26" s="3066" t="s">
        <v>3106</v>
      </c>
      <c r="S26" s="3067">
        <f t="shared" si="12"/>
        <v>100</v>
      </c>
      <c r="T26" s="3066" t="s">
        <v>3106</v>
      </c>
      <c r="U26" s="3067">
        <f t="shared" si="13"/>
        <v>100</v>
      </c>
      <c r="V26" s="3066" t="s">
        <v>3106</v>
      </c>
      <c r="W26" s="3067">
        <f t="shared" si="14"/>
        <v>100</v>
      </c>
      <c r="X26" s="2999"/>
      <c r="Y26" s="3691"/>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689"/>
      <c r="Q27" s="3029">
        <f t="shared" si="11"/>
        <v>111</v>
      </c>
      <c r="R27" s="3015" t="s">
        <v>3106</v>
      </c>
      <c r="S27" s="3016">
        <f t="shared" si="12"/>
        <v>100</v>
      </c>
      <c r="T27" s="3015" t="s">
        <v>3106</v>
      </c>
      <c r="U27" s="3016">
        <f t="shared" si="13"/>
        <v>100</v>
      </c>
      <c r="V27" s="3015" t="s">
        <v>3106</v>
      </c>
      <c r="W27" s="3016">
        <f t="shared" si="14"/>
        <v>100</v>
      </c>
      <c r="X27" s="3017"/>
      <c r="Y27" s="3691"/>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689"/>
      <c r="Q28" s="3065">
        <f t="shared" si="11"/>
        <v>111</v>
      </c>
      <c r="R28" s="3066" t="s">
        <v>3106</v>
      </c>
      <c r="S28" s="3067">
        <f t="shared" si="12"/>
        <v>100</v>
      </c>
      <c r="T28" s="3066" t="s">
        <v>3106</v>
      </c>
      <c r="U28" s="3067">
        <f t="shared" si="13"/>
        <v>100</v>
      </c>
      <c r="V28" s="3066" t="s">
        <v>3106</v>
      </c>
      <c r="W28" s="3067">
        <f t="shared" si="14"/>
        <v>100</v>
      </c>
      <c r="X28" s="2999"/>
      <c r="Y28" s="3691"/>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689"/>
      <c r="Q29" s="3065">
        <f t="shared" si="11"/>
        <v>111</v>
      </c>
      <c r="R29" s="3066" t="s">
        <v>3106</v>
      </c>
      <c r="S29" s="3067">
        <f t="shared" si="12"/>
        <v>100</v>
      </c>
      <c r="T29" s="3066" t="s">
        <v>3106</v>
      </c>
      <c r="U29" s="3067">
        <f t="shared" si="13"/>
        <v>100</v>
      </c>
      <c r="V29" s="3066" t="s">
        <v>3106</v>
      </c>
      <c r="W29" s="3067">
        <f t="shared" si="14"/>
        <v>100</v>
      </c>
      <c r="X29" s="2999"/>
      <c r="Y29" s="3691"/>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689"/>
      <c r="Q30" s="3065">
        <f t="shared" si="11"/>
        <v>111</v>
      </c>
      <c r="R30" s="3066" t="s">
        <v>3106</v>
      </c>
      <c r="S30" s="3067">
        <f t="shared" si="12"/>
        <v>100</v>
      </c>
      <c r="T30" s="3066" t="s">
        <v>3106</v>
      </c>
      <c r="U30" s="3067">
        <f t="shared" si="13"/>
        <v>100</v>
      </c>
      <c r="V30" s="3066" t="s">
        <v>3106</v>
      </c>
      <c r="W30" s="3067">
        <f t="shared" si="14"/>
        <v>100</v>
      </c>
      <c r="X30" s="2999"/>
      <c r="Y30" s="3691"/>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689"/>
      <c r="Q31" s="3065">
        <f t="shared" si="11"/>
        <v>111</v>
      </c>
      <c r="R31" s="3066" t="s">
        <v>3106</v>
      </c>
      <c r="S31" s="3067">
        <f t="shared" si="12"/>
        <v>100</v>
      </c>
      <c r="T31" s="3066" t="s">
        <v>3106</v>
      </c>
      <c r="U31" s="3067">
        <f t="shared" si="13"/>
        <v>100</v>
      </c>
      <c r="V31" s="3066" t="s">
        <v>3106</v>
      </c>
      <c r="W31" s="3067">
        <f t="shared" si="14"/>
        <v>100</v>
      </c>
      <c r="X31" s="2999"/>
      <c r="Y31" s="3691"/>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692" t="s">
        <v>3124</v>
      </c>
      <c r="Q32" s="3065" t="str">
        <f t="shared" si="11"/>
        <v>建筑类型</v>
      </c>
      <c r="R32" s="3066" t="s">
        <v>3106</v>
      </c>
      <c r="S32" s="3067">
        <f t="shared" si="12"/>
        <v>100</v>
      </c>
      <c r="T32" s="3066" t="s">
        <v>3106</v>
      </c>
      <c r="U32" s="3067">
        <f t="shared" si="13"/>
        <v>100</v>
      </c>
      <c r="V32" s="3066" t="s">
        <v>3106</v>
      </c>
      <c r="W32" s="3067">
        <f t="shared" si="14"/>
        <v>100</v>
      </c>
      <c r="X32" s="2999"/>
      <c r="Y32" s="3695"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693"/>
      <c r="Q33" s="3110" t="str">
        <f t="shared" si="11"/>
        <v>项目建筑规模</v>
      </c>
      <c r="R33" s="3111" t="s">
        <v>3106</v>
      </c>
      <c r="S33" s="3112">
        <f t="shared" si="12"/>
        <v>100</v>
      </c>
      <c r="T33" s="3111" t="s">
        <v>3106</v>
      </c>
      <c r="U33" s="3112">
        <f t="shared" si="13"/>
        <v>100</v>
      </c>
      <c r="V33" s="3111" t="s">
        <v>3106</v>
      </c>
      <c r="W33" s="3112">
        <f t="shared" si="14"/>
        <v>100</v>
      </c>
      <c r="X33" s="3113"/>
      <c r="Y33" s="3695"/>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693"/>
      <c r="Q34" s="3065" t="str">
        <f t="shared" si="11"/>
        <v>建筑结构</v>
      </c>
      <c r="R34" s="3066" t="s">
        <v>3106</v>
      </c>
      <c r="S34" s="3067">
        <f t="shared" si="12"/>
        <v>100</v>
      </c>
      <c r="T34" s="3066" t="s">
        <v>3106</v>
      </c>
      <c r="U34" s="3067">
        <f t="shared" si="13"/>
        <v>100</v>
      </c>
      <c r="V34" s="3066" t="s">
        <v>3106</v>
      </c>
      <c r="W34" s="3067">
        <f t="shared" si="14"/>
        <v>100</v>
      </c>
      <c r="X34" s="2999"/>
      <c r="Y34" s="3695"/>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693"/>
      <c r="Q35" s="3065" t="str">
        <f t="shared" si="11"/>
        <v>建筑品质</v>
      </c>
      <c r="R35" s="3066" t="s">
        <v>3106</v>
      </c>
      <c r="S35" s="3067">
        <f t="shared" si="12"/>
        <v>98</v>
      </c>
      <c r="T35" s="3066" t="s">
        <v>3106</v>
      </c>
      <c r="U35" s="3067">
        <f t="shared" si="13"/>
        <v>100</v>
      </c>
      <c r="V35" s="3066" t="s">
        <v>3106</v>
      </c>
      <c r="W35" s="3067">
        <f t="shared" si="14"/>
        <v>100</v>
      </c>
      <c r="X35" s="2999"/>
      <c r="Y35" s="3695"/>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693"/>
      <c r="Q36" s="3065" t="str">
        <f t="shared" si="11"/>
        <v>公共部分装修</v>
      </c>
      <c r="R36" s="3066" t="s">
        <v>3106</v>
      </c>
      <c r="S36" s="3067">
        <f t="shared" si="12"/>
        <v>100</v>
      </c>
      <c r="T36" s="3066" t="s">
        <v>3106</v>
      </c>
      <c r="U36" s="3067">
        <f t="shared" si="13"/>
        <v>100</v>
      </c>
      <c r="V36" s="3066" t="s">
        <v>3106</v>
      </c>
      <c r="W36" s="3067">
        <f t="shared" si="14"/>
        <v>100</v>
      </c>
      <c r="X36" s="2999"/>
      <c r="Y36" s="3695"/>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693"/>
      <c r="Q37" s="3029" t="str">
        <f t="shared" si="11"/>
        <v>成新度</v>
      </c>
      <c r="R37" s="3015" t="s">
        <v>3106</v>
      </c>
      <c r="S37" s="3016">
        <f t="shared" si="12"/>
        <v>100</v>
      </c>
      <c r="T37" s="3015" t="s">
        <v>3106</v>
      </c>
      <c r="U37" s="3016">
        <f t="shared" si="13"/>
        <v>100</v>
      </c>
      <c r="V37" s="3015" t="s">
        <v>3106</v>
      </c>
      <c r="W37" s="3016">
        <f t="shared" si="14"/>
        <v>100</v>
      </c>
      <c r="X37" s="3017"/>
      <c r="Y37" s="3695"/>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693" t="s">
        <v>3124</v>
      </c>
      <c r="Q38" s="3065" t="str">
        <f t="shared" si="11"/>
        <v>物业管理</v>
      </c>
      <c r="R38" s="3066" t="s">
        <v>3106</v>
      </c>
      <c r="S38" s="3067">
        <f t="shared" si="12"/>
        <v>100</v>
      </c>
      <c r="T38" s="3066" t="s">
        <v>3106</v>
      </c>
      <c r="U38" s="3067">
        <f t="shared" si="13"/>
        <v>100</v>
      </c>
      <c r="V38" s="3066" t="s">
        <v>3106</v>
      </c>
      <c r="W38" s="3067">
        <f t="shared" si="14"/>
        <v>100</v>
      </c>
      <c r="X38" s="2999"/>
      <c r="Y38" s="3695"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693"/>
      <c r="Q39" s="3065" t="str">
        <f t="shared" si="11"/>
        <v>市政基础设施</v>
      </c>
      <c r="R39" s="3066" t="s">
        <v>3106</v>
      </c>
      <c r="S39" s="3067">
        <f t="shared" si="12"/>
        <v>100</v>
      </c>
      <c r="T39" s="3066" t="s">
        <v>3106</v>
      </c>
      <c r="U39" s="3067">
        <f t="shared" si="13"/>
        <v>100</v>
      </c>
      <c r="V39" s="3066" t="s">
        <v>3106</v>
      </c>
      <c r="W39" s="3067">
        <f t="shared" si="14"/>
        <v>100</v>
      </c>
      <c r="X39" s="2999"/>
      <c r="Y39" s="3695"/>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693"/>
      <c r="Q40" s="3065" t="str">
        <f t="shared" si="11"/>
        <v>房型</v>
      </c>
      <c r="R40" s="3066" t="s">
        <v>3106</v>
      </c>
      <c r="S40" s="3067">
        <f t="shared" si="12"/>
        <v>100</v>
      </c>
      <c r="T40" s="3066" t="s">
        <v>3106</v>
      </c>
      <c r="U40" s="3067">
        <f t="shared" si="13"/>
        <v>100</v>
      </c>
      <c r="V40" s="3066" t="s">
        <v>3106</v>
      </c>
      <c r="W40" s="3067">
        <f t="shared" si="14"/>
        <v>100</v>
      </c>
      <c r="X40" s="2999"/>
      <c r="Y40" s="3695"/>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693"/>
      <c r="Q41" s="3110" t="str">
        <f t="shared" si="11"/>
        <v>单套/主力户型建筑面积</v>
      </c>
      <c r="R41" s="3111" t="s">
        <v>3106</v>
      </c>
      <c r="S41" s="3112">
        <f t="shared" si="12"/>
        <v>100</v>
      </c>
      <c r="T41" s="3111" t="s">
        <v>3106</v>
      </c>
      <c r="U41" s="3112">
        <f t="shared" si="13"/>
        <v>100</v>
      </c>
      <c r="V41" s="3111" t="s">
        <v>3106</v>
      </c>
      <c r="W41" s="3112">
        <f t="shared" si="14"/>
        <v>100</v>
      </c>
      <c r="X41" s="3113"/>
      <c r="Y41" s="3695"/>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693"/>
      <c r="Q42" s="3065" t="str">
        <f t="shared" si="11"/>
        <v>内部装修</v>
      </c>
      <c r="R42" s="3066" t="s">
        <v>3106</v>
      </c>
      <c r="S42" s="3067">
        <f t="shared" si="12"/>
        <v>94</v>
      </c>
      <c r="T42" s="3066" t="s">
        <v>3106</v>
      </c>
      <c r="U42" s="3067">
        <f t="shared" si="13"/>
        <v>94</v>
      </c>
      <c r="V42" s="3066" t="s">
        <v>3106</v>
      </c>
      <c r="W42" s="3067">
        <f t="shared" si="14"/>
        <v>94</v>
      </c>
      <c r="X42" s="2999"/>
      <c r="Y42" s="3695"/>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693"/>
      <c r="Q43" s="3065" t="str">
        <f t="shared" si="11"/>
        <v>内部装修维护情况</v>
      </c>
      <c r="R43" s="3066" t="s">
        <v>3106</v>
      </c>
      <c r="S43" s="3067">
        <f t="shared" si="12"/>
        <v>100</v>
      </c>
      <c r="T43" s="3066" t="s">
        <v>3106</v>
      </c>
      <c r="U43" s="3067">
        <f t="shared" si="13"/>
        <v>100</v>
      </c>
      <c r="V43" s="3066" t="s">
        <v>3106</v>
      </c>
      <c r="W43" s="3067">
        <f t="shared" si="14"/>
        <v>100</v>
      </c>
      <c r="X43" s="2999"/>
      <c r="Y43" s="3695"/>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693"/>
      <c r="Q44" s="3029">
        <f t="shared" si="11"/>
        <v>111</v>
      </c>
      <c r="R44" s="3015" t="s">
        <v>3106</v>
      </c>
      <c r="S44" s="3016">
        <f t="shared" si="12"/>
        <v>100</v>
      </c>
      <c r="T44" s="3015" t="s">
        <v>3106</v>
      </c>
      <c r="U44" s="3016">
        <f t="shared" si="13"/>
        <v>100</v>
      </c>
      <c r="V44" s="3015" t="s">
        <v>3106</v>
      </c>
      <c r="W44" s="3016">
        <f t="shared" si="14"/>
        <v>100</v>
      </c>
      <c r="X44" s="3017"/>
      <c r="Y44" s="3695"/>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693"/>
      <c r="Q45" s="3065">
        <f t="shared" si="11"/>
        <v>111</v>
      </c>
      <c r="R45" s="3066" t="s">
        <v>3106</v>
      </c>
      <c r="S45" s="3067">
        <f t="shared" si="12"/>
        <v>100</v>
      </c>
      <c r="T45" s="3066" t="s">
        <v>3106</v>
      </c>
      <c r="U45" s="3067">
        <f t="shared" si="13"/>
        <v>100</v>
      </c>
      <c r="V45" s="3066" t="s">
        <v>3106</v>
      </c>
      <c r="W45" s="3067">
        <f t="shared" si="14"/>
        <v>100</v>
      </c>
      <c r="X45" s="2999"/>
      <c r="Y45" s="3695"/>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694"/>
      <c r="Q46" s="3065">
        <f t="shared" si="11"/>
        <v>111</v>
      </c>
      <c r="R46" s="3066" t="s">
        <v>3106</v>
      </c>
      <c r="S46" s="3067">
        <f t="shared" si="12"/>
        <v>100</v>
      </c>
      <c r="T46" s="3066" t="s">
        <v>3106</v>
      </c>
      <c r="U46" s="3067">
        <f t="shared" si="13"/>
        <v>100</v>
      </c>
      <c r="V46" s="3066" t="s">
        <v>3106</v>
      </c>
      <c r="W46" s="3067">
        <f t="shared" si="14"/>
        <v>100</v>
      </c>
      <c r="X46" s="2999"/>
      <c r="Y46" s="3696"/>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683" t="str">
        <f>A47</f>
        <v>成交单价（元/平方米）</v>
      </c>
      <c r="Q47" s="3683"/>
      <c r="R47" s="3684">
        <f>E47</f>
        <v>65000</v>
      </c>
      <c r="S47" s="3684"/>
      <c r="T47" s="3684">
        <f>G47</f>
        <v>60000</v>
      </c>
      <c r="U47" s="3684"/>
      <c r="V47" s="3684">
        <f>I47</f>
        <v>68000</v>
      </c>
      <c r="W47" s="3684"/>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683" t="str">
        <f>A48</f>
        <v>比较价值（元/平方米）</v>
      </c>
      <c r="Q48" s="3683"/>
      <c r="R48" s="3684">
        <f>IF(F1="售价",ROUND(PRODUCT(R47,AA7:AA46),0),ROUND(PRODUCT(R47,AA7:AA46),1))</f>
        <v>73470</v>
      </c>
      <c r="S48" s="3684"/>
      <c r="T48" s="3684">
        <f>IF(F1="售价",ROUND(PRODUCT(T47,AB7:AB46),0),ROUND(PRODUCT(T47,AB7:AB46),1))</f>
        <v>63198</v>
      </c>
      <c r="U48" s="3684"/>
      <c r="V48" s="3684">
        <f>IF(F1="售价",ROUND(PRODUCT(V47,AC7:AC46),0),ROUND(PRODUCT(V47,AC7:AC46),1))</f>
        <v>72340</v>
      </c>
      <c r="W48" s="3684"/>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685" t="str">
        <f>A49</f>
        <v>估价对象XX用房的比较价值（楼面单价，元/平方米）</v>
      </c>
      <c r="Q49" s="3686"/>
      <c r="R49" s="3687">
        <f>IF(F1="售价",ROUND(AVERAGE(R48:V48),0),ROUND(AVERAGE(R48:V48),1))</f>
        <v>69669</v>
      </c>
      <c r="S49" s="3687"/>
      <c r="T49" s="3687"/>
      <c r="U49" s="3687"/>
      <c r="V49" s="3687"/>
      <c r="W49" s="3687"/>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21749</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40978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9986</v>
      </c>
      <c r="D5" s="254" t="s">
        <v>2337</v>
      </c>
      <c r="E5" s="255" t="s">
        <v>2338</v>
      </c>
      <c r="F5" s="255" t="s">
        <v>2339</v>
      </c>
      <c r="G5" s="256"/>
    </row>
    <row r="6" spans="1:9" s="257" customFormat="1" ht="13.5" customHeight="1">
      <c r="A6" s="945" t="s">
        <v>2340</v>
      </c>
      <c r="B6" s="258" t="s">
        <v>2341</v>
      </c>
      <c r="C6" s="259">
        <f ca="1">基准地价修正住宅!C26</f>
        <v>9608</v>
      </c>
      <c r="D6" s="260"/>
      <c r="E6" s="261"/>
      <c r="F6" s="261"/>
      <c r="G6" s="262"/>
    </row>
    <row r="7" spans="1:9" s="257" customFormat="1" ht="13.5" customHeight="1">
      <c r="A7" s="945" t="s">
        <v>2342</v>
      </c>
      <c r="B7" s="258" t="s">
        <v>2343</v>
      </c>
      <c r="C7" s="263">
        <f ca="1">ROUND(C6*F7,0)</f>
        <v>293</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85</v>
      </c>
      <c r="D8" s="265"/>
      <c r="E8" s="263"/>
      <c r="F8" s="264"/>
      <c r="G8" s="2549" t="s">
        <v>3212</v>
      </c>
    </row>
    <row r="9" spans="1:9" s="257" customFormat="1" ht="13.5" customHeight="1">
      <c r="A9" s="946" t="s">
        <v>799</v>
      </c>
      <c r="B9" s="267" t="s">
        <v>2346</v>
      </c>
      <c r="C9" s="268">
        <f ca="1">ROUND(D9*E9/10000,0)</f>
        <v>85</v>
      </c>
      <c r="D9" s="1028">
        <f ca="1">IF(B1="",'数据-汇总表'!E5,IF(INDIRECT("'数据-取费表'!c"&amp;$G$1)="住宅",INDIRECT("'数据-取费表'!k"&amp;$G$1),0))</f>
        <v>5307.46</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5307.46</v>
      </c>
      <c r="E19" s="254">
        <f>'数据-取费表'!B31</f>
        <v>200</v>
      </c>
      <c r="F19" s="274"/>
      <c r="G19" s="2549" t="s">
        <v>3214</v>
      </c>
    </row>
    <row r="20" spans="1:7" s="257" customFormat="1" ht="13.5" customHeight="1">
      <c r="A20" s="298" t="s">
        <v>2361</v>
      </c>
      <c r="B20" s="253" t="s">
        <v>2362</v>
      </c>
      <c r="C20" s="275">
        <f ca="1">ROUND((C5+C19)*F20,0)</f>
        <v>300</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985</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971</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3600</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3600</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16419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3530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3184</v>
      </c>
      <c r="D34" s="260"/>
      <c r="E34" s="263"/>
      <c r="F34" s="300">
        <f ca="1">IF('数据-取费表'!B24=0,1,IF(B1="",'数据-取费表'!N16,INDIRECT("'数据-取费表'!n"&amp;$G$1)))</f>
        <v>1</v>
      </c>
      <c r="G34" s="262" t="s">
        <v>2394</v>
      </c>
    </row>
    <row r="35" spans="1:7" ht="13.5" customHeight="1">
      <c r="A35" s="947" t="s">
        <v>795</v>
      </c>
      <c r="B35" s="258" t="s">
        <v>2395</v>
      </c>
      <c r="C35" s="263">
        <f ca="1">ROUND(C34*F35,0)</f>
        <v>96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96</v>
      </c>
      <c r="D36" s="263"/>
      <c r="E36" s="263"/>
      <c r="F36" s="302">
        <f>'数据-取费表'!B34</f>
        <v>0.03</v>
      </c>
      <c r="G36" s="303" t="s">
        <v>2398</v>
      </c>
    </row>
    <row r="37" spans="1:7" s="301" customFormat="1" ht="13.5" customHeight="1">
      <c r="A37" s="947" t="s">
        <v>797</v>
      </c>
      <c r="B37" s="258" t="s">
        <v>2399</v>
      </c>
      <c r="C37" s="292">
        <f ca="1">ROUND(E37*D37*F34/10000,0)</f>
        <v>106</v>
      </c>
      <c r="D37" s="260">
        <f ca="1">D19</f>
        <v>5307.46</v>
      </c>
      <c r="E37" s="292">
        <f>'数据-取费表'!B35</f>
        <v>200</v>
      </c>
      <c r="F37" s="302"/>
      <c r="G37" s="304" t="s">
        <v>2400</v>
      </c>
    </row>
    <row r="38" spans="1:7" ht="13.5" customHeight="1">
      <c r="A38" s="947" t="s">
        <v>798</v>
      </c>
      <c r="B38" s="258" t="s">
        <v>2401</v>
      </c>
      <c r="C38" s="263">
        <f ca="1">ROUND(C34*F38,0)</f>
        <v>48</v>
      </c>
      <c r="D38" s="263"/>
      <c r="E38" s="263"/>
      <c r="F38" s="302">
        <f>'数据-取费表'!B36</f>
        <v>1.4999999999999999E-2</v>
      </c>
      <c r="G38" s="262" t="s">
        <v>2396</v>
      </c>
    </row>
    <row r="39" spans="1:7" s="257" customFormat="1" ht="13.5" customHeight="1">
      <c r="A39" s="298" t="s">
        <v>2402</v>
      </c>
      <c r="B39" s="253" t="s">
        <v>2403</v>
      </c>
      <c r="C39" s="275">
        <f ca="1">ROUND(C33*F20,0)</f>
        <v>106</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168</v>
      </c>
      <c r="D42" s="281"/>
      <c r="E42" s="281"/>
      <c r="F42" s="282"/>
      <c r="G42" s="3680" t="s">
        <v>2412</v>
      </c>
    </row>
    <row r="43" spans="1:7" ht="13.5" customHeight="1">
      <c r="A43" s="947" t="s">
        <v>791</v>
      </c>
      <c r="B43" s="258" t="s">
        <v>2413</v>
      </c>
      <c r="C43" s="281">
        <f ca="1">ROUND(IF('数据-取费表'!B22&lt;=1,C39*F22*'数据-取费表'!B21/2,C39*(POWER((1+F22),'数据-取费表'!B21/2)-1)),0)</f>
        <v>5</v>
      </c>
      <c r="D43" s="281"/>
      <c r="E43" s="281"/>
      <c r="F43" s="282"/>
      <c r="G43" s="3681"/>
    </row>
    <row r="44" spans="1:7" ht="13.5" customHeight="1">
      <c r="A44" s="947" t="s">
        <v>792</v>
      </c>
      <c r="B44" s="258" t="s">
        <v>2414</v>
      </c>
      <c r="C44" s="281">
        <f ca="1">ROUND(IF('数据-取费表'!B22&lt;=1,C40*F22*'数据-取费表'!B21/2,C40*(POWER((1+F22),'数据-取费表'!B21/2)-1)),4)</f>
        <v>1.4E-3</v>
      </c>
      <c r="D44" s="281"/>
      <c r="E44" s="281"/>
      <c r="F44" s="282"/>
      <c r="G44" s="3682"/>
    </row>
    <row r="45" spans="1:7" s="257" customFormat="1" ht="13.5" customHeight="1">
      <c r="A45" s="298" t="s">
        <v>2415</v>
      </c>
      <c r="B45" s="287" t="s">
        <v>2381</v>
      </c>
      <c r="C45" s="288">
        <f ca="1">C46</f>
        <v>1273</v>
      </c>
      <c r="D45" s="278">
        <f ca="1">C47</f>
        <v>1.0500000000000001E-2</v>
      </c>
      <c r="E45" s="279" t="s">
        <v>2407</v>
      </c>
      <c r="F45" s="289"/>
      <c r="G45" s="290" t="s">
        <v>2416</v>
      </c>
    </row>
    <row r="46" spans="1:7" s="257" customFormat="1" ht="13.5" customHeight="1">
      <c r="A46" s="947" t="s">
        <v>790</v>
      </c>
      <c r="B46" s="291" t="s">
        <v>2417</v>
      </c>
      <c r="C46" s="292">
        <f ca="1">ROUND((C33+C39)*F27,0)</f>
        <v>1273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5611</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5330</v>
      </c>
      <c r="D51" s="275"/>
      <c r="E51" s="275"/>
      <c r="F51" s="307"/>
      <c r="G51" s="277" t="s">
        <v>2428</v>
      </c>
    </row>
    <row r="52" spans="1:7" s="251" customFormat="1" ht="16.5" thickBot="1">
      <c r="A52" s="308" t="s">
        <v>2429</v>
      </c>
      <c r="B52" s="309"/>
      <c r="C52" s="310">
        <f ca="1">C31+C51</f>
        <v>21749</v>
      </c>
      <c r="D52" s="309"/>
      <c r="E52" s="309"/>
      <c r="F52" s="309"/>
      <c r="G52" s="311"/>
    </row>
    <row r="55" spans="1:7" ht="15">
      <c r="B55" s="313" t="s">
        <v>2430</v>
      </c>
      <c r="C55" s="314"/>
    </row>
    <row r="56" spans="1:7">
      <c r="B56" s="316" t="s">
        <v>1512</v>
      </c>
      <c r="C56" s="318">
        <f ca="1">1-C57</f>
        <v>0.755</v>
      </c>
    </row>
    <row r="57" spans="1:7">
      <c r="B57" s="316" t="s">
        <v>1513</v>
      </c>
      <c r="C57" s="317">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77" sqref="C7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5307.46</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9608</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38946</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18103</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27956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41"/>
      <c r="B4" s="3742"/>
      <c r="C4" s="3742"/>
      <c r="D4" s="3743"/>
      <c r="E4" s="3743"/>
      <c r="F4" s="3743"/>
      <c r="G4" s="3743"/>
      <c r="H4" s="3743"/>
      <c r="I4" s="3743"/>
      <c r="J4" s="3744"/>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22553</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18096</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15410</v>
      </c>
      <c r="U6" s="1599"/>
      <c r="V6" s="1598">
        <f t="shared" ca="1" si="1"/>
        <v>0</v>
      </c>
      <c r="W6" s="1602"/>
      <c r="X6" s="1602"/>
      <c r="Y6" s="1602"/>
      <c r="Z6" s="1602"/>
      <c r="AA6" s="1602"/>
      <c r="AB6" s="1602"/>
      <c r="AC6" s="2734"/>
      <c r="AD6" s="2735"/>
      <c r="AE6" s="2735"/>
      <c r="AF6" s="2735"/>
      <c r="AG6" s="2735"/>
      <c r="AH6" s="2735"/>
      <c r="AI6" s="2735"/>
      <c r="AJ6" s="2736"/>
    </row>
    <row r="7" spans="1:36" ht="24">
      <c r="A7" s="3727"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13551</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28"/>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38" t="s">
        <v>2842</v>
      </c>
      <c r="X8" s="3739"/>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2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40"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2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4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2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40"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2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40"/>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45"/>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40"/>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45"/>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46"/>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27"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2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1.0986</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9608</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18103</v>
      </c>
      <c r="D29" s="2844">
        <f>'数据-基础表'!I5</f>
        <v>5307.46</v>
      </c>
      <c r="E29" s="938">
        <f ca="1">ROUND(C29*D29/10000,0)</f>
        <v>9608</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4526</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35"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36"/>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36"/>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37"/>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5227</v>
      </c>
      <c r="D37" s="2844"/>
      <c r="E37" s="199">
        <f t="shared" ca="1" si="7"/>
        <v>0</v>
      </c>
      <c r="F37" s="205">
        <f>SUMIF(修正!A45:A56,G2,修正!F45:F56)</f>
        <v>0.25</v>
      </c>
      <c r="G37" s="199">
        <f t="shared" ca="1" si="6"/>
        <v>1307</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5227</v>
      </c>
      <c r="D38" s="2844"/>
      <c r="E38" s="199">
        <f t="shared" ca="1" si="7"/>
        <v>0</v>
      </c>
      <c r="F38" s="205">
        <f>SUMIF(修正!A45:A56,G2,修正!G45:G56)</f>
        <v>0.25</v>
      </c>
      <c r="G38" s="199">
        <f t="shared" ca="1" si="6"/>
        <v>1307</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4181</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1.0986</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9.8599999999999993E-2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3116</v>
      </c>
      <c r="D73" s="1282">
        <f t="shared" si="20"/>
        <v>2.3999999999999998E-3</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3116</v>
      </c>
      <c r="D77" s="1282">
        <f t="shared" si="20"/>
        <v>8.9999999999999993E-3</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29" t="s">
        <v>2974</v>
      </c>
      <c r="B90" s="3729"/>
      <c r="C90" s="3729"/>
      <c r="D90" s="3729"/>
      <c r="E90" s="3729"/>
      <c r="F90" s="3729"/>
      <c r="G90" s="3729"/>
      <c r="H90" s="3729"/>
      <c r="I90" s="3729"/>
      <c r="J90" s="3729"/>
      <c r="K90" s="2891"/>
      <c r="L90" s="2891"/>
      <c r="M90" s="2891"/>
      <c r="N90" s="2891"/>
    </row>
    <row r="91" spans="1:37">
      <c r="A91" s="3731" t="s">
        <v>2975</v>
      </c>
      <c r="B91" s="3731" t="s">
        <v>2976</v>
      </c>
      <c r="C91" s="2845" t="s">
        <v>2977</v>
      </c>
      <c r="D91" s="2846"/>
      <c r="E91" s="2846"/>
      <c r="F91" s="2846"/>
      <c r="G91" s="2846"/>
      <c r="H91" s="2846"/>
      <c r="I91" s="2846"/>
      <c r="J91" s="2892"/>
      <c r="K91" s="2893"/>
      <c r="L91" s="2893"/>
      <c r="M91" s="2893"/>
      <c r="N91" s="2893"/>
    </row>
    <row r="92" spans="1:37">
      <c r="A92" s="3731"/>
      <c r="B92" s="3731"/>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32"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3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3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3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3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3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33"/>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3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32"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33"/>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33"/>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33"/>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33"/>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33"/>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33"/>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33"/>
      <c r="B108" s="3566"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34"/>
      <c r="B109" s="3567"/>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30" t="s">
        <v>2982</v>
      </c>
      <c r="B110" s="3730"/>
      <c r="C110" s="3730"/>
      <c r="D110" s="3730"/>
      <c r="E110" s="3730"/>
      <c r="F110" s="3730"/>
      <c r="G110" s="3730"/>
      <c r="H110" s="3730"/>
      <c r="I110" s="3730"/>
      <c r="J110" s="3730"/>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0" sqref="J30"/>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611" t="str">
        <f>项目基本情况!S2</f>
        <v>北京市房地产</v>
      </c>
      <c r="B2" s="3612"/>
      <c r="C2" s="3612"/>
      <c r="D2" s="3612"/>
      <c r="E2" s="3612"/>
      <c r="F2" s="3612"/>
      <c r="G2" s="3612"/>
      <c r="H2" s="3612"/>
      <c r="I2" s="3613"/>
    </row>
    <row r="3" spans="1:12" ht="12.75">
      <c r="A3" s="3614" t="s">
        <v>2122</v>
      </c>
      <c r="B3" s="3615"/>
      <c r="C3" s="3615"/>
      <c r="D3" s="3615"/>
      <c r="E3" s="3615"/>
      <c r="F3" s="3615"/>
      <c r="G3" s="3615"/>
      <c r="H3" s="3615"/>
      <c r="I3" s="3615"/>
    </row>
    <row r="4" spans="1:12" ht="14.25">
      <c r="A4" s="2422" t="s">
        <v>2123</v>
      </c>
      <c r="B4" s="2423" t="s">
        <v>2124</v>
      </c>
      <c r="C4" s="2424" t="s">
        <v>3391</v>
      </c>
      <c r="D4" s="2424" t="s">
        <v>3376</v>
      </c>
      <c r="E4" s="3595" t="s">
        <v>2125</v>
      </c>
      <c r="F4" s="3608"/>
      <c r="G4" s="3608"/>
      <c r="H4" s="3608"/>
      <c r="I4" s="3596"/>
      <c r="K4" s="2425"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6" t="s">
        <v>2126</v>
      </c>
      <c r="B5" s="3512">
        <v>25</v>
      </c>
      <c r="C5" s="3616"/>
      <c r="D5" s="3604"/>
      <c r="E5" s="139" t="s">
        <v>2127</v>
      </c>
      <c r="F5" s="2426"/>
      <c r="G5" s="2426"/>
      <c r="H5" s="2426"/>
      <c r="I5" s="1827"/>
    </row>
    <row r="6" spans="1:12" ht="12.75">
      <c r="A6" s="3586"/>
      <c r="B6" s="3512"/>
      <c r="C6" s="3618"/>
      <c r="D6" s="3604"/>
      <c r="E6" s="139" t="s">
        <v>2128</v>
      </c>
      <c r="F6" s="2426"/>
      <c r="G6" s="2426"/>
      <c r="H6" s="2426"/>
      <c r="I6" s="1827"/>
    </row>
    <row r="7" spans="1:12" ht="12.75">
      <c r="A7" s="3586"/>
      <c r="B7" s="3512"/>
      <c r="C7" s="3617"/>
      <c r="D7" s="3604"/>
      <c r="E7" s="139" t="s">
        <v>2129</v>
      </c>
      <c r="F7" s="2426"/>
      <c r="G7" s="2426"/>
      <c r="H7" s="2426"/>
      <c r="I7" s="1827"/>
    </row>
    <row r="8" spans="1:12" ht="12.75">
      <c r="A8" s="3586" t="s">
        <v>2130</v>
      </c>
      <c r="B8" s="3512">
        <v>15</v>
      </c>
      <c r="C8" s="3616"/>
      <c r="D8" s="3604"/>
      <c r="E8" s="139" t="s">
        <v>2131</v>
      </c>
      <c r="F8" s="2426"/>
      <c r="G8" s="2426"/>
      <c r="H8" s="2426"/>
      <c r="I8" s="1827"/>
    </row>
    <row r="9" spans="1:12" ht="12.75">
      <c r="A9" s="3586"/>
      <c r="B9" s="3512"/>
      <c r="C9" s="3617"/>
      <c r="D9" s="3604"/>
      <c r="E9" s="139" t="s">
        <v>2132</v>
      </c>
      <c r="F9" s="2426"/>
      <c r="G9" s="2426"/>
      <c r="H9" s="2426"/>
      <c r="I9" s="1827"/>
    </row>
    <row r="10" spans="1:12" ht="12.75">
      <c r="A10" s="3586" t="s">
        <v>2133</v>
      </c>
      <c r="B10" s="3512">
        <v>15</v>
      </c>
      <c r="C10" s="3616"/>
      <c r="D10" s="3604"/>
      <c r="E10" s="139" t="s">
        <v>2134</v>
      </c>
      <c r="F10" s="2426"/>
      <c r="G10" s="2426"/>
      <c r="H10" s="2426"/>
      <c r="I10" s="1827"/>
    </row>
    <row r="11" spans="1:12" ht="12.75">
      <c r="A11" s="3586"/>
      <c r="B11" s="3512"/>
      <c r="C11" s="3617"/>
      <c r="D11" s="3604"/>
      <c r="E11" s="139" t="s">
        <v>2135</v>
      </c>
      <c r="F11" s="2426"/>
      <c r="G11" s="2426"/>
      <c r="H11" s="2426"/>
      <c r="I11" s="1827"/>
    </row>
    <row r="12" spans="1:12" ht="12.75">
      <c r="A12" s="3586" t="s">
        <v>2136</v>
      </c>
      <c r="B12" s="3512">
        <v>15</v>
      </c>
      <c r="C12" s="3616"/>
      <c r="D12" s="3604"/>
      <c r="E12" s="139" t="s">
        <v>2137</v>
      </c>
      <c r="F12" s="2426"/>
      <c r="G12" s="2426"/>
      <c r="H12" s="2426"/>
      <c r="I12" s="1827"/>
    </row>
    <row r="13" spans="1:12" ht="12.75">
      <c r="A13" s="3586"/>
      <c r="B13" s="3512"/>
      <c r="C13" s="3617"/>
      <c r="D13" s="3604"/>
      <c r="E13" s="139" t="s">
        <v>2138</v>
      </c>
      <c r="F13" s="2426"/>
      <c r="G13" s="2426"/>
      <c r="H13" s="2426"/>
      <c r="I13" s="1827"/>
    </row>
    <row r="14" spans="1:12" ht="12.75">
      <c r="A14" s="3586" t="s">
        <v>2139</v>
      </c>
      <c r="B14" s="3512">
        <v>30</v>
      </c>
      <c r="C14" s="3616">
        <v>0.5</v>
      </c>
      <c r="D14" s="3604">
        <f>1-C14</f>
        <v>0.5</v>
      </c>
      <c r="E14" s="139" t="s">
        <v>2140</v>
      </c>
      <c r="F14" s="2426"/>
      <c r="G14" s="2426"/>
      <c r="H14" s="2426"/>
      <c r="I14" s="1827"/>
    </row>
    <row r="15" spans="1:12" ht="12.75">
      <c r="A15" s="3586"/>
      <c r="B15" s="3512"/>
      <c r="C15" s="3618"/>
      <c r="D15" s="3604"/>
      <c r="E15" s="139" t="s">
        <v>2141</v>
      </c>
      <c r="F15" s="2426"/>
      <c r="G15" s="2426"/>
      <c r="H15" s="2426"/>
      <c r="I15" s="1827"/>
    </row>
    <row r="16" spans="1:12" ht="12.75">
      <c r="A16" s="3586"/>
      <c r="B16" s="3512"/>
      <c r="C16" s="3617"/>
      <c r="D16" s="3604"/>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0</v>
      </c>
      <c r="M18" s="2425">
        <f>IF(C1="",'数据-汇总表'!E3,SUMIF(项目类型,C1,'数据-汇总表'!E17:E26))</f>
        <v>0</v>
      </c>
    </row>
    <row r="19" spans="1:35" ht="15">
      <c r="A19" s="2431" t="s">
        <v>2148</v>
      </c>
      <c r="B19" s="2432" t="s">
        <v>2149</v>
      </c>
      <c r="C19" s="142">
        <f ca="1">SUMIF(INDIRECT("'"&amp;C4&amp;"'"&amp;"!A:A"),结果表商业!B19,INDIRECT("'"&amp;C4&amp;"'"&amp;"!B:B"))</f>
        <v>51557</v>
      </c>
      <c r="D19" s="143">
        <f ca="1">SUMIF(INDIRECT("'"&amp;D4&amp;"'"&amp;"!A:A"),结果表商业!B19,INDIRECT("'"&amp;D4&amp;"'"&amp;"!B:B"))</f>
        <v>46053</v>
      </c>
      <c r="E19" s="2431" t="s">
        <v>2150</v>
      </c>
      <c r="F19" s="2432" t="s">
        <v>2149</v>
      </c>
      <c r="G19" s="144">
        <f ca="1">ROUND(C19*$C$18+D19*$D$18,0)</f>
        <v>48805</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54839</v>
      </c>
      <c r="D20" s="146">
        <f ca="1">SUMIF(INDIRECT("'"&amp;D4&amp;"'"&amp;"!A:A"),结果表商业!B20,INDIRECT("'"&amp;D4&amp;"'"&amp;"!B:B"))</f>
        <v>48984</v>
      </c>
      <c r="E20" s="2434"/>
      <c r="F20" s="1243" t="s">
        <v>2153</v>
      </c>
      <c r="G20" s="147">
        <f ca="1">ROUND(C20*$C$18+D20*$D$18,0)</f>
        <v>51912</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0.11951447245564895</v>
      </c>
      <c r="E22" s="137"/>
      <c r="F22" s="137"/>
      <c r="G22" s="137"/>
      <c r="H22" s="137"/>
      <c r="I22" s="137"/>
    </row>
    <row r="23" spans="1:35" ht="13.5" thickBot="1">
      <c r="A23" s="2415"/>
      <c r="B23" s="2415"/>
      <c r="C23" s="2415"/>
      <c r="D23" s="2415"/>
      <c r="E23" s="137"/>
      <c r="F23" s="137"/>
      <c r="G23" s="137"/>
      <c r="H23" s="137"/>
      <c r="I23" s="137"/>
    </row>
    <row r="24" spans="1:35" ht="14.25">
      <c r="A24" s="3625" t="s">
        <v>2157</v>
      </c>
      <c r="B24" s="2432" t="s">
        <v>2149</v>
      </c>
      <c r="C24" s="144">
        <f>IF(B30=0,0,D30)</f>
        <v>0</v>
      </c>
      <c r="D24" s="2439"/>
      <c r="E24" s="137"/>
      <c r="F24" s="137"/>
      <c r="G24" s="137"/>
      <c r="H24" s="137"/>
      <c r="I24" s="137"/>
    </row>
    <row r="25" spans="1:35" ht="14.25">
      <c r="A25" s="3626"/>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48805</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605" t="s">
        <v>2171</v>
      </c>
      <c r="B36" s="2458" t="s">
        <v>2172</v>
      </c>
      <c r="C36" s="153"/>
      <c r="D36" s="2459"/>
      <c r="E36" s="2460"/>
      <c r="F36" s="2461"/>
      <c r="G36" s="137"/>
      <c r="H36" s="137"/>
      <c r="I36" s="137"/>
    </row>
    <row r="37" spans="1:15" ht="15.75" thickBot="1">
      <c r="A37" s="3606"/>
      <c r="B37" s="2263" t="s">
        <v>2173</v>
      </c>
      <c r="C37" s="155"/>
      <c r="D37" s="1388"/>
      <c r="E37" s="1388"/>
      <c r="F37" s="2461"/>
      <c r="G37" s="137"/>
      <c r="H37" s="137"/>
      <c r="I37" s="137"/>
    </row>
    <row r="38" spans="1:15" ht="15.75" thickBot="1">
      <c r="A38" s="3607"/>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622" t="s">
        <v>2185</v>
      </c>
      <c r="B45" s="3623"/>
      <c r="C45" s="3624"/>
      <c r="D45" s="163">
        <f ca="1">ROUND(H101*F45,0)</f>
        <v>48805</v>
      </c>
      <c r="E45" s="164" t="s">
        <v>2186</v>
      </c>
      <c r="F45" s="165">
        <v>1</v>
      </c>
      <c r="G45" s="166" t="s">
        <v>2187</v>
      </c>
      <c r="H45" s="137"/>
      <c r="I45" s="137"/>
      <c r="J45" s="3541" t="s">
        <v>2188</v>
      </c>
      <c r="K45" s="3541"/>
      <c r="L45" s="3541"/>
      <c r="M45" s="3541"/>
      <c r="N45" s="3541"/>
      <c r="O45" s="3541"/>
    </row>
    <row r="46" spans="1:15" ht="14.25" customHeight="1">
      <c r="A46" s="3619" t="s">
        <v>2189</v>
      </c>
      <c r="B46" s="3620"/>
      <c r="C46" s="3620"/>
      <c r="D46" s="3620"/>
      <c r="E46" s="3620"/>
      <c r="F46" s="3620"/>
      <c r="G46" s="3621"/>
      <c r="H46" s="2477"/>
      <c r="I46" s="167"/>
      <c r="J46" s="2958">
        <v>1</v>
      </c>
      <c r="K46" s="3541" t="s">
        <v>2190</v>
      </c>
      <c r="L46" s="3541"/>
      <c r="M46" s="3542"/>
      <c r="N46" s="3542"/>
      <c r="O46" s="3542"/>
    </row>
    <row r="47" spans="1:15" ht="12" customHeight="1">
      <c r="A47" s="168" t="s">
        <v>2191</v>
      </c>
      <c r="B47" s="169"/>
      <c r="C47" s="170"/>
      <c r="D47" s="171" t="s">
        <v>2192</v>
      </c>
      <c r="E47" s="24" t="s">
        <v>2193</v>
      </c>
      <c r="F47" s="172" t="s">
        <v>2194</v>
      </c>
      <c r="G47" s="173" t="s">
        <v>2195</v>
      </c>
      <c r="H47" s="2477"/>
      <c r="I47" s="167"/>
      <c r="J47" s="2958">
        <v>2</v>
      </c>
      <c r="K47" s="3541" t="s">
        <v>2196</v>
      </c>
      <c r="L47" s="3541"/>
      <c r="M47" s="3543">
        <f>'数据-取费表'!B2</f>
        <v>43155</v>
      </c>
      <c r="N47" s="3543"/>
      <c r="O47" s="3543"/>
    </row>
    <row r="48" spans="1:15" ht="25.5">
      <c r="A48" s="3609" t="s">
        <v>2197</v>
      </c>
      <c r="B48" s="3610"/>
      <c r="C48" s="3610"/>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541" t="s">
        <v>2200</v>
      </c>
      <c r="L48" s="3541"/>
      <c r="M48" s="3544">
        <f ca="1">H101</f>
        <v>48805</v>
      </c>
      <c r="N48" s="3544"/>
      <c r="O48" s="3544"/>
    </row>
    <row r="49" spans="1:35" ht="25.5" customHeight="1">
      <c r="A49" s="175" t="s">
        <v>2201</v>
      </c>
      <c r="B49" s="3589" t="s">
        <v>2202</v>
      </c>
      <c r="C49" s="3589"/>
      <c r="D49" s="176">
        <v>0</v>
      </c>
      <c r="E49" s="23" t="s">
        <v>2203</v>
      </c>
      <c r="F49" s="28" t="s">
        <v>34</v>
      </c>
      <c r="G49" s="3570"/>
      <c r="H49" s="137"/>
      <c r="I49" s="2480"/>
      <c r="J49" s="2958">
        <v>4</v>
      </c>
      <c r="K49" s="3541" t="str">
        <f>IF(项目基本情况!E8="房地产抵押价值","房地产抵押价值","抵押担保权已注销时的房地产抵押价值")</f>
        <v>房地产抵押价值</v>
      </c>
      <c r="L49" s="3541"/>
      <c r="M49" s="3544">
        <f ca="1">IF(项目基本情况!E8="房地产抵押价值",H107,H109)</f>
        <v>48805</v>
      </c>
      <c r="N49" s="3544"/>
      <c r="O49" s="3544"/>
    </row>
    <row r="50" spans="1:35" ht="25.5" customHeight="1">
      <c r="A50" s="177"/>
      <c r="B50" s="3589" t="s">
        <v>2204</v>
      </c>
      <c r="C50" s="3589"/>
      <c r="D50" s="178"/>
      <c r="E50" s="31"/>
      <c r="F50" s="179"/>
      <c r="G50" s="3571"/>
      <c r="H50" s="137"/>
      <c r="I50" s="2480"/>
      <c r="J50" s="3541" t="s">
        <v>2205</v>
      </c>
      <c r="K50" s="3541"/>
      <c r="L50" s="3541"/>
      <c r="M50" s="3541"/>
      <c r="N50" s="3541"/>
      <c r="O50" s="3541"/>
    </row>
    <row r="51" spans="1:35" ht="12" customHeight="1">
      <c r="A51" s="180"/>
      <c r="B51" s="3589" t="s">
        <v>2206</v>
      </c>
      <c r="C51" s="3589"/>
      <c r="D51" s="181"/>
      <c r="E51" s="30"/>
      <c r="F51" s="179"/>
      <c r="G51" s="3572"/>
      <c r="H51" s="137"/>
      <c r="I51" s="2480"/>
      <c r="J51" s="2957" t="s">
        <v>2207</v>
      </c>
      <c r="K51" s="3541" t="s">
        <v>2208</v>
      </c>
      <c r="L51" s="3541"/>
      <c r="M51" s="2957" t="s">
        <v>2209</v>
      </c>
      <c r="N51" s="2957" t="s">
        <v>2210</v>
      </c>
      <c r="O51" s="2957" t="s">
        <v>2211</v>
      </c>
    </row>
    <row r="52" spans="1:35" ht="24" customHeight="1">
      <c r="A52" s="182" t="s">
        <v>2212</v>
      </c>
      <c r="B52" s="3589" t="s">
        <v>2213</v>
      </c>
      <c r="C52" s="3589"/>
      <c r="D52" s="181">
        <f ca="1">ROUND(D45*'数据-取费表'!B41/(1+'数据-取费表'!C42),0)</f>
        <v>2556</v>
      </c>
      <c r="E52" s="11" t="s">
        <v>2214</v>
      </c>
      <c r="F52" s="183">
        <f>'数据-取费表'!B41</f>
        <v>5.5000000000000007E-2</v>
      </c>
      <c r="G52" s="2482"/>
      <c r="H52" s="137"/>
      <c r="I52" s="2480"/>
      <c r="J52" s="2958">
        <v>1</v>
      </c>
      <c r="K52" s="3564" t="s">
        <v>2215</v>
      </c>
      <c r="L52" s="3564"/>
      <c r="M52" s="1747">
        <f>D48</f>
        <v>0</v>
      </c>
      <c r="N52" s="2958" t="str">
        <f>E48</f>
        <v>销售额×税（费）率</v>
      </c>
      <c r="O52" s="1748" t="str">
        <f>F48</f>
        <v>免征</v>
      </c>
    </row>
    <row r="53" spans="1:35" ht="12" customHeight="1">
      <c r="A53" s="182" t="s">
        <v>2216</v>
      </c>
      <c r="B53" s="3590" t="s">
        <v>2217</v>
      </c>
      <c r="C53" s="3591"/>
      <c r="D53" s="181">
        <f ca="1">ROUND(D45*'数据-取费表'!B41/(1+'数据-取费表'!C42),0)</f>
        <v>2556</v>
      </c>
      <c r="E53" s="11" t="s">
        <v>2214</v>
      </c>
      <c r="F53" s="183">
        <f>'数据-取费表'!B41</f>
        <v>5.5000000000000007E-2</v>
      </c>
      <c r="G53" s="2482"/>
      <c r="H53" s="137"/>
      <c r="I53" s="2480"/>
      <c r="J53" s="2958">
        <v>2</v>
      </c>
      <c r="K53" s="3564" t="s">
        <v>2218</v>
      </c>
      <c r="L53" s="3564"/>
      <c r="M53" s="1747">
        <f t="shared" ref="M53:O54" ca="1" si="0">D55</f>
        <v>24</v>
      </c>
      <c r="N53" s="2958" t="str">
        <f t="shared" si="0"/>
        <v>销售额×税（费）率</v>
      </c>
      <c r="O53" s="1748">
        <f t="shared" si="0"/>
        <v>5.0000000000000001E-4</v>
      </c>
    </row>
    <row r="54" spans="1:35" ht="12" customHeight="1">
      <c r="A54" s="182" t="s">
        <v>2219</v>
      </c>
      <c r="B54" s="3590" t="s">
        <v>2220</v>
      </c>
      <c r="C54" s="3591"/>
      <c r="D54" s="181">
        <f ca="1">C68</f>
        <v>2556</v>
      </c>
      <c r="E54" s="30" t="s">
        <v>2221</v>
      </c>
      <c r="F54" s="183">
        <f>'数据-取费表'!B41</f>
        <v>5.5000000000000007E-2</v>
      </c>
      <c r="G54" s="2482"/>
      <c r="H54" s="2483"/>
      <c r="I54" s="2480"/>
      <c r="J54" s="2958">
        <v>3</v>
      </c>
      <c r="K54" s="3564" t="s">
        <v>2222</v>
      </c>
      <c r="L54" s="3564"/>
      <c r="M54" s="1747">
        <f t="shared" ca="1" si="0"/>
        <v>27668</v>
      </c>
      <c r="N54" s="2958" t="str">
        <f t="shared" si="0"/>
        <v>增值额×税（费）率</v>
      </c>
      <c r="O54" s="1749" t="str">
        <f t="shared" si="0"/>
        <v>——</v>
      </c>
    </row>
    <row r="55" spans="1:35" ht="24" customHeight="1">
      <c r="A55" s="3628" t="s">
        <v>2223</v>
      </c>
      <c r="B55" s="3610"/>
      <c r="C55" s="3610"/>
      <c r="D55" s="184">
        <f ca="1">IF(H55="个人住宅",0,ROUND(D45*I55,0))</f>
        <v>24</v>
      </c>
      <c r="E55" s="11" t="s">
        <v>2224</v>
      </c>
      <c r="F55" s="183">
        <f>IF(H55="正常",I55,"免征")</f>
        <v>5.0000000000000001E-4</v>
      </c>
      <c r="G55" s="2482"/>
      <c r="H55" s="2479" t="s">
        <v>2225</v>
      </c>
      <c r="I55" s="185">
        <f>'数据-取费表'!B49</f>
        <v>5.0000000000000001E-4</v>
      </c>
      <c r="J55" s="2958" t="str">
        <f>IF(H59="非个人房产","",4)</f>
        <v/>
      </c>
      <c r="K55" s="3564" t="str">
        <f>IF(H59="非个人房产","——","个人所得税")</f>
        <v>——</v>
      </c>
      <c r="L55" s="3564"/>
      <c r="M55" s="1750" t="str">
        <f>D59</f>
        <v>——</v>
      </c>
      <c r="N55" s="2959" t="str">
        <f>E59</f>
        <v>——</v>
      </c>
      <c r="O55" s="1751" t="str">
        <f>F59</f>
        <v>——</v>
      </c>
    </row>
    <row r="56" spans="1:35" ht="24.75">
      <c r="A56" s="3628" t="s">
        <v>2226</v>
      </c>
      <c r="B56" s="3610"/>
      <c r="C56" s="3610"/>
      <c r="D56" s="184">
        <f ca="1">IF(H56="个人住宅",D57,D58)</f>
        <v>27668</v>
      </c>
      <c r="E56" s="11" t="s">
        <v>2227</v>
      </c>
      <c r="F56" s="183" t="str">
        <f>IF(H56="正常",F58,"免征")</f>
        <v>——</v>
      </c>
      <c r="G56" s="2484" t="s">
        <v>2228</v>
      </c>
      <c r="H56" s="2485" t="s">
        <v>2225</v>
      </c>
      <c r="I56" s="2486"/>
      <c r="J56" s="2958" t="str">
        <f>IF(项目基本情况!K6="上海银行",IF(J55="",4,J55+1),"")</f>
        <v/>
      </c>
      <c r="K56" s="3547" t="str">
        <f>IF(项目基本情况!K6="上海银行","其他处置费用","")</f>
        <v/>
      </c>
      <c r="L56" s="3548"/>
      <c r="M56" s="1747" t="str">
        <f>IF(项目基本情况!K6="上海银行",M69,"")</f>
        <v/>
      </c>
      <c r="N56" s="3550" t="str">
        <f>IF(项目基本情况!K6="上海银行","包含处置中涉及的律师、诉讼、拍卖、评估等费用","")</f>
        <v/>
      </c>
      <c r="O56" s="3551"/>
    </row>
    <row r="57" spans="1:35" ht="12.75">
      <c r="A57" s="182" t="s">
        <v>2201</v>
      </c>
      <c r="B57" s="3595" t="s">
        <v>2229</v>
      </c>
      <c r="C57" s="3596"/>
      <c r="D57" s="186">
        <v>0</v>
      </c>
      <c r="E57" s="23" t="s">
        <v>2203</v>
      </c>
      <c r="F57" s="154"/>
      <c r="G57" s="2482"/>
      <c r="H57" s="2486"/>
      <c r="I57" s="2486"/>
      <c r="J57" s="3564">
        <f>IF(AND(J55="",J56=""),4,IF(项目基本情况!K6="上海银行",结果表商业!J56+1,结果表商业!J55+1))</f>
        <v>4</v>
      </c>
      <c r="K57" s="3564" t="s">
        <v>2230</v>
      </c>
      <c r="L57" s="2487" t="s">
        <v>2231</v>
      </c>
      <c r="M57" s="1752"/>
      <c r="N57" s="1753">
        <f ca="1">SUMIF(M52:M56,"&lt;9e307")</f>
        <v>27692</v>
      </c>
      <c r="O57" s="2488"/>
      <c r="P57" s="1746">
        <f ca="1">N57/M49</f>
        <v>0.56740088105726871</v>
      </c>
    </row>
    <row r="58" spans="1:35" ht="24.75">
      <c r="A58" s="182" t="s">
        <v>2212</v>
      </c>
      <c r="B58" s="3595" t="s">
        <v>2232</v>
      </c>
      <c r="C58" s="3608"/>
      <c r="D58" s="184">
        <f ca="1">IF(H58="转让取得",C81,C97)</f>
        <v>27668</v>
      </c>
      <c r="E58" s="11" t="s">
        <v>2227</v>
      </c>
      <c r="F58" s="24" t="s">
        <v>34</v>
      </c>
      <c r="G58" s="2482"/>
      <c r="H58" s="2485" t="s">
        <v>2233</v>
      </c>
      <c r="I58" s="2486"/>
      <c r="J58" s="3564"/>
      <c r="K58" s="3564"/>
      <c r="L58" s="2487" t="s">
        <v>2234</v>
      </c>
      <c r="M58" s="1754"/>
      <c r="N58" s="2489" t="str">
        <f ca="1">NUMBERSTRING(INT(N57*10000),2)&amp;"元整"</f>
        <v>贰亿柒仟陆佰玖拾贰万元整</v>
      </c>
      <c r="O58" s="2490"/>
    </row>
    <row r="59" spans="1:35" ht="24.75" thickBot="1">
      <c r="A59" s="3568" t="s">
        <v>2235</v>
      </c>
      <c r="B59" s="3569"/>
      <c r="C59" s="3569"/>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566">
        <f>J57+1</f>
        <v>5</v>
      </c>
      <c r="K59" s="3564" t="s">
        <v>2237</v>
      </c>
      <c r="L59" s="2958" t="s">
        <v>2231</v>
      </c>
      <c r="M59" s="1755"/>
      <c r="N59" s="1756">
        <f ca="1">M49-N57</f>
        <v>21113</v>
      </c>
      <c r="O59" s="2492"/>
    </row>
    <row r="60" spans="1:35" ht="12" customHeight="1">
      <c r="A60" s="2493"/>
      <c r="B60" s="2415"/>
      <c r="C60" s="2415"/>
      <c r="D60" s="2415"/>
      <c r="E60" s="2163"/>
      <c r="F60" s="2486"/>
      <c r="G60" s="2486"/>
      <c r="H60" s="2494"/>
      <c r="I60" s="137"/>
      <c r="J60" s="3567"/>
      <c r="K60" s="3564"/>
      <c r="L60" s="2487" t="s">
        <v>2234</v>
      </c>
      <c r="M60" s="1754"/>
      <c r="N60" s="2489" t="str">
        <f ca="1">NUMBERSTRING(INT(N59*10000),2)&amp;"元整"</f>
        <v>贰亿壹仟壹佰壹拾叁万元整</v>
      </c>
      <c r="O60" s="2490"/>
    </row>
    <row r="61" spans="1:35" ht="13.5" thickBot="1">
      <c r="A61" s="3627" t="s">
        <v>2238</v>
      </c>
      <c r="B61" s="3627"/>
      <c r="C61" s="3627"/>
      <c r="D61" s="3627"/>
      <c r="E61" s="3627"/>
      <c r="F61" s="2486"/>
      <c r="G61" s="2486"/>
      <c r="H61" s="2494"/>
      <c r="I61" s="137"/>
      <c r="J61" s="2958">
        <f>J59+1</f>
        <v>6</v>
      </c>
      <c r="K61" s="3564" t="s">
        <v>2239</v>
      </c>
      <c r="L61" s="3564"/>
      <c r="M61" s="1757"/>
      <c r="N61" s="1758">
        <f ca="1">ROUND(N59*10000/'数据-汇总表'!E3,0)</f>
        <v>14354</v>
      </c>
      <c r="O61" s="2495"/>
    </row>
    <row r="62" spans="1:35" ht="12.75">
      <c r="A62" s="3584" t="s">
        <v>2240</v>
      </c>
      <c r="B62" s="3585"/>
      <c r="C62" s="2955"/>
      <c r="D62" s="2955" t="s">
        <v>2241</v>
      </c>
      <c r="E62" s="191" t="s">
        <v>2242</v>
      </c>
      <c r="F62" s="2486"/>
      <c r="G62" s="2486"/>
      <c r="H62" s="2494"/>
      <c r="I62" s="137"/>
    </row>
    <row r="63" spans="1:35" ht="12.75">
      <c r="A63" s="202" t="s">
        <v>774</v>
      </c>
      <c r="B63" s="192" t="s">
        <v>2243</v>
      </c>
      <c r="C63" s="193">
        <f ca="1">ROUND((C64+C65)/(1+'数据-取费表'!C42),0)</f>
        <v>46481</v>
      </c>
      <c r="D63" s="194"/>
      <c r="E63" s="195"/>
      <c r="F63" s="2486"/>
      <c r="G63" s="2486"/>
      <c r="H63" s="2494"/>
      <c r="I63" s="137"/>
      <c r="J63" s="3549" t="s">
        <v>2244</v>
      </c>
      <c r="K63" s="2960" t="s">
        <v>2245</v>
      </c>
      <c r="L63" s="1745">
        <f ca="1">IF(M49&gt;10000,M49*0.5%,IF(AND(M49&gt;1000,M49&lt;=10000),M49*1%,IF(AND(M49&gt;100,M49&lt;=1000),M49*3%,IF(AND(M49&gt;10,M49&lt;=100),M49*5%,M49*8%))))</f>
        <v>244.02500000000001</v>
      </c>
      <c r="M63" s="24">
        <f ca="1">ROUND(L63,1)</f>
        <v>244</v>
      </c>
      <c r="Z63" s="2420"/>
      <c r="AI63" s="2421"/>
    </row>
    <row r="64" spans="1:35" ht="14.25" customHeight="1">
      <c r="A64" s="196" t="s">
        <v>769</v>
      </c>
      <c r="B64" s="197" t="s">
        <v>2246</v>
      </c>
      <c r="C64" s="198">
        <f ca="1">D45</f>
        <v>48805</v>
      </c>
      <c r="D64" s="199" t="s">
        <v>32</v>
      </c>
      <c r="E64" s="200"/>
      <c r="F64" s="2486"/>
      <c r="G64" s="2486"/>
      <c r="H64" s="2494"/>
      <c r="I64" s="137"/>
      <c r="J64" s="3549"/>
      <c r="K64" s="2960" t="s">
        <v>2247</v>
      </c>
      <c r="L64" s="1745">
        <f ca="1">IF(M49&gt;2000,M49*0.5%,IF(AND(M49&gt;1000,M49&lt;=2000),M49*0.6%,IF(AND(M49&gt;500,M49&lt;=1000),M49*0.7%,IF(AND(M49&gt;200,M49&lt;=500),M49*0.8%,IF(AND(M49&gt;100,M49&lt;=200),M49*0.9%,IF(AND(M49&gt;50,M49&lt;=100),M49*1%,IF(AND(M49&gt;20,M49&lt;=50),M49*1.5%,IF(AND(M49&gt;10,M49&lt;=20),M49*2%,IF(AND(M49&gt;1,M49&lt;=10),M49*2.5%)))))))))</f>
        <v>244.02500000000001</v>
      </c>
      <c r="M64" s="24">
        <f t="shared" ref="M64:M65" ca="1" si="1">ROUND(L64,1)</f>
        <v>244</v>
      </c>
      <c r="N64" s="137" t="s">
        <v>2248</v>
      </c>
      <c r="Z64" s="2420"/>
      <c r="AI64" s="2421"/>
    </row>
    <row r="65" spans="1:35" ht="14.25" customHeight="1">
      <c r="A65" s="196" t="s">
        <v>770</v>
      </c>
      <c r="B65" s="197" t="s">
        <v>2249</v>
      </c>
      <c r="C65" s="201"/>
      <c r="D65" s="199"/>
      <c r="E65" s="200"/>
      <c r="F65" s="2486"/>
      <c r="G65" s="2486"/>
      <c r="H65" s="2494"/>
      <c r="I65" s="137"/>
      <c r="J65" s="3549"/>
      <c r="K65" s="2960" t="s">
        <v>2250</v>
      </c>
      <c r="L65" s="1745">
        <f ca="1">IF(M49&gt;1000,M49*0.1%,IF(AND(M49&gt;500,M49&lt;=1000),M49*0.5%,IF(AND(M49&gt;50,M49&lt;=500),M49*1%,IF(AND(M49&gt;1,M49&lt;=50),M49*1.5%))))</f>
        <v>48.805</v>
      </c>
      <c r="M65" s="24">
        <f t="shared" ca="1" si="1"/>
        <v>48.8</v>
      </c>
      <c r="N65" s="137" t="s">
        <v>2248</v>
      </c>
      <c r="Z65" s="2420"/>
      <c r="AI65" s="2421"/>
    </row>
    <row r="66" spans="1:35" ht="14.25" customHeight="1">
      <c r="A66" s="202" t="s">
        <v>771</v>
      </c>
      <c r="B66" s="203" t="s">
        <v>2251</v>
      </c>
      <c r="C66" s="204"/>
      <c r="D66" s="205" t="s">
        <v>32</v>
      </c>
      <c r="E66" s="1769" t="s">
        <v>1370</v>
      </c>
      <c r="F66" s="2486"/>
      <c r="G66" s="2486"/>
      <c r="H66" s="2494"/>
      <c r="I66" s="137"/>
      <c r="J66" s="3549"/>
      <c r="K66" s="2960" t="s">
        <v>2252</v>
      </c>
      <c r="L66" s="1745">
        <f ca="1">M49*0.5%</f>
        <v>244.02500000000001</v>
      </c>
      <c r="M66" s="24">
        <f ca="1">IF(L66&gt;0.5,0.5,ROUND(L66,0))</f>
        <v>0.5</v>
      </c>
      <c r="N66" s="137" t="s">
        <v>2253</v>
      </c>
      <c r="Z66" s="2420"/>
      <c r="AI66" s="2421"/>
    </row>
    <row r="67" spans="1:35" ht="14.25" customHeight="1">
      <c r="A67" s="202" t="s">
        <v>772</v>
      </c>
      <c r="B67" s="203" t="s">
        <v>2254</v>
      </c>
      <c r="C67" s="206">
        <f ca="1">C63-C66</f>
        <v>46481</v>
      </c>
      <c r="D67" s="199" t="s">
        <v>32</v>
      </c>
      <c r="E67" s="200"/>
      <c r="F67" s="2486"/>
      <c r="G67" s="2486"/>
      <c r="H67" s="2494"/>
      <c r="I67" s="137"/>
      <c r="J67" s="3549"/>
      <c r="K67" s="2960" t="s">
        <v>2255</v>
      </c>
      <c r="L67" s="1745">
        <f ca="1">IF(M49&gt;=10000,(8.25+(M49-10000)*0.01%),IF(AND(M49&gt;=8000,M49&lt;10000),(7.85+(M49-8000)*0.02%),IF(AND(M49&gt;=5000,M49&lt;8000),(6.65+(M49-5000)*0.04%),IF(AND(M49&gt;=2000,M49&lt;5000),(4.25+(PM49-2000)*0.08%),IF(AND(M49&gt;=1000,M49&lt;2000),(2.75+(M49-1000)*0.15%),IF(AND(M49&gt;=100,M49&lt;1000),(0.5+(M49-100)*0.25%),IF(AND(M49&gt;0,M49&lt;100),M49*0.5%)))))))</f>
        <v>12.1305</v>
      </c>
      <c r="M67" s="24">
        <f ca="1">ROUND(L67*0.9,1)</f>
        <v>10.9</v>
      </c>
      <c r="Z67" s="2420"/>
      <c r="AI67" s="2421"/>
    </row>
    <row r="68" spans="1:35" ht="14.25" customHeight="1" thickBot="1">
      <c r="A68" s="207" t="s">
        <v>773</v>
      </c>
      <c r="B68" s="208" t="s">
        <v>2256</v>
      </c>
      <c r="C68" s="209">
        <f ca="1">IF(C67&lt;=0,0,ROUND(C67*D68,0))</f>
        <v>2556</v>
      </c>
      <c r="D68" s="210">
        <f>'数据-取费表'!B41</f>
        <v>5.5000000000000007E-2</v>
      </c>
      <c r="E68" s="211"/>
      <c r="F68" s="2486"/>
      <c r="G68" s="2486"/>
      <c r="H68" s="2494"/>
      <c r="I68" s="137"/>
      <c r="J68" s="3549"/>
      <c r="K68" s="2960" t="s">
        <v>2257</v>
      </c>
      <c r="L68" s="1745">
        <f ca="1">IF(M49&gt;10000,M49*0.5%,IF(AND(M49&gt;5000,M49&lt;=10000),M49*1%,IF(AND(M49&gt;1000,M49&lt;=5000),M49*2%,IF(AND(M49&gt;200,M49&lt;=1000),M49*3%,M49*5%))))</f>
        <v>244.02500000000001</v>
      </c>
      <c r="M68" s="24">
        <f ca="1">ROUND(L68,1)</f>
        <v>244</v>
      </c>
      <c r="Z68" s="2420"/>
      <c r="AI68" s="2421"/>
    </row>
    <row r="69" spans="1:35" s="2443" customFormat="1" ht="16.5" customHeight="1">
      <c r="A69" s="2497"/>
      <c r="B69" s="2498"/>
      <c r="C69" s="2499"/>
      <c r="D69" s="2500"/>
      <c r="E69" s="2501"/>
      <c r="F69" s="2163"/>
      <c r="G69" s="2163"/>
      <c r="H69" s="2162"/>
      <c r="I69" s="2415"/>
      <c r="J69" s="3549"/>
      <c r="K69" s="2960" t="s">
        <v>2258</v>
      </c>
      <c r="L69" s="2502"/>
      <c r="M69" s="24">
        <f ca="1">ROUND(SUM(M63:M68),0)</f>
        <v>792</v>
      </c>
      <c r="N69" s="1746">
        <f ca="1">M69/M49</f>
        <v>1.6227845507632416E-2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593" t="s">
        <v>2259</v>
      </c>
      <c r="B70" s="3594"/>
      <c r="C70" s="3594"/>
      <c r="D70" s="3594"/>
      <c r="E70" s="3594"/>
      <c r="F70" s="3594"/>
      <c r="G70" s="3594"/>
      <c r="H70" s="359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84" t="s">
        <v>2240</v>
      </c>
      <c r="B71" s="3585"/>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46481</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232</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90" t="s">
        <v>2268</v>
      </c>
      <c r="F76" s="3589"/>
      <c r="G76" s="3589"/>
      <c r="H76" s="359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232</v>
      </c>
      <c r="D78" s="225">
        <f>'数据-取费表'!B43</f>
        <v>5.000000000000001E-3</v>
      </c>
      <c r="E78" s="3581" t="s">
        <v>2273</v>
      </c>
      <c r="F78" s="3582"/>
      <c r="G78" s="3582"/>
      <c r="H78" s="358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46249</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199.34913793103448</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27668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593" t="s">
        <v>2277</v>
      </c>
      <c r="B83" s="3594"/>
      <c r="C83" s="3594"/>
      <c r="D83" s="3594"/>
      <c r="E83" s="3594"/>
      <c r="F83" s="3594"/>
      <c r="G83" s="3594"/>
      <c r="H83" s="359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84" t="s">
        <v>2240</v>
      </c>
      <c r="B84" s="3585"/>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46481</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232</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81" t="s">
        <v>2286</v>
      </c>
      <c r="F91" s="3582"/>
      <c r="G91" s="3582"/>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81" t="s">
        <v>2290</v>
      </c>
      <c r="F92" s="3582"/>
      <c r="G92" s="3582"/>
      <c r="H92" s="358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232</v>
      </c>
      <c r="D93" s="225">
        <f>'数据-取费表'!B43</f>
        <v>5.000000000000001E-3</v>
      </c>
      <c r="E93" s="3581" t="s">
        <v>2273</v>
      </c>
      <c r="F93" s="3582"/>
      <c r="G93" s="3582"/>
      <c r="H93" s="358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629" t="s">
        <v>2294</v>
      </c>
      <c r="F94" s="3630"/>
      <c r="G94" s="3630"/>
      <c r="H94" s="363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46249</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199.34913793103448</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27668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33" t="s">
        <v>2296</v>
      </c>
      <c r="B100" s="3534"/>
      <c r="C100" s="3534"/>
      <c r="D100" s="3565"/>
      <c r="E100" s="3534" t="s">
        <v>2297</v>
      </c>
      <c r="F100" s="3534"/>
      <c r="G100" s="3534"/>
      <c r="H100" s="3565"/>
      <c r="I100" s="137"/>
    </row>
    <row r="101" spans="1:35" ht="18.75" customHeight="1">
      <c r="A101" s="3573" t="s">
        <v>2298</v>
      </c>
      <c r="B101" s="3574"/>
      <c r="C101" s="732" t="str">
        <f>C4</f>
        <v>典型户型修正</v>
      </c>
      <c r="D101" s="733" t="str">
        <f>D4</f>
        <v>收益法（汇总）</v>
      </c>
      <c r="E101" s="3545" t="s">
        <v>2299</v>
      </c>
      <c r="F101" s="3546"/>
      <c r="G101" s="2517" t="s">
        <v>2300</v>
      </c>
      <c r="H101" s="1041">
        <f ca="1">H118</f>
        <v>48805</v>
      </c>
      <c r="I101" s="137"/>
    </row>
    <row r="102" spans="1:35" ht="18.75" customHeight="1">
      <c r="A102" s="3575" t="s">
        <v>2301</v>
      </c>
      <c r="B102" s="2517" t="s">
        <v>2300</v>
      </c>
      <c r="C102" s="732">
        <f ca="1">C19</f>
        <v>51557</v>
      </c>
      <c r="D102" s="733">
        <f ca="1">D19</f>
        <v>46053</v>
      </c>
      <c r="E102" s="3545"/>
      <c r="F102" s="3546"/>
      <c r="G102" s="2517" t="s">
        <v>2302</v>
      </c>
      <c r="H102" s="370" t="e">
        <f ca="1">I118</f>
        <v>#DIV/0!</v>
      </c>
      <c r="I102" s="137"/>
    </row>
    <row r="103" spans="1:35" ht="42.75" customHeight="1">
      <c r="A103" s="3575"/>
      <c r="B103" s="2517" t="s">
        <v>2302</v>
      </c>
      <c r="C103" s="734">
        <f ca="1">C20</f>
        <v>54839</v>
      </c>
      <c r="D103" s="735">
        <f ca="1">D20</f>
        <v>48984</v>
      </c>
      <c r="E103" s="3539" t="s">
        <v>2303</v>
      </c>
      <c r="F103" s="3540"/>
      <c r="G103" s="2518" t="s">
        <v>2304</v>
      </c>
      <c r="H103" s="1041">
        <f>IF(D36="正常操作",H104+H105+H106,H105+H106)</f>
        <v>0</v>
      </c>
      <c r="I103" s="137"/>
    </row>
    <row r="104" spans="1:35" ht="18.75" customHeight="1">
      <c r="A104" s="3575" t="s">
        <v>2305</v>
      </c>
      <c r="B104" s="2519" t="s">
        <v>2300</v>
      </c>
      <c r="C104" s="736">
        <f ca="1">H118</f>
        <v>48805</v>
      </c>
      <c r="D104" s="737"/>
      <c r="E104" s="2263" t="s">
        <v>2306</v>
      </c>
      <c r="F104" s="2255"/>
      <c r="G104" s="2518" t="s">
        <v>2304</v>
      </c>
      <c r="H104" s="1042">
        <f>IF(D36="同一抵押权人同一抵押物续贷",C36&amp;"（未扣减，详见特别提示）",C36)</f>
        <v>0</v>
      </c>
      <c r="I104" s="137"/>
    </row>
    <row r="105" spans="1:35" ht="18.75" customHeight="1" thickBot="1">
      <c r="A105" s="3587"/>
      <c r="B105" s="2520" t="s">
        <v>2302</v>
      </c>
      <c r="C105" s="738" t="e">
        <f ca="1">I118</f>
        <v>#DIV/0!</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576" t="str">
        <f>IF(项目基本情况!E8="已注销","——","3.房地产抵押价值")</f>
        <v>3.房地产抵押价值</v>
      </c>
      <c r="F107" s="3546"/>
      <c r="G107" s="2517" t="s">
        <v>2300</v>
      </c>
      <c r="H107" s="1041">
        <f ca="1">IF(E107="——","——",H101-H103)</f>
        <v>48805</v>
      </c>
      <c r="I107" s="137"/>
    </row>
    <row r="108" spans="1:35" ht="18.75" customHeight="1">
      <c r="A108" s="137"/>
      <c r="B108" s="137"/>
      <c r="C108" s="137"/>
      <c r="D108" s="137"/>
      <c r="E108" s="3576"/>
      <c r="F108" s="3546"/>
      <c r="G108" s="2517" t="s">
        <v>2302</v>
      </c>
      <c r="H108" s="370">
        <f ca="1">ROUND(H107*10000/'数据-汇总表'!E3,0)</f>
        <v>33180</v>
      </c>
      <c r="I108" s="137"/>
    </row>
    <row r="109" spans="1:35" ht="18.75" customHeight="1">
      <c r="A109" s="137"/>
      <c r="B109" s="137"/>
      <c r="C109" s="137"/>
      <c r="D109" s="137"/>
      <c r="E109" s="3576" t="str">
        <f>IF(项目基本情况!E8="已注销及未注销","4.抵押担保权已注销时的房地产抵押价值",IF(项目基本情况!E8="已注销","3.抵押担保权已注销时的房地产抵押价值","——"))</f>
        <v>——</v>
      </c>
      <c r="F109" s="3546"/>
      <c r="G109" s="2517" t="s">
        <v>2300</v>
      </c>
      <c r="H109" s="347" t="str">
        <f>IF(E109="——","——",H101-H105-H106)</f>
        <v>——</v>
      </c>
      <c r="I109" s="137"/>
    </row>
    <row r="110" spans="1:35" ht="18.75" customHeight="1">
      <c r="A110" s="137"/>
      <c r="B110" s="137"/>
      <c r="C110" s="137"/>
      <c r="D110" s="137"/>
      <c r="E110" s="3576"/>
      <c r="F110" s="3546"/>
      <c r="G110" s="2517" t="s">
        <v>2302</v>
      </c>
      <c r="H110" s="370" t="str">
        <f>IF(H109="——","——",ROUND(H109*10000/'数据-汇总表'!E3,0))</f>
        <v>——</v>
      </c>
      <c r="I110" s="137"/>
    </row>
    <row r="111" spans="1:35" ht="18.75" customHeight="1">
      <c r="A111" s="137"/>
      <c r="B111" s="137"/>
      <c r="C111" s="137"/>
      <c r="D111" s="137"/>
      <c r="E111" s="3577" t="str">
        <f>IF(项目基本情况!E9="抵押净值",IF(OR(项目基本情况!E8="已注销",项目基本情况!E8="房地产抵押价值"),"4.抵押净值","5.抵押净值"),"——")</f>
        <v>——</v>
      </c>
      <c r="F111" s="3578"/>
      <c r="G111" s="2517" t="s">
        <v>2300</v>
      </c>
      <c r="H111" s="1041" t="str">
        <f>IF(E111="——","——",N59)</f>
        <v>——</v>
      </c>
      <c r="I111" s="137"/>
    </row>
    <row r="112" spans="1:35" ht="18.75" customHeight="1" thickBot="1">
      <c r="A112" s="137"/>
      <c r="B112" s="137"/>
      <c r="C112" s="137"/>
      <c r="D112" s="137"/>
      <c r="E112" s="3579"/>
      <c r="F112" s="3580"/>
      <c r="G112" s="2522" t="s">
        <v>2302</v>
      </c>
      <c r="H112" s="786" t="str">
        <f>IF(E111="——","——",N61)</f>
        <v>——</v>
      </c>
      <c r="I112" s="137"/>
    </row>
    <row r="113" spans="1:11" ht="18.75" customHeight="1">
      <c r="A113" s="137"/>
      <c r="B113" s="137"/>
      <c r="C113" s="137"/>
      <c r="D113" s="137"/>
      <c r="E113" s="3588" t="s">
        <v>2308</v>
      </c>
      <c r="F113" s="3588"/>
      <c r="G113" s="3588"/>
      <c r="H113" s="3588"/>
      <c r="I113" s="137"/>
    </row>
    <row r="114" spans="1:11" ht="3.75" customHeight="1">
      <c r="A114" s="2415"/>
      <c r="B114" s="2415"/>
      <c r="C114" s="2415"/>
      <c r="D114" s="2415"/>
      <c r="E114" s="2493"/>
      <c r="F114" s="2493"/>
      <c r="G114" s="2493"/>
      <c r="H114" s="2493"/>
      <c r="I114" s="2415"/>
    </row>
    <row r="115" spans="1:11" ht="18.75" customHeight="1">
      <c r="A115" s="3601" t="s">
        <v>2310</v>
      </c>
      <c r="B115" s="3602"/>
      <c r="C115" s="3602"/>
      <c r="D115" s="3602"/>
      <c r="E115" s="3602"/>
      <c r="F115" s="3602"/>
      <c r="G115" s="3602"/>
      <c r="H115" s="3602"/>
      <c r="I115" s="3603"/>
    </row>
    <row r="116" spans="1:11" ht="27" customHeight="1">
      <c r="A116" s="3512" t="s">
        <v>2311</v>
      </c>
      <c r="B116" s="3555" t="s">
        <v>2312</v>
      </c>
      <c r="C116" s="3555" t="s">
        <v>2313</v>
      </c>
      <c r="D116" s="3561" t="s">
        <v>2314</v>
      </c>
      <c r="E116" s="3562"/>
      <c r="F116" s="3597" t="s">
        <v>2315</v>
      </c>
      <c r="G116" s="3597"/>
      <c r="H116" s="3512" t="s">
        <v>2316</v>
      </c>
      <c r="I116" s="3512"/>
    </row>
    <row r="117" spans="1:11" ht="18.75" customHeight="1">
      <c r="A117" s="3512"/>
      <c r="B117" s="3556"/>
      <c r="C117" s="3556"/>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0</v>
      </c>
      <c r="C118" s="2947">
        <f>M19</f>
        <v>0</v>
      </c>
      <c r="D118" s="2947" t="e">
        <f ca="1">ROUND(IF(D32="总价",C34,E118*B118/10000),0)</f>
        <v>#REF!</v>
      </c>
      <c r="E118" s="2947" t="e">
        <f ca="1">ROUND(IF(C33="自定义",IF(D32="楼面单价",C34,D118*10000/B118),I118-G118),0)</f>
        <v>#DIV/0!</v>
      </c>
      <c r="F118" s="2947" t="e">
        <f ca="1">ROUND(IF(D32="总价",C35,G118*B118/10000),0)</f>
        <v>#REF!</v>
      </c>
      <c r="G118" s="2947" t="e">
        <f ca="1">ROUND(IF(D32="楼面单价",C35,F118*10000/B118),0)</f>
        <v>#REF!</v>
      </c>
      <c r="H118" s="2947">
        <f ca="1">ROUND(IF(D32="总价",C32,I118*B118/10000),0)</f>
        <v>48805</v>
      </c>
      <c r="I118" s="2947" t="e">
        <f ca="1">ROUND(IF(D32="楼面单价",C32,H118*10000/B118),0)</f>
        <v>#DIV/0!</v>
      </c>
    </row>
    <row r="119" spans="1:11" ht="18.75" customHeight="1">
      <c r="A119" s="3512" t="s">
        <v>2320</v>
      </c>
      <c r="B119" s="3512"/>
      <c r="C119" s="3512"/>
      <c r="D119" s="3557" t="e">
        <f ca="1">NUMBERSTRING(INT(D118*10000),2)&amp;"元整"</f>
        <v>#REF!</v>
      </c>
      <c r="E119" s="3558"/>
      <c r="F119" s="3557" t="e">
        <f ca="1">NUMBERSTRING(INT(F118*10000),2)&amp;"元整"</f>
        <v>#REF!</v>
      </c>
      <c r="G119" s="3558"/>
      <c r="H119" s="3557" t="str">
        <f ca="1">NUMBERSTRING(INT(H118*10000),2)&amp;"元整"</f>
        <v>肆亿捌仟捌佰零伍万元整</v>
      </c>
      <c r="I119" s="3558"/>
    </row>
    <row r="120" spans="1:11" ht="18.75" customHeight="1">
      <c r="A120" s="3552" t="str">
        <f>IF(项目基本情况!B9="房地产市场价值","",MID(E103,3,LEN(E103)-2))</f>
        <v>估价师知悉的法定优先受偿款</v>
      </c>
      <c r="B120" s="3553"/>
      <c r="C120" s="3554"/>
      <c r="D120" s="3552">
        <f>H103</f>
        <v>0</v>
      </c>
      <c r="E120" s="3553"/>
      <c r="F120" s="3553"/>
      <c r="G120" s="3553"/>
      <c r="H120" s="3553"/>
      <c r="I120" s="3554"/>
      <c r="K120" s="2420" t="str">
        <f>IF(D120=0,"故，本次评估不存在"&amp;A120,"故，本次评估"&amp;A120&amp;"为人民币"&amp;D120&amp;"万元整。")</f>
        <v>故，本次评估不存在估价师知悉的法定优先受偿款</v>
      </c>
    </row>
    <row r="121" spans="1:11" ht="18.75" customHeight="1">
      <c r="A121" s="3598" t="s">
        <v>2320</v>
      </c>
      <c r="B121" s="3599"/>
      <c r="C121" s="3600"/>
      <c r="D121" s="3557" t="str">
        <f>IF(D120=0,"零元整",NUMBERSTRING(INT(D120*10000),2)&amp;"元整")</f>
        <v>零元整</v>
      </c>
      <c r="E121" s="3559"/>
      <c r="F121" s="3559"/>
      <c r="G121" s="3559"/>
      <c r="H121" s="3559"/>
      <c r="I121" s="3558"/>
    </row>
    <row r="122" spans="1:11" ht="18.75" customHeight="1">
      <c r="A122" s="3563" t="str">
        <f>IF(项目基本情况!B9="房地产市场价值","",MID(E107,3,LEN(E107)-2))</f>
        <v>房地产抵押价值</v>
      </c>
      <c r="B122" s="3563"/>
      <c r="C122" s="3563"/>
      <c r="D122" s="3552">
        <f ca="1">H107</f>
        <v>48805</v>
      </c>
      <c r="E122" s="3553"/>
      <c r="F122" s="3553"/>
      <c r="G122" s="3553"/>
      <c r="H122" s="3553"/>
      <c r="I122" s="3554"/>
    </row>
    <row r="123" spans="1:11" ht="18.75" customHeight="1">
      <c r="A123" s="3512" t="s">
        <v>2320</v>
      </c>
      <c r="B123" s="3512"/>
      <c r="C123" s="3512"/>
      <c r="D123" s="3557" t="str">
        <f ca="1">NUMBERSTRING(INT(D122*10000),2)&amp;"元整"</f>
        <v>肆亿捌仟捌佰零伍万元整</v>
      </c>
      <c r="E123" s="3559"/>
      <c r="F123" s="3559"/>
      <c r="G123" s="3559"/>
      <c r="H123" s="3559"/>
      <c r="I123" s="3558"/>
    </row>
    <row r="124" spans="1:11" ht="18.75" customHeight="1">
      <c r="A124" s="3563" t="str">
        <f>IF(项目基本情况!B9="房地产市场价值","",MID(E109,3,LEN(E109)-2))</f>
        <v/>
      </c>
      <c r="B124" s="3563"/>
      <c r="C124" s="3563"/>
      <c r="D124" s="3552" t="str">
        <f>H109</f>
        <v>——</v>
      </c>
      <c r="E124" s="3553"/>
      <c r="F124" s="3553"/>
      <c r="G124" s="3553"/>
      <c r="H124" s="3553"/>
      <c r="I124" s="3554"/>
    </row>
    <row r="125" spans="1:11" ht="18.75" customHeight="1">
      <c r="A125" s="3512" t="s">
        <v>2320</v>
      </c>
      <c r="B125" s="3512"/>
      <c r="C125" s="3512"/>
      <c r="D125" s="3557" t="e">
        <f>NUMBERSTRING(INT(D124*10000),2)&amp;"元整"</f>
        <v>#VALUE!</v>
      </c>
      <c r="E125" s="3559"/>
      <c r="F125" s="3559"/>
      <c r="G125" s="3559"/>
      <c r="H125" s="3559"/>
      <c r="I125" s="3558"/>
    </row>
    <row r="126" spans="1:11" ht="18.75" customHeight="1">
      <c r="A126" s="3563" t="str">
        <f>IF(项目基本情况!B9="房地产市场价值","",MID(E111,3,LEN(E111)-2))</f>
        <v/>
      </c>
      <c r="B126" s="3563"/>
      <c r="C126" s="3563"/>
      <c r="D126" s="3552" t="str">
        <f>H111</f>
        <v>——</v>
      </c>
      <c r="E126" s="3553"/>
      <c r="F126" s="3553"/>
      <c r="G126" s="3553"/>
      <c r="H126" s="3553"/>
      <c r="I126" s="3554"/>
    </row>
    <row r="127" spans="1:11" ht="18.75" customHeight="1">
      <c r="A127" s="3512" t="s">
        <v>2320</v>
      </c>
      <c r="B127" s="3512"/>
      <c r="C127" s="3512"/>
      <c r="D127" s="3557" t="e">
        <f>NUMBERSTRING(INT(D126*10000),2)&amp;"元整"</f>
        <v>#VALUE!</v>
      </c>
      <c r="E127" s="3559"/>
      <c r="F127" s="3559"/>
      <c r="G127" s="3559"/>
      <c r="H127" s="3559"/>
      <c r="I127" s="3558"/>
    </row>
    <row r="128" spans="1:11" ht="21.75" customHeight="1">
      <c r="A128" s="3560" t="s">
        <v>2321</v>
      </c>
      <c r="B128" s="3560"/>
      <c r="C128" s="3560"/>
      <c r="D128" s="3560"/>
      <c r="E128" s="3560"/>
      <c r="F128" s="3560"/>
      <c r="G128" s="3560"/>
      <c r="H128" s="3560"/>
      <c r="I128" s="3560"/>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0" zoomScale="90" zoomScaleNormal="90" workbookViewId="0">
      <selection activeCell="L53" sqref="L5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56752</v>
      </c>
      <c r="C3" s="399" t="s">
        <v>2647</v>
      </c>
      <c r="D3" s="398">
        <f>IF(D1="",'数据-汇总表'!E3,SUMIF('数据-汇总表'!$C19:$C33,D1,'数据-汇总表'!$E19:$E33))</f>
        <v>0</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64" t="s">
        <v>2651</v>
      </c>
      <c r="AC4" s="3632" t="s">
        <v>2652</v>
      </c>
    </row>
    <row r="5" spans="1:29" ht="15">
      <c r="A5" s="403"/>
      <c r="B5" s="404"/>
      <c r="C5" s="3643" t="s">
        <v>2545</v>
      </c>
      <c r="D5" s="3644"/>
      <c r="E5" s="3747" t="s">
        <v>3219</v>
      </c>
      <c r="F5" s="3748"/>
      <c r="G5" s="3749" t="s">
        <v>3220</v>
      </c>
      <c r="H5" s="3644"/>
      <c r="I5" s="3749" t="s">
        <v>3221</v>
      </c>
      <c r="J5" s="3644"/>
      <c r="K5" s="609"/>
      <c r="L5" s="1126"/>
      <c r="M5" s="1127"/>
      <c r="N5" s="1127"/>
      <c r="O5" s="1127"/>
      <c r="P5" s="3658"/>
      <c r="Q5" s="3659"/>
      <c r="R5" s="3639"/>
      <c r="S5" s="3640"/>
      <c r="T5" s="3639"/>
      <c r="U5" s="3640"/>
      <c r="V5" s="3664"/>
      <c r="W5" s="3664"/>
      <c r="X5" s="1809"/>
      <c r="Y5" s="3639"/>
      <c r="Z5" s="3640"/>
      <c r="AA5" s="3633"/>
      <c r="AB5" s="3664"/>
      <c r="AC5" s="3633"/>
    </row>
    <row r="6" spans="1:29" ht="15.75" thickBot="1">
      <c r="A6" s="405"/>
      <c r="B6" s="406"/>
      <c r="C6" s="3645" t="s">
        <v>2549</v>
      </c>
      <c r="D6" s="3646"/>
      <c r="E6" s="3750" t="s">
        <v>3222</v>
      </c>
      <c r="F6" s="3650"/>
      <c r="G6" s="3751" t="s">
        <v>3223</v>
      </c>
      <c r="H6" s="3646"/>
      <c r="I6" s="3751" t="s">
        <v>3224</v>
      </c>
      <c r="J6" s="3646"/>
      <c r="K6" s="609" t="s">
        <v>2550</v>
      </c>
      <c r="L6" s="1126"/>
      <c r="M6" s="1127"/>
      <c r="N6" s="1127"/>
      <c r="O6" s="1127"/>
      <c r="P6" s="3660"/>
      <c r="Q6" s="3661"/>
      <c r="R6" s="3639"/>
      <c r="S6" s="3640"/>
      <c r="T6" s="3662"/>
      <c r="U6" s="3663"/>
      <c r="V6" s="3664"/>
      <c r="W6" s="3664"/>
      <c r="X6" s="1809"/>
      <c r="Y6" s="3662"/>
      <c r="Z6" s="3663"/>
      <c r="AA6" s="3634"/>
      <c r="AB6" s="3664"/>
      <c r="AC6" s="363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35" t="s">
        <v>2552</v>
      </c>
      <c r="Q7" s="3665"/>
      <c r="R7" s="766" t="s">
        <v>17</v>
      </c>
      <c r="S7" s="767">
        <f t="shared" ref="S7:S15" si="0">F7</f>
        <v>100</v>
      </c>
      <c r="T7" s="766" t="s">
        <v>17</v>
      </c>
      <c r="U7" s="767">
        <f t="shared" ref="U7:U15" si="1">H7</f>
        <v>100</v>
      </c>
      <c r="V7" s="766" t="s">
        <v>17</v>
      </c>
      <c r="W7" s="767">
        <f t="shared" ref="W7:W15" si="2">J7</f>
        <v>100</v>
      </c>
      <c r="X7" s="768"/>
      <c r="Y7" s="3635" t="s">
        <v>2552</v>
      </c>
      <c r="Z7" s="3636"/>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35" t="s">
        <v>2555</v>
      </c>
      <c r="Q8" s="3636"/>
      <c r="R8" s="766" t="s">
        <v>17</v>
      </c>
      <c r="S8" s="767">
        <f t="shared" si="0"/>
        <v>100</v>
      </c>
      <c r="T8" s="766" t="s">
        <v>17</v>
      </c>
      <c r="U8" s="767">
        <f t="shared" si="1"/>
        <v>100</v>
      </c>
      <c r="V8" s="766" t="s">
        <v>17</v>
      </c>
      <c r="W8" s="767">
        <f t="shared" si="2"/>
        <v>100</v>
      </c>
      <c r="X8" s="768"/>
      <c r="Y8" s="3635" t="s">
        <v>2555</v>
      </c>
      <c r="Z8" s="3636"/>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51"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51"/>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51"/>
      <c r="Q11" s="1791" t="str">
        <f t="shared" si="6"/>
        <v>容积率</v>
      </c>
      <c r="R11" s="766" t="s">
        <v>17</v>
      </c>
      <c r="S11" s="767">
        <f t="shared" si="0"/>
        <v>100</v>
      </c>
      <c r="T11" s="766" t="s">
        <v>17</v>
      </c>
      <c r="U11" s="767">
        <f t="shared" si="1"/>
        <v>100</v>
      </c>
      <c r="V11" s="766" t="s">
        <v>17</v>
      </c>
      <c r="W11" s="767">
        <f t="shared" si="2"/>
        <v>100</v>
      </c>
      <c r="X11" s="768"/>
      <c r="Y11" s="3512"/>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51"/>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51"/>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51"/>
      <c r="Q14" s="1791">
        <f t="shared" si="6"/>
        <v>111</v>
      </c>
      <c r="R14" s="766" t="s">
        <v>17</v>
      </c>
      <c r="S14" s="767">
        <f t="shared" si="0"/>
        <v>100</v>
      </c>
      <c r="T14" s="766" t="s">
        <v>17</v>
      </c>
      <c r="U14" s="767">
        <f t="shared" si="1"/>
        <v>100</v>
      </c>
      <c r="V14" s="766" t="s">
        <v>17</v>
      </c>
      <c r="W14" s="767">
        <f t="shared" si="2"/>
        <v>100</v>
      </c>
      <c r="X14" s="768"/>
      <c r="Y14" s="3512"/>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78" t="s">
        <v>2563</v>
      </c>
      <c r="Q15" s="1806" t="str">
        <f t="shared" si="6"/>
        <v>商业繁华度</v>
      </c>
      <c r="R15" s="770" t="s">
        <v>17</v>
      </c>
      <c r="S15" s="771">
        <f t="shared" si="0"/>
        <v>95</v>
      </c>
      <c r="T15" s="770" t="s">
        <v>17</v>
      </c>
      <c r="U15" s="771">
        <f t="shared" si="1"/>
        <v>95</v>
      </c>
      <c r="V15" s="770" t="s">
        <v>17</v>
      </c>
      <c r="W15" s="771">
        <f t="shared" si="2"/>
        <v>95</v>
      </c>
      <c r="X15" s="1809"/>
      <c r="Y15" s="3671"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79"/>
      <c r="Q16" s="1806"/>
      <c r="R16" s="770"/>
      <c r="S16" s="771"/>
      <c r="T16" s="770"/>
      <c r="U16" s="771"/>
      <c r="V16" s="770"/>
      <c r="W16" s="771"/>
      <c r="X16" s="1809"/>
      <c r="Y16" s="3672"/>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79"/>
      <c r="Q17" s="1806" t="str">
        <f>B17</f>
        <v>交通便捷度</v>
      </c>
      <c r="R17" s="770" t="s">
        <v>17</v>
      </c>
      <c r="S17" s="771">
        <f>F17</f>
        <v>95</v>
      </c>
      <c r="T17" s="770" t="s">
        <v>17</v>
      </c>
      <c r="U17" s="771">
        <f>H17</f>
        <v>95</v>
      </c>
      <c r="V17" s="770" t="s">
        <v>17</v>
      </c>
      <c r="W17" s="771">
        <f>J17</f>
        <v>95</v>
      </c>
      <c r="X17" s="1809"/>
      <c r="Y17" s="3672"/>
      <c r="Z17" s="1810" t="str">
        <f>Q17</f>
        <v>交通便捷度</v>
      </c>
      <c r="AA17" s="1807">
        <f t="shared" si="3"/>
        <v>1.0526315789473684</v>
      </c>
      <c r="AB17" s="1807">
        <f t="shared" si="4"/>
        <v>1.0526315789473684</v>
      </c>
      <c r="AC17" s="1807">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79"/>
      <c r="Q18" s="1806"/>
      <c r="R18" s="770"/>
      <c r="S18" s="771"/>
      <c r="T18" s="770"/>
      <c r="U18" s="771"/>
      <c r="V18" s="770"/>
      <c r="W18" s="771"/>
      <c r="X18" s="1809"/>
      <c r="Y18" s="3672"/>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79"/>
      <c r="Q19" s="1806" t="str">
        <f>B19</f>
        <v>公共配套设施</v>
      </c>
      <c r="R19" s="770" t="s">
        <v>17</v>
      </c>
      <c r="S19" s="771">
        <f>F19</f>
        <v>100</v>
      </c>
      <c r="T19" s="770" t="s">
        <v>17</v>
      </c>
      <c r="U19" s="771">
        <f>H19</f>
        <v>100</v>
      </c>
      <c r="V19" s="770" t="s">
        <v>17</v>
      </c>
      <c r="W19" s="771">
        <f>J19</f>
        <v>100</v>
      </c>
      <c r="X19" s="1809"/>
      <c r="Y19" s="3672"/>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79"/>
      <c r="Q20" s="1806"/>
      <c r="R20" s="770"/>
      <c r="S20" s="771"/>
      <c r="T20" s="770"/>
      <c r="U20" s="771"/>
      <c r="V20" s="770"/>
      <c r="W20" s="771"/>
      <c r="X20" s="1809"/>
      <c r="Y20" s="3672"/>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79"/>
      <c r="Q21" s="1806" t="str">
        <f>B21</f>
        <v>基础设施水平</v>
      </c>
      <c r="R21" s="770" t="s">
        <v>17</v>
      </c>
      <c r="S21" s="771">
        <f>F21</f>
        <v>100</v>
      </c>
      <c r="T21" s="770" t="s">
        <v>17</v>
      </c>
      <c r="U21" s="771">
        <f>H21</f>
        <v>100</v>
      </c>
      <c r="V21" s="770" t="s">
        <v>17</v>
      </c>
      <c r="W21" s="771">
        <f>J21</f>
        <v>100</v>
      </c>
      <c r="X21" s="1809"/>
      <c r="Y21" s="3672"/>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79"/>
      <c r="Q22" s="1806"/>
      <c r="R22" s="770"/>
      <c r="S22" s="771"/>
      <c r="T22" s="770"/>
      <c r="U22" s="771"/>
      <c r="V22" s="770"/>
      <c r="W22" s="771"/>
      <c r="X22" s="1809"/>
      <c r="Y22" s="3672"/>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79"/>
      <c r="Q23" s="1806" t="str">
        <f>B23</f>
        <v>自然及人文环境</v>
      </c>
      <c r="R23" s="770" t="s">
        <v>17</v>
      </c>
      <c r="S23" s="771">
        <f>F23</f>
        <v>97</v>
      </c>
      <c r="T23" s="770" t="s">
        <v>17</v>
      </c>
      <c r="U23" s="771">
        <f>H23</f>
        <v>97</v>
      </c>
      <c r="V23" s="770" t="s">
        <v>17</v>
      </c>
      <c r="W23" s="771">
        <f>J23</f>
        <v>97</v>
      </c>
      <c r="X23" s="1809"/>
      <c r="Y23" s="3672"/>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79"/>
      <c r="Q24" s="1806"/>
      <c r="R24" s="770"/>
      <c r="S24" s="771"/>
      <c r="T24" s="770"/>
      <c r="U24" s="771"/>
      <c r="V24" s="770"/>
      <c r="W24" s="771"/>
      <c r="X24" s="1809"/>
      <c r="Y24" s="3672"/>
      <c r="Z24" s="1810"/>
      <c r="AA24" s="1807">
        <v>1</v>
      </c>
      <c r="AB24" s="1807">
        <v>1</v>
      </c>
      <c r="AC24" s="1807">
        <v>1</v>
      </c>
    </row>
    <row r="25" spans="1:29" ht="15">
      <c r="A25" s="427"/>
      <c r="B25" s="421"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79"/>
      <c r="Q25" s="1806" t="str">
        <f t="shared" ref="Q25:Q46" si="11">B25</f>
        <v>临街状况</v>
      </c>
      <c r="R25" s="770" t="s">
        <v>17</v>
      </c>
      <c r="S25" s="771">
        <f>F25</f>
        <v>100</v>
      </c>
      <c r="T25" s="770" t="s">
        <v>17</v>
      </c>
      <c r="U25" s="771">
        <f>H25</f>
        <v>100</v>
      </c>
      <c r="V25" s="770" t="s">
        <v>17</v>
      </c>
      <c r="W25" s="771">
        <f>J25</f>
        <v>100</v>
      </c>
      <c r="X25" s="1809"/>
      <c r="Y25" s="3672"/>
      <c r="Z25" s="1810" t="str">
        <f>Q25</f>
        <v>临街状况</v>
      </c>
      <c r="AA25" s="1807">
        <f t="shared" si="3"/>
        <v>1</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79"/>
      <c r="Q26" s="1806" t="str">
        <f t="shared" si="11"/>
        <v>平面位置/可视性</v>
      </c>
      <c r="R26" s="770" t="s">
        <v>17</v>
      </c>
      <c r="S26" s="771">
        <f>F26</f>
        <v>100</v>
      </c>
      <c r="T26" s="770" t="s">
        <v>17</v>
      </c>
      <c r="U26" s="771">
        <f>H26</f>
        <v>100</v>
      </c>
      <c r="V26" s="770" t="s">
        <v>17</v>
      </c>
      <c r="W26" s="771">
        <f>J26</f>
        <v>100</v>
      </c>
      <c r="X26" s="1809"/>
      <c r="Y26" s="3672"/>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3257</v>
      </c>
      <c r="F27" s="463">
        <f>SUMIF(90:90,E27,91:91)-SUMIF(90:90,C27,91:91)+100</f>
        <v>98</v>
      </c>
      <c r="G27" s="2664" t="s">
        <v>3257</v>
      </c>
      <c r="H27" s="461">
        <f>SUMIF(90:90,G27,91:91)-SUMIF(90:90,C27,91:91)+100</f>
        <v>98</v>
      </c>
      <c r="I27" s="2664" t="s">
        <v>3257</v>
      </c>
      <c r="J27" s="461">
        <f>SUMIF(90:90,I27,91:91)-SUMIF(90:90,C27,91:91)+100</f>
        <v>98</v>
      </c>
      <c r="K27" s="611">
        <v>2</v>
      </c>
      <c r="L27" s="1128"/>
      <c r="M27" s="1129"/>
      <c r="N27" s="1129"/>
      <c r="O27" s="1129"/>
      <c r="P27" s="3679"/>
      <c r="Q27" s="1791" t="str">
        <f t="shared" si="11"/>
        <v>人流量</v>
      </c>
      <c r="R27" s="766" t="s">
        <v>17</v>
      </c>
      <c r="S27" s="767">
        <f>F27</f>
        <v>98</v>
      </c>
      <c r="T27" s="766" t="s">
        <v>17</v>
      </c>
      <c r="U27" s="767">
        <f>H27</f>
        <v>98</v>
      </c>
      <c r="V27" s="766" t="s">
        <v>17</v>
      </c>
      <c r="W27" s="767">
        <f>J27</f>
        <v>98</v>
      </c>
      <c r="X27" s="768"/>
      <c r="Y27" s="3672"/>
      <c r="Z27" s="55" t="str">
        <f>Q27</f>
        <v>人流量</v>
      </c>
      <c r="AA27" s="1807">
        <f>D27/F27</f>
        <v>1.0204081632653061</v>
      </c>
      <c r="AB27" s="1807">
        <f>D27/H27</f>
        <v>1.0204081632653061</v>
      </c>
      <c r="AC27" s="1807">
        <f>D27/J27</f>
        <v>1.0204081632653061</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79"/>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7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79"/>
      <c r="Q29" s="1806">
        <f t="shared" si="11"/>
        <v>111</v>
      </c>
      <c r="R29" s="770" t="s">
        <v>17</v>
      </c>
      <c r="S29" s="771">
        <f t="shared" si="12"/>
        <v>100</v>
      </c>
      <c r="T29" s="770" t="s">
        <v>17</v>
      </c>
      <c r="U29" s="771">
        <f t="shared" si="13"/>
        <v>100</v>
      </c>
      <c r="V29" s="770" t="s">
        <v>17</v>
      </c>
      <c r="W29" s="771">
        <f t="shared" si="14"/>
        <v>100</v>
      </c>
      <c r="X29" s="1809"/>
      <c r="Y29" s="367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79"/>
      <c r="Q30" s="1806">
        <f t="shared" si="11"/>
        <v>111</v>
      </c>
      <c r="R30" s="770" t="s">
        <v>17</v>
      </c>
      <c r="S30" s="771">
        <f t="shared" si="12"/>
        <v>100</v>
      </c>
      <c r="T30" s="770" t="s">
        <v>17</v>
      </c>
      <c r="U30" s="771">
        <f t="shared" si="13"/>
        <v>100</v>
      </c>
      <c r="V30" s="770" t="s">
        <v>17</v>
      </c>
      <c r="W30" s="771">
        <f t="shared" si="14"/>
        <v>100</v>
      </c>
      <c r="X30" s="1809"/>
      <c r="Y30" s="3672"/>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79"/>
      <c r="Q31" s="1806">
        <f t="shared" si="11"/>
        <v>111</v>
      </c>
      <c r="R31" s="770" t="s">
        <v>17</v>
      </c>
      <c r="S31" s="771">
        <f t="shared" si="12"/>
        <v>100</v>
      </c>
      <c r="T31" s="770" t="s">
        <v>17</v>
      </c>
      <c r="U31" s="771">
        <f t="shared" si="13"/>
        <v>100</v>
      </c>
      <c r="V31" s="770" t="s">
        <v>17</v>
      </c>
      <c r="W31" s="771">
        <f t="shared" si="14"/>
        <v>100</v>
      </c>
      <c r="X31" s="1809"/>
      <c r="Y31" s="3672"/>
      <c r="Z31" s="1810">
        <f t="shared" si="15"/>
        <v>111</v>
      </c>
      <c r="AA31" s="1807">
        <f t="shared" si="3"/>
        <v>1</v>
      </c>
      <c r="AB31" s="1807">
        <f t="shared" si="4"/>
        <v>1</v>
      </c>
      <c r="AC31" s="1807">
        <f t="shared" si="5"/>
        <v>1</v>
      </c>
    </row>
    <row r="32" spans="1:29" ht="15">
      <c r="A32" s="439" t="s">
        <v>2566</v>
      </c>
      <c r="B32" s="71" t="s">
        <v>2663</v>
      </c>
      <c r="C32" s="2616" t="s">
        <v>3260</v>
      </c>
      <c r="D32" s="466">
        <v>100</v>
      </c>
      <c r="E32" s="2616" t="s">
        <v>3260</v>
      </c>
      <c r="F32" s="460">
        <f>SUMIF(100:100,E32,101:101)-SUMIF(100:100,C32,101:101)+100</f>
        <v>100</v>
      </c>
      <c r="G32" s="2616" t="s">
        <v>3260</v>
      </c>
      <c r="H32" s="434">
        <f>SUMIF(100:100,G32,101:101)-SUMIF(100:100,C32,101:101)+100</f>
        <v>100</v>
      </c>
      <c r="I32" s="2616" t="s">
        <v>3261</v>
      </c>
      <c r="J32" s="466">
        <f>SUMIF(100:100,I32,101:101)-SUMIF(100:100,C32,101:101)+100</f>
        <v>101</v>
      </c>
      <c r="K32" s="611">
        <v>1</v>
      </c>
      <c r="L32" s="1136"/>
      <c r="M32" s="1127"/>
      <c r="N32" s="1127"/>
      <c r="O32" s="1127"/>
      <c r="P32" s="3673" t="s">
        <v>2568</v>
      </c>
      <c r="Q32" s="1806" t="str">
        <f t="shared" si="11"/>
        <v>商业类型</v>
      </c>
      <c r="R32" s="770" t="s">
        <v>17</v>
      </c>
      <c r="S32" s="771">
        <f t="shared" si="12"/>
        <v>100</v>
      </c>
      <c r="T32" s="770" t="s">
        <v>17</v>
      </c>
      <c r="U32" s="771">
        <f t="shared" si="13"/>
        <v>100</v>
      </c>
      <c r="V32" s="770" t="s">
        <v>17</v>
      </c>
      <c r="W32" s="771">
        <f t="shared" si="14"/>
        <v>101</v>
      </c>
      <c r="X32" s="1809"/>
      <c r="Y32" s="3676" t="s">
        <v>2568</v>
      </c>
      <c r="Z32" s="1810" t="str">
        <f t="shared" si="15"/>
        <v>商业类型</v>
      </c>
      <c r="AA32" s="1807">
        <f t="shared" si="3"/>
        <v>1</v>
      </c>
      <c r="AB32" s="1807">
        <f t="shared" si="4"/>
        <v>1</v>
      </c>
      <c r="AC32" s="1807">
        <f t="shared" si="5"/>
        <v>0.99009900990099009</v>
      </c>
    </row>
    <row r="33" spans="1:29" s="470" customFormat="1" ht="15">
      <c r="A33" s="467"/>
      <c r="B33" s="421" t="s">
        <v>2569</v>
      </c>
      <c r="C33" s="468">
        <f>典型户型修正!B24</f>
        <v>356.83</v>
      </c>
      <c r="D33" s="135">
        <v>100</v>
      </c>
      <c r="E33" s="429">
        <v>237</v>
      </c>
      <c r="F33" s="424">
        <f>LOOKUP(E33,103:103,104:104)-LOOKUP(C33,103:103,104:104)+100</f>
        <v>102</v>
      </c>
      <c r="G33" s="428">
        <v>150</v>
      </c>
      <c r="H33" s="135">
        <f>LOOKUP(G33,103:103,104:104)-LOOKUP(C33,103:103,104:104)+100</f>
        <v>104</v>
      </c>
      <c r="I33" s="428">
        <v>120</v>
      </c>
      <c r="J33" s="135">
        <f>LOOKUP(I33,103:103,104:104)-LOOKUP(C33,103:103,104:104)+100</f>
        <v>104</v>
      </c>
      <c r="K33" s="612"/>
      <c r="L33" s="1134"/>
      <c r="M33" s="1137"/>
      <c r="N33" s="1137"/>
      <c r="O33" s="1137"/>
      <c r="P33" s="3674"/>
      <c r="Q33" s="772" t="str">
        <f t="shared" si="11"/>
        <v>项目建筑规模</v>
      </c>
      <c r="R33" s="773" t="s">
        <v>17</v>
      </c>
      <c r="S33" s="774">
        <f t="shared" si="12"/>
        <v>102</v>
      </c>
      <c r="T33" s="773" t="s">
        <v>17</v>
      </c>
      <c r="U33" s="774">
        <f t="shared" si="13"/>
        <v>104</v>
      </c>
      <c r="V33" s="773" t="s">
        <v>17</v>
      </c>
      <c r="W33" s="774">
        <f t="shared" si="14"/>
        <v>104</v>
      </c>
      <c r="X33" s="775"/>
      <c r="Y33" s="3676"/>
      <c r="Z33" s="776" t="str">
        <f t="shared" si="15"/>
        <v>项目建筑规模</v>
      </c>
      <c r="AA33" s="1807">
        <f t="shared" si="3"/>
        <v>0.98039215686274506</v>
      </c>
      <c r="AB33" s="1807">
        <f t="shared" si="4"/>
        <v>0.96153846153846156</v>
      </c>
      <c r="AC33" s="1807">
        <f t="shared" si="5"/>
        <v>0.96153846153846156</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74"/>
      <c r="Q34" s="1806" t="str">
        <f t="shared" si="11"/>
        <v>建筑结构</v>
      </c>
      <c r="R34" s="770" t="s">
        <v>17</v>
      </c>
      <c r="S34" s="771">
        <f t="shared" si="12"/>
        <v>100</v>
      </c>
      <c r="T34" s="770" t="s">
        <v>17</v>
      </c>
      <c r="U34" s="771">
        <f t="shared" si="13"/>
        <v>100</v>
      </c>
      <c r="V34" s="770" t="s">
        <v>17</v>
      </c>
      <c r="W34" s="771">
        <f t="shared" si="14"/>
        <v>100</v>
      </c>
      <c r="X34" s="1809"/>
      <c r="Y34" s="3676"/>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74"/>
      <c r="Q35" s="1806" t="str">
        <f t="shared" si="11"/>
        <v>公共部分装修</v>
      </c>
      <c r="R35" s="770" t="s">
        <v>17</v>
      </c>
      <c r="S35" s="771">
        <f t="shared" si="12"/>
        <v>100</v>
      </c>
      <c r="T35" s="770" t="s">
        <v>17</v>
      </c>
      <c r="U35" s="771">
        <f t="shared" si="13"/>
        <v>100</v>
      </c>
      <c r="V35" s="770" t="s">
        <v>17</v>
      </c>
      <c r="W35" s="771">
        <f t="shared" si="14"/>
        <v>100</v>
      </c>
      <c r="X35" s="1809"/>
      <c r="Y35" s="3676"/>
      <c r="Z35" s="1810" t="str">
        <f t="shared" si="15"/>
        <v>公共部分装修</v>
      </c>
      <c r="AA35" s="1807">
        <f t="shared" si="3"/>
        <v>1</v>
      </c>
      <c r="AB35" s="1807">
        <f t="shared" si="4"/>
        <v>1</v>
      </c>
      <c r="AC35" s="1807">
        <f t="shared" si="5"/>
        <v>1</v>
      </c>
    </row>
    <row r="36" spans="1:29" ht="15">
      <c r="A36" s="471"/>
      <c r="B36" s="421"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74"/>
      <c r="Q36" s="1806" t="str">
        <f t="shared" si="11"/>
        <v>成新度</v>
      </c>
      <c r="R36" s="770" t="s">
        <v>17</v>
      </c>
      <c r="S36" s="771">
        <f t="shared" si="12"/>
        <v>98</v>
      </c>
      <c r="T36" s="770" t="s">
        <v>17</v>
      </c>
      <c r="U36" s="771">
        <f t="shared" si="13"/>
        <v>98</v>
      </c>
      <c r="V36" s="770" t="s">
        <v>17</v>
      </c>
      <c r="W36" s="771">
        <f t="shared" si="14"/>
        <v>98</v>
      </c>
      <c r="X36" s="1809"/>
      <c r="Y36" s="3676"/>
      <c r="Z36" s="1810" t="str">
        <f t="shared" si="15"/>
        <v>成新度</v>
      </c>
      <c r="AA36" s="1807">
        <f t="shared" si="3"/>
        <v>1.0204081632653061</v>
      </c>
      <c r="AB36" s="1807">
        <f t="shared" si="4"/>
        <v>1.0204081632653061</v>
      </c>
      <c r="AC36" s="1807">
        <f t="shared" si="5"/>
        <v>1.0204081632653061</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74"/>
      <c r="Q37" s="1791" t="str">
        <f t="shared" si="11"/>
        <v>市政基础设施</v>
      </c>
      <c r="R37" s="766" t="s">
        <v>17</v>
      </c>
      <c r="S37" s="767">
        <f t="shared" si="12"/>
        <v>100</v>
      </c>
      <c r="T37" s="766" t="s">
        <v>17</v>
      </c>
      <c r="U37" s="767">
        <f t="shared" si="13"/>
        <v>100</v>
      </c>
      <c r="V37" s="766" t="s">
        <v>17</v>
      </c>
      <c r="W37" s="767">
        <f t="shared" si="14"/>
        <v>100</v>
      </c>
      <c r="X37" s="768"/>
      <c r="Y37" s="3676"/>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74" t="s">
        <v>2568</v>
      </c>
      <c r="Q38" s="1806" t="str">
        <f t="shared" si="11"/>
        <v>业态</v>
      </c>
      <c r="R38" s="770" t="s">
        <v>17</v>
      </c>
      <c r="S38" s="771">
        <f t="shared" si="12"/>
        <v>100</v>
      </c>
      <c r="T38" s="770" t="s">
        <v>17</v>
      </c>
      <c r="U38" s="771">
        <f t="shared" si="13"/>
        <v>100</v>
      </c>
      <c r="V38" s="770" t="s">
        <v>17</v>
      </c>
      <c r="W38" s="771">
        <f t="shared" si="14"/>
        <v>100</v>
      </c>
      <c r="X38" s="1809"/>
      <c r="Y38" s="3676"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74"/>
      <c r="Q39" s="1806" t="str">
        <f t="shared" si="11"/>
        <v>层高</v>
      </c>
      <c r="R39" s="770" t="s">
        <v>17</v>
      </c>
      <c r="S39" s="771">
        <f t="shared" si="12"/>
        <v>95</v>
      </c>
      <c r="T39" s="770" t="s">
        <v>17</v>
      </c>
      <c r="U39" s="771">
        <f t="shared" si="13"/>
        <v>95</v>
      </c>
      <c r="V39" s="770" t="s">
        <v>17</v>
      </c>
      <c r="W39" s="771">
        <f t="shared" si="14"/>
        <v>95</v>
      </c>
      <c r="X39" s="1809"/>
      <c r="Y39" s="3676"/>
      <c r="Z39" s="1810" t="str">
        <f t="shared" si="15"/>
        <v>层高</v>
      </c>
      <c r="AA39" s="1807">
        <f t="shared" si="3"/>
        <v>1.0526315789473684</v>
      </c>
      <c r="AB39" s="1807">
        <f t="shared" si="4"/>
        <v>1.0526315789473684</v>
      </c>
      <c r="AC39" s="1807">
        <f t="shared" si="5"/>
        <v>1.0526315789473684</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74"/>
      <c r="Q40" s="1806" t="str">
        <f t="shared" si="11"/>
        <v>单套建筑面积</v>
      </c>
      <c r="R40" s="770" t="s">
        <v>17</v>
      </c>
      <c r="S40" s="771">
        <f t="shared" si="12"/>
        <v>100</v>
      </c>
      <c r="T40" s="770" t="s">
        <v>17</v>
      </c>
      <c r="U40" s="771">
        <f t="shared" si="13"/>
        <v>100</v>
      </c>
      <c r="V40" s="770" t="s">
        <v>17</v>
      </c>
      <c r="W40" s="771">
        <f t="shared" si="14"/>
        <v>100</v>
      </c>
      <c r="X40" s="1809"/>
      <c r="Y40" s="3676"/>
      <c r="Z40" s="1810" t="str">
        <f t="shared" si="15"/>
        <v>单套建筑面积</v>
      </c>
      <c r="AA40" s="1807">
        <f t="shared" si="3"/>
        <v>1</v>
      </c>
      <c r="AB40" s="1807">
        <f t="shared" si="4"/>
        <v>1</v>
      </c>
      <c r="AC40" s="1807">
        <f t="shared" si="5"/>
        <v>1</v>
      </c>
    </row>
    <row r="41" spans="1:29" s="470" customFormat="1" ht="15">
      <c r="A41" s="467"/>
      <c r="B41" s="180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74"/>
      <c r="Q41" s="772" t="str">
        <f t="shared" si="11"/>
        <v>进深比</v>
      </c>
      <c r="R41" s="773" t="s">
        <v>17</v>
      </c>
      <c r="S41" s="774">
        <f t="shared" si="12"/>
        <v>100</v>
      </c>
      <c r="T41" s="773" t="s">
        <v>17</v>
      </c>
      <c r="U41" s="774">
        <f t="shared" si="13"/>
        <v>100</v>
      </c>
      <c r="V41" s="773" t="s">
        <v>17</v>
      </c>
      <c r="W41" s="774">
        <f t="shared" si="14"/>
        <v>100</v>
      </c>
      <c r="X41" s="775"/>
      <c r="Y41" s="3676"/>
      <c r="Z41" s="776" t="str">
        <f t="shared" si="15"/>
        <v>进深比</v>
      </c>
      <c r="AA41" s="1807">
        <f t="shared" si="3"/>
        <v>1</v>
      </c>
      <c r="AB41" s="1807">
        <f t="shared" si="4"/>
        <v>1</v>
      </c>
      <c r="AC41" s="1807">
        <f t="shared" si="5"/>
        <v>1</v>
      </c>
    </row>
    <row r="42" spans="1:29" ht="15">
      <c r="A42" s="471"/>
      <c r="B42" s="421" t="s">
        <v>2671</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v>3</v>
      </c>
      <c r="L42" s="1136"/>
      <c r="M42" s="1127"/>
      <c r="N42" s="1127"/>
      <c r="O42" s="1127"/>
      <c r="P42" s="3674"/>
      <c r="Q42" s="1806" t="str">
        <f t="shared" si="11"/>
        <v>内部装修</v>
      </c>
      <c r="R42" s="770" t="s">
        <v>17</v>
      </c>
      <c r="S42" s="771">
        <f t="shared" si="12"/>
        <v>100</v>
      </c>
      <c r="T42" s="770" t="s">
        <v>17</v>
      </c>
      <c r="U42" s="771">
        <f t="shared" si="13"/>
        <v>100</v>
      </c>
      <c r="V42" s="770" t="s">
        <v>17</v>
      </c>
      <c r="W42" s="771">
        <f t="shared" si="14"/>
        <v>100</v>
      </c>
      <c r="X42" s="1809"/>
      <c r="Y42" s="3676"/>
      <c r="Z42" s="1810" t="str">
        <f t="shared" si="15"/>
        <v>内部装修</v>
      </c>
      <c r="AA42" s="1807">
        <f t="shared" si="3"/>
        <v>1</v>
      </c>
      <c r="AB42" s="1807">
        <f t="shared" si="4"/>
        <v>1</v>
      </c>
      <c r="AC42" s="1807">
        <f t="shared" si="5"/>
        <v>1</v>
      </c>
    </row>
    <row r="43" spans="1:29" ht="15">
      <c r="A43" s="471"/>
      <c r="B43" s="421"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74"/>
      <c r="Q43" s="1806" t="str">
        <f t="shared" si="11"/>
        <v>内部装修维护情况</v>
      </c>
      <c r="R43" s="770" t="s">
        <v>17</v>
      </c>
      <c r="S43" s="771">
        <f t="shared" si="12"/>
        <v>100</v>
      </c>
      <c r="T43" s="770" t="s">
        <v>17</v>
      </c>
      <c r="U43" s="771">
        <f t="shared" si="13"/>
        <v>100</v>
      </c>
      <c r="V43" s="770" t="s">
        <v>17</v>
      </c>
      <c r="W43" s="771">
        <f t="shared" si="14"/>
        <v>100</v>
      </c>
      <c r="X43" s="1809"/>
      <c r="Y43" s="367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74"/>
      <c r="Q44" s="1791">
        <f t="shared" si="11"/>
        <v>111</v>
      </c>
      <c r="R44" s="766" t="s">
        <v>17</v>
      </c>
      <c r="S44" s="767">
        <f t="shared" si="12"/>
        <v>100</v>
      </c>
      <c r="T44" s="766" t="s">
        <v>17</v>
      </c>
      <c r="U44" s="767">
        <f t="shared" si="13"/>
        <v>100</v>
      </c>
      <c r="V44" s="766" t="s">
        <v>17</v>
      </c>
      <c r="W44" s="767">
        <f t="shared" si="14"/>
        <v>100</v>
      </c>
      <c r="X44" s="768"/>
      <c r="Y44" s="3676"/>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74"/>
      <c r="Q45" s="1806">
        <f t="shared" si="11"/>
        <v>111</v>
      </c>
      <c r="R45" s="770" t="s">
        <v>17</v>
      </c>
      <c r="S45" s="771">
        <f t="shared" si="12"/>
        <v>100</v>
      </c>
      <c r="T45" s="770" t="s">
        <v>17</v>
      </c>
      <c r="U45" s="771">
        <f t="shared" si="13"/>
        <v>100</v>
      </c>
      <c r="V45" s="770" t="s">
        <v>17</v>
      </c>
      <c r="W45" s="771">
        <f t="shared" si="14"/>
        <v>100</v>
      </c>
      <c r="X45" s="1809"/>
      <c r="Y45" s="3676"/>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75"/>
      <c r="Q46" s="1806">
        <f t="shared" si="11"/>
        <v>111</v>
      </c>
      <c r="R46" s="770" t="s">
        <v>17</v>
      </c>
      <c r="S46" s="771">
        <f t="shared" si="12"/>
        <v>100</v>
      </c>
      <c r="T46" s="770" t="s">
        <v>17</v>
      </c>
      <c r="U46" s="771">
        <f t="shared" si="13"/>
        <v>100</v>
      </c>
      <c r="V46" s="770" t="s">
        <v>17</v>
      </c>
      <c r="W46" s="771">
        <f t="shared" si="14"/>
        <v>100</v>
      </c>
      <c r="X46" s="1809"/>
      <c r="Y46" s="3677"/>
      <c r="Z46" s="1810">
        <f t="shared" si="15"/>
        <v>111</v>
      </c>
      <c r="AA46" s="1807">
        <f t="shared" si="3"/>
        <v>1</v>
      </c>
      <c r="AB46" s="1807">
        <f t="shared" si="4"/>
        <v>1</v>
      </c>
      <c r="AC46" s="1807">
        <f t="shared" si="5"/>
        <v>1</v>
      </c>
    </row>
    <row r="47" spans="1:29" ht="15">
      <c r="A47" s="478" t="s">
        <v>2580</v>
      </c>
      <c r="B47" s="479"/>
      <c r="C47" s="1403" t="s">
        <v>1</v>
      </c>
      <c r="D47" s="1404"/>
      <c r="E47" s="1405">
        <v>46000</v>
      </c>
      <c r="F47" s="1406"/>
      <c r="G47" s="1407">
        <v>47000</v>
      </c>
      <c r="H47" s="1408"/>
      <c r="I47" s="1405">
        <v>48000</v>
      </c>
      <c r="J47" s="1408"/>
      <c r="K47" s="779"/>
      <c r="L47" s="1139"/>
      <c r="M47" s="1140"/>
      <c r="N47" s="1127"/>
      <c r="O47" s="1140"/>
      <c r="P47" s="3669" t="str">
        <f>A47</f>
        <v>成交单价（元/平方米）</v>
      </c>
      <c r="Q47" s="3669"/>
      <c r="R47" s="3664">
        <f>E47</f>
        <v>46000</v>
      </c>
      <c r="S47" s="3664"/>
      <c r="T47" s="3664">
        <f>G47</f>
        <v>47000</v>
      </c>
      <c r="U47" s="3664"/>
      <c r="V47" s="3664">
        <f>I47</f>
        <v>48000</v>
      </c>
      <c r="W47" s="3664"/>
      <c r="X47" s="755"/>
      <c r="Y47" s="777"/>
      <c r="Z47" s="755"/>
      <c r="AA47" s="755"/>
      <c r="AB47" s="755"/>
      <c r="AC47" s="755"/>
    </row>
    <row r="48" spans="1:29" ht="15.75" thickBot="1">
      <c r="A48" s="485" t="s">
        <v>2672</v>
      </c>
      <c r="B48" s="486"/>
      <c r="C48" s="1409">
        <f>R49</f>
        <v>56752</v>
      </c>
      <c r="D48" s="1410"/>
      <c r="E48" s="1411">
        <f>R48</f>
        <v>56463</v>
      </c>
      <c r="F48" s="1411"/>
      <c r="G48" s="1409">
        <f>T48</f>
        <v>56581</v>
      </c>
      <c r="H48" s="1410"/>
      <c r="I48" s="1411">
        <f>V48</f>
        <v>57213</v>
      </c>
      <c r="J48" s="1410"/>
      <c r="K48" s="780"/>
      <c r="L48" s="1139"/>
      <c r="M48" s="1140"/>
      <c r="N48" s="1127"/>
      <c r="O48" s="1140"/>
      <c r="P48" s="3669" t="str">
        <f>A48</f>
        <v>比较价值（元/平方米）</v>
      </c>
      <c r="Q48" s="3669"/>
      <c r="R48" s="3670">
        <f>IF(F1="售价",ROUND(PRODUCT(R47,AA7:AA46),0),ROUND(PRODUCT(R47,AA7:AA46),1))</f>
        <v>56463</v>
      </c>
      <c r="S48" s="3670"/>
      <c r="T48" s="3670">
        <f>IF(F1="售价",ROUND(PRODUCT(T47,AB7:AB46),0),ROUND(PRODUCT(T47,AB7:AB46),1))</f>
        <v>56581</v>
      </c>
      <c r="U48" s="3670"/>
      <c r="V48" s="3670">
        <f>IF(F1="售价",ROUND(PRODUCT(V47,AC7:AC46),0),ROUND(PRODUCT(V47,AC7:AC46),1))</f>
        <v>57213</v>
      </c>
      <c r="W48" s="3670"/>
      <c r="X48" s="755"/>
      <c r="Y48" s="755"/>
      <c r="Z48" s="755"/>
      <c r="AA48" s="755"/>
      <c r="AB48" s="755"/>
      <c r="AC48" s="755"/>
    </row>
    <row r="49" spans="1:29" ht="15.75" thickBot="1">
      <c r="A49" s="491" t="s">
        <v>2673</v>
      </c>
      <c r="B49" s="492"/>
      <c r="C49" s="1413">
        <f>R49</f>
        <v>56752</v>
      </c>
      <c r="D49" s="1413"/>
      <c r="E49" s="1413"/>
      <c r="F49" s="1413"/>
      <c r="G49" s="1413"/>
      <c r="H49" s="1413"/>
      <c r="I49" s="1413"/>
      <c r="J49" s="1413"/>
      <c r="K49" s="781"/>
      <c r="L49" s="1139"/>
      <c r="M49" s="1140"/>
      <c r="N49" s="1127"/>
      <c r="O49" s="1140"/>
      <c r="P49" s="3666" t="str">
        <f>A49</f>
        <v>估价对象XX用房的比较价值（楼面单价，元/平方米）</v>
      </c>
      <c r="Q49" s="3667"/>
      <c r="R49" s="3668">
        <f>IF(F1="售价",ROUND(AVERAGE(R48:V48),0),ROUND(AVERAGE(R48:V48),1))</f>
        <v>56752</v>
      </c>
      <c r="S49" s="3668"/>
      <c r="T49" s="3668"/>
      <c r="U49" s="3668"/>
      <c r="V49" s="3668"/>
      <c r="W49" s="366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0.22745652173913045</v>
      </c>
      <c r="F52" s="499" t="str">
        <f>IF(OR(E52&gt;=0.3,E52&lt;=-0.3),"超过30%","")</f>
        <v/>
      </c>
      <c r="G52" s="498">
        <f>IF(G47&lt;G48,G48/G47-1,G47/G48-1)</f>
        <v>0.20385106382978724</v>
      </c>
      <c r="H52" s="499" t="str">
        <f>IF(OR(G52&gt;=0.3,G52&lt;=-0.3),"超过30%","")</f>
        <v/>
      </c>
      <c r="I52" s="498">
        <f>IF(I47&lt;I48,I48/I47-1,I47/I48-1)</f>
        <v>0.19193750000000009</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2.089864158829613E-3</v>
      </c>
      <c r="F53" s="499" t="str">
        <f>IF(OR(E53&gt;=0.2,E53&lt;=-0.2),"超过20%","")</f>
        <v/>
      </c>
      <c r="G53" s="498">
        <f>IF(G48&lt;I48,I48/G48-1,G48/I48-1)</f>
        <v>1.1169827327194737E-2</v>
      </c>
      <c r="H53" s="499" t="str">
        <f>IF(OR(G53&gt;=0.2,G53&lt;=-0.2),"超过20%","")</f>
        <v/>
      </c>
      <c r="I53" s="498">
        <f>IF(I48&lt;E48,E48/I48-1,I48/E48-1)</f>
        <v>1.3283034907815683E-2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2.1739130434782705E-2</v>
      </c>
      <c r="F54" s="499" t="str">
        <f>IF(OR(E54&gt;=0.3,E54&lt;=-0.3),"超过30%","")</f>
        <v/>
      </c>
      <c r="G54" s="498">
        <f>IF(G47&lt;I47,I47/G47-1,G47/I47-1)</f>
        <v>2.1276595744680771E-2</v>
      </c>
      <c r="H54" s="499" t="str">
        <f>IF(OR(G54&gt;=0.3,G54&lt;=-0.3),"超过30%","")</f>
        <v/>
      </c>
      <c r="I54" s="498">
        <f>IF(I47&lt;E47,E47/I47-1,I47/E47-1)</f>
        <v>4.3478260869565188E-2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0"/>
      <c r="O91" s="1150"/>
      <c r="P91" s="2630"/>
      <c r="Q91" s="558"/>
    </row>
    <row r="92" spans="1:17" ht="15.75" thickTop="1">
      <c r="A92" s="533"/>
      <c r="B92" s="537" t="str">
        <f>B28</f>
        <v>楼层</v>
      </c>
      <c r="C92" s="553" t="s">
        <v>3238</v>
      </c>
      <c r="D92" s="553" t="s">
        <v>3326</v>
      </c>
      <c r="E92" s="553" t="s">
        <v>3327</v>
      </c>
      <c r="F92" s="553" t="s">
        <v>3389</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200(含)-300</v>
      </c>
      <c r="F102" s="577" t="str">
        <f t="shared" si="23"/>
        <v>300(含)-500</v>
      </c>
      <c r="G102" s="577" t="str">
        <f t="shared" si="23"/>
        <v>500(含)-700</v>
      </c>
      <c r="H102" s="577" t="str">
        <f t="shared" si="23"/>
        <v>700(含)-</v>
      </c>
      <c r="I102" s="577" t="str">
        <f t="shared" si="23"/>
        <v>(含)-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300</v>
      </c>
      <c r="G103" s="594">
        <v>500</v>
      </c>
      <c r="H103" s="594">
        <v>700</v>
      </c>
      <c r="I103" s="594"/>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3388</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553"/>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53" t="s">
        <v>3008</v>
      </c>
      <c r="D1" s="3754"/>
      <c r="E1" s="3754"/>
      <c r="F1" s="3754"/>
      <c r="G1" s="3754"/>
      <c r="H1" s="3754"/>
      <c r="I1" s="3754"/>
      <c r="J1" s="3754"/>
      <c r="K1" s="3754"/>
      <c r="L1" s="3754"/>
      <c r="M1" s="3754"/>
      <c r="N1" s="3754"/>
      <c r="O1" s="3754"/>
      <c r="P1" s="3754"/>
      <c r="Q1" s="3754"/>
      <c r="R1" s="3754"/>
      <c r="S1" s="3755"/>
      <c r="T1" s="1200" t="s">
        <v>3009</v>
      </c>
    </row>
    <row r="2" spans="1:45" s="706" customFormat="1" ht="38.25">
      <c r="A2" s="1201"/>
      <c r="B2" s="702" t="s">
        <v>3010</v>
      </c>
      <c r="C2" s="703" t="str">
        <f t="shared" ref="C2:L2" si="0">C3&amp;"(含)"&amp;"-"&amp;D3</f>
        <v>0(含)-100</v>
      </c>
      <c r="D2" s="704" t="str">
        <f t="shared" si="0"/>
        <v>100(含)-200</v>
      </c>
      <c r="E2" s="704" t="str">
        <f t="shared" si="0"/>
        <v>200(含)-300</v>
      </c>
      <c r="F2" s="704" t="str">
        <f t="shared" si="0"/>
        <v>300(含)-500</v>
      </c>
      <c r="G2" s="704" t="str">
        <f t="shared" si="0"/>
        <v>500(含)-700</v>
      </c>
      <c r="H2" s="704" t="str">
        <f t="shared" si="0"/>
        <v>700(含)-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300</v>
      </c>
      <c r="G3" s="594">
        <v>500</v>
      </c>
      <c r="H3" s="594">
        <v>700</v>
      </c>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4" t="s">
        <v>3381</v>
      </c>
      <c r="C5" s="3435" t="s">
        <v>3382</v>
      </c>
      <c r="D5" s="3436" t="s">
        <v>3383</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7" t="s">
        <v>3384</v>
      </c>
      <c r="C7" s="3438" t="s">
        <v>3385</v>
      </c>
      <c r="D7" s="3439" t="s">
        <v>3386</v>
      </c>
      <c r="E7" s="3439" t="s">
        <v>3387</v>
      </c>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24.75">
      <c r="A17" s="2915" t="s">
        <v>3015</v>
      </c>
      <c r="B17" s="2916" t="s">
        <v>3016</v>
      </c>
      <c r="C17" s="1227" t="s">
        <v>3404</v>
      </c>
      <c r="D17" s="1228" t="s">
        <v>3402</v>
      </c>
      <c r="E17" s="1228" t="s">
        <v>3403</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65</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51557</v>
      </c>
      <c r="C20" s="167"/>
      <c r="D20" s="2918" t="s">
        <v>70</v>
      </c>
      <c r="E20" s="1789"/>
      <c r="F20" s="1200">
        <f ca="1">SUMIF(INDIRECT("'"&amp;H20&amp;"'"&amp;"!A:A"),"承租人权益价值",INDIRECT("'"&amp;H20&amp;"'"&amp;"!c:c"))</f>
        <v>-96</v>
      </c>
      <c r="G20" s="1200" t="s">
        <v>3019</v>
      </c>
      <c r="H20" s="2919" t="s">
        <v>3366</v>
      </c>
      <c r="I20" s="167"/>
      <c r="J20" s="167"/>
      <c r="K20" s="167"/>
      <c r="L20" s="167"/>
      <c r="M20" s="167"/>
      <c r="N20" s="167"/>
      <c r="O20" s="167"/>
      <c r="P20" s="167"/>
      <c r="Q20" s="167"/>
      <c r="R20" s="784"/>
      <c r="S20" s="137"/>
    </row>
    <row r="21" spans="1:45" ht="15.75">
      <c r="A21" s="712" t="s">
        <v>3020</v>
      </c>
      <c r="B21" s="337">
        <f>R22</f>
        <v>54839</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9401.5500000000029</v>
      </c>
      <c r="C22" s="3547" t="s">
        <v>33</v>
      </c>
      <c r="D22" s="3548"/>
      <c r="E22" s="3548"/>
      <c r="F22" s="3548"/>
      <c r="G22" s="3548"/>
      <c r="H22" s="3548"/>
      <c r="I22" s="3548"/>
      <c r="J22" s="3548"/>
      <c r="K22" s="3548"/>
      <c r="L22" s="3548"/>
      <c r="M22" s="3548"/>
      <c r="N22" s="3548"/>
      <c r="O22" s="3548"/>
      <c r="P22" s="3548"/>
      <c r="Q22" s="3752"/>
      <c r="R22" s="713">
        <f>ROUND(S22*10000/B22,0)</f>
        <v>54839</v>
      </c>
      <c r="S22" s="24">
        <f>SUM(S24:S10000)</f>
        <v>51557</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30" t="s">
        <v>3390</v>
      </c>
      <c r="B24" s="3430">
        <v>356.83</v>
      </c>
      <c r="C24" s="715">
        <v>1</v>
      </c>
      <c r="D24" s="716" t="s">
        <v>3263</v>
      </c>
      <c r="E24" s="715">
        <v>1</v>
      </c>
      <c r="F24" s="716" t="s">
        <v>3264</v>
      </c>
      <c r="G24" s="715">
        <v>1</v>
      </c>
      <c r="H24" s="716"/>
      <c r="I24" s="715">
        <v>1</v>
      </c>
      <c r="J24" s="716"/>
      <c r="K24" s="715">
        <v>1</v>
      </c>
      <c r="L24" s="716"/>
      <c r="M24" s="715">
        <v>1</v>
      </c>
      <c r="N24" s="716"/>
      <c r="O24" s="715">
        <v>1</v>
      </c>
      <c r="P24" s="716" t="s">
        <v>3259</v>
      </c>
      <c r="Q24" s="715">
        <v>1</v>
      </c>
      <c r="R24" s="717">
        <f>'比较法-商业'!C49</f>
        <v>56752</v>
      </c>
      <c r="S24" s="715">
        <f t="shared" ref="S24:S54" si="11">ROUND(R24*B24/10000,0)</f>
        <v>2025</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30">
        <v>-103</v>
      </c>
      <c r="B25" s="3430">
        <v>70.56</v>
      </c>
      <c r="C25" s="24">
        <f>IF(B25="",1,(LOOKUP(B25,$3:$3,$4:$4)-LOOKUP($B$24,$3:$3,$4:$4)+100)/100)</f>
        <v>1.06</v>
      </c>
      <c r="D25" s="716" t="s">
        <v>3263</v>
      </c>
      <c r="E25" s="24">
        <f>(SUMIF($5:$5,D25,$6:$6)-SUMIF($5:$5,$D$24,$6:$6)+100)/100</f>
        <v>1</v>
      </c>
      <c r="F25" s="716" t="s">
        <v>3264</v>
      </c>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3405</v>
      </c>
      <c r="Q25" s="24">
        <f>(SUMIF($17:$17,P25,$18:$18)-SUMIF($17:$17,$P$24,$18:$18)+100)/100</f>
        <v>0.5</v>
      </c>
      <c r="R25" s="713">
        <f>IF(B25="",0,ROUND($R$24*C25*E25*G25*I25*K25*M25*O25*Q25,0))</f>
        <v>30079</v>
      </c>
      <c r="S25" s="360">
        <f t="shared" si="11"/>
        <v>212</v>
      </c>
    </row>
    <row r="26" spans="1:45" ht="13.5">
      <c r="A26" s="3430">
        <v>-104</v>
      </c>
      <c r="B26" s="3430">
        <v>70.56</v>
      </c>
      <c r="C26" s="24">
        <f t="shared" ref="C26:C89" si="12">IF(B26="",1,(LOOKUP(B26,$3:$3,$4:$4)-LOOKUP($B$24,$3:$3,$4:$4)+100)/100)</f>
        <v>1.06</v>
      </c>
      <c r="D26" s="716" t="s">
        <v>3263</v>
      </c>
      <c r="E26" s="24">
        <f t="shared" ref="E26:E89" si="13">(SUMIF($5:$5,D26,$6:$6)-SUMIF($5:$5,$D$24,$6:$6)+100)/100</f>
        <v>1</v>
      </c>
      <c r="F26" s="716" t="s">
        <v>3264</v>
      </c>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3405</v>
      </c>
      <c r="Q26" s="24">
        <f t="shared" ref="Q26:Q89" si="19">(SUMIF($17:$17,P26,$18:$18)-SUMIF($17:$17,$P$24,$18:$18)+100)/100</f>
        <v>0.5</v>
      </c>
      <c r="R26" s="713">
        <f t="shared" ref="R26:R89" si="20">IF(B26="",0,ROUND($R$24*C26*E26*G26*I26*K26*M26*O26*Q26,0))</f>
        <v>30079</v>
      </c>
      <c r="S26" s="360">
        <f t="shared" si="11"/>
        <v>212</v>
      </c>
    </row>
    <row r="27" spans="1:45" ht="13.5">
      <c r="A27" s="3430">
        <v>102</v>
      </c>
      <c r="B27" s="3430">
        <v>656.26</v>
      </c>
      <c r="C27" s="24">
        <f t="shared" si="12"/>
        <v>0.98</v>
      </c>
      <c r="D27" s="716" t="s">
        <v>3263</v>
      </c>
      <c r="E27" s="24">
        <f t="shared" si="13"/>
        <v>1</v>
      </c>
      <c r="F27" s="716" t="s">
        <v>3264</v>
      </c>
      <c r="G27" s="24">
        <f t="shared" si="14"/>
        <v>1</v>
      </c>
      <c r="H27" s="716"/>
      <c r="I27" s="24">
        <f t="shared" si="15"/>
        <v>1</v>
      </c>
      <c r="J27" s="716"/>
      <c r="K27" s="24">
        <f t="shared" si="16"/>
        <v>1</v>
      </c>
      <c r="L27" s="716"/>
      <c r="M27" s="24">
        <f t="shared" si="17"/>
        <v>1</v>
      </c>
      <c r="N27" s="716"/>
      <c r="O27" s="24">
        <f t="shared" si="18"/>
        <v>1</v>
      </c>
      <c r="P27" s="716" t="s">
        <v>3259</v>
      </c>
      <c r="Q27" s="24">
        <f t="shared" si="19"/>
        <v>1</v>
      </c>
      <c r="R27" s="713">
        <f t="shared" si="20"/>
        <v>55617</v>
      </c>
      <c r="S27" s="360">
        <f t="shared" si="11"/>
        <v>3650</v>
      </c>
    </row>
    <row r="28" spans="1:45" ht="13.5">
      <c r="A28" s="3430">
        <v>103</v>
      </c>
      <c r="B28" s="3430">
        <v>80.42</v>
      </c>
      <c r="C28" s="24">
        <f t="shared" si="12"/>
        <v>1.06</v>
      </c>
      <c r="D28" s="716" t="s">
        <v>3263</v>
      </c>
      <c r="E28" s="24">
        <f t="shared" si="13"/>
        <v>1</v>
      </c>
      <c r="F28" s="716" t="s">
        <v>3264</v>
      </c>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60157</v>
      </c>
      <c r="S28" s="360">
        <f t="shared" si="11"/>
        <v>484</v>
      </c>
    </row>
    <row r="29" spans="1:45" ht="13.5">
      <c r="A29" s="3430">
        <v>104</v>
      </c>
      <c r="B29" s="3430">
        <v>80.42</v>
      </c>
      <c r="C29" s="24">
        <f t="shared" si="12"/>
        <v>1.06</v>
      </c>
      <c r="D29" s="716" t="s">
        <v>3263</v>
      </c>
      <c r="E29" s="24">
        <f t="shared" si="13"/>
        <v>1</v>
      </c>
      <c r="F29" s="716" t="s">
        <v>3264</v>
      </c>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60157</v>
      </c>
      <c r="S29" s="360">
        <f t="shared" si="11"/>
        <v>484</v>
      </c>
    </row>
    <row r="30" spans="1:45" ht="13.5">
      <c r="A30" s="3430">
        <v>105</v>
      </c>
      <c r="B30" s="3430">
        <v>744.05</v>
      </c>
      <c r="C30" s="24">
        <f t="shared" si="12"/>
        <v>0.96</v>
      </c>
      <c r="D30" s="716" t="s">
        <v>3263</v>
      </c>
      <c r="E30" s="24">
        <f t="shared" si="13"/>
        <v>1</v>
      </c>
      <c r="F30" s="716" t="s">
        <v>3264</v>
      </c>
      <c r="G30" s="24">
        <f t="shared" si="14"/>
        <v>1</v>
      </c>
      <c r="H30" s="716"/>
      <c r="I30" s="24">
        <f t="shared" si="15"/>
        <v>1</v>
      </c>
      <c r="J30" s="716"/>
      <c r="K30" s="24">
        <f t="shared" si="16"/>
        <v>1</v>
      </c>
      <c r="L30" s="716"/>
      <c r="M30" s="24">
        <f t="shared" si="17"/>
        <v>1</v>
      </c>
      <c r="N30" s="716"/>
      <c r="O30" s="24">
        <f t="shared" si="18"/>
        <v>1</v>
      </c>
      <c r="P30" s="716" t="s">
        <v>3259</v>
      </c>
      <c r="Q30" s="24">
        <f t="shared" si="19"/>
        <v>1</v>
      </c>
      <c r="R30" s="713">
        <f t="shared" si="20"/>
        <v>54482</v>
      </c>
      <c r="S30" s="360">
        <f t="shared" si="11"/>
        <v>4054</v>
      </c>
    </row>
    <row r="31" spans="1:45" ht="13.5">
      <c r="A31" s="3430">
        <v>106</v>
      </c>
      <c r="B31" s="3430">
        <v>361.96</v>
      </c>
      <c r="C31" s="24">
        <f t="shared" si="12"/>
        <v>1</v>
      </c>
      <c r="D31" s="716" t="s">
        <v>3263</v>
      </c>
      <c r="E31" s="24">
        <f t="shared" si="13"/>
        <v>1</v>
      </c>
      <c r="F31" s="716" t="s">
        <v>3264</v>
      </c>
      <c r="G31" s="24">
        <f t="shared" si="14"/>
        <v>1</v>
      </c>
      <c r="H31" s="716"/>
      <c r="I31" s="24">
        <f t="shared" si="15"/>
        <v>1</v>
      </c>
      <c r="J31" s="716"/>
      <c r="K31" s="24">
        <f t="shared" si="16"/>
        <v>1</v>
      </c>
      <c r="L31" s="716"/>
      <c r="M31" s="24">
        <f t="shared" si="17"/>
        <v>1</v>
      </c>
      <c r="N31" s="716"/>
      <c r="O31" s="24">
        <f t="shared" si="18"/>
        <v>1</v>
      </c>
      <c r="P31" s="716" t="s">
        <v>3259</v>
      </c>
      <c r="Q31" s="24">
        <f t="shared" si="19"/>
        <v>1</v>
      </c>
      <c r="R31" s="713">
        <f t="shared" si="20"/>
        <v>56752</v>
      </c>
      <c r="S31" s="360">
        <f t="shared" si="11"/>
        <v>2054</v>
      </c>
    </row>
    <row r="32" spans="1:45" ht="13.5">
      <c r="A32" s="3430">
        <v>203</v>
      </c>
      <c r="B32" s="3430">
        <v>80.42</v>
      </c>
      <c r="C32" s="24">
        <f t="shared" si="12"/>
        <v>1.06</v>
      </c>
      <c r="D32" s="716" t="s">
        <v>3263</v>
      </c>
      <c r="E32" s="24">
        <f t="shared" si="13"/>
        <v>1</v>
      </c>
      <c r="F32" s="716" t="s">
        <v>3264</v>
      </c>
      <c r="G32" s="24">
        <f t="shared" si="14"/>
        <v>1</v>
      </c>
      <c r="H32" s="716"/>
      <c r="I32" s="24">
        <f t="shared" si="15"/>
        <v>1</v>
      </c>
      <c r="J32" s="716"/>
      <c r="K32" s="24">
        <f t="shared" si="16"/>
        <v>1</v>
      </c>
      <c r="L32" s="716"/>
      <c r="M32" s="24">
        <f t="shared" si="17"/>
        <v>1</v>
      </c>
      <c r="N32" s="716"/>
      <c r="O32" s="24">
        <f t="shared" si="18"/>
        <v>1</v>
      </c>
      <c r="P32" s="716" t="s">
        <v>3268</v>
      </c>
      <c r="Q32" s="24">
        <f t="shared" si="19"/>
        <v>0.65</v>
      </c>
      <c r="R32" s="713">
        <f t="shared" si="20"/>
        <v>39102</v>
      </c>
      <c r="S32" s="360">
        <f t="shared" si="11"/>
        <v>314</v>
      </c>
    </row>
    <row r="33" spans="1:19" ht="13.5">
      <c r="A33" s="3430">
        <v>204</v>
      </c>
      <c r="B33" s="3430">
        <v>77.94</v>
      </c>
      <c r="C33" s="24">
        <f t="shared" si="12"/>
        <v>1.06</v>
      </c>
      <c r="D33" s="716" t="s">
        <v>3263</v>
      </c>
      <c r="E33" s="24">
        <f t="shared" si="13"/>
        <v>1</v>
      </c>
      <c r="F33" s="716" t="s">
        <v>3264</v>
      </c>
      <c r="G33" s="24">
        <f t="shared" si="14"/>
        <v>1</v>
      </c>
      <c r="H33" s="716"/>
      <c r="I33" s="24">
        <f t="shared" si="15"/>
        <v>1</v>
      </c>
      <c r="J33" s="716"/>
      <c r="K33" s="24">
        <f t="shared" si="16"/>
        <v>1</v>
      </c>
      <c r="L33" s="716"/>
      <c r="M33" s="24">
        <f t="shared" si="17"/>
        <v>1</v>
      </c>
      <c r="N33" s="716"/>
      <c r="O33" s="24">
        <f t="shared" si="18"/>
        <v>1</v>
      </c>
      <c r="P33" s="716" t="s">
        <v>3268</v>
      </c>
      <c r="Q33" s="24">
        <f t="shared" si="19"/>
        <v>0.65</v>
      </c>
      <c r="R33" s="713">
        <f t="shared" si="20"/>
        <v>39102</v>
      </c>
      <c r="S33" s="360">
        <f t="shared" si="11"/>
        <v>305</v>
      </c>
    </row>
    <row r="34" spans="1:19" ht="13.5">
      <c r="A34" s="3432" t="s">
        <v>3378</v>
      </c>
      <c r="B34" s="3432">
        <v>65.989999999999995</v>
      </c>
      <c r="C34" s="24">
        <f t="shared" si="12"/>
        <v>1.06</v>
      </c>
      <c r="D34" s="716" t="s">
        <v>3263</v>
      </c>
      <c r="E34" s="24">
        <f t="shared" si="13"/>
        <v>1</v>
      </c>
      <c r="F34" s="716" t="s">
        <v>3264</v>
      </c>
      <c r="G34" s="24">
        <f t="shared" si="14"/>
        <v>1</v>
      </c>
      <c r="H34" s="716"/>
      <c r="I34" s="24">
        <f t="shared" si="15"/>
        <v>1</v>
      </c>
      <c r="J34" s="716"/>
      <c r="K34" s="24">
        <f t="shared" si="16"/>
        <v>1</v>
      </c>
      <c r="L34" s="716"/>
      <c r="M34" s="24">
        <f t="shared" si="17"/>
        <v>1</v>
      </c>
      <c r="N34" s="716"/>
      <c r="O34" s="24">
        <f t="shared" si="18"/>
        <v>1</v>
      </c>
      <c r="P34" s="716" t="s">
        <v>3405</v>
      </c>
      <c r="Q34" s="24">
        <f t="shared" si="19"/>
        <v>0.5</v>
      </c>
      <c r="R34" s="713">
        <f t="shared" si="20"/>
        <v>30079</v>
      </c>
      <c r="S34" s="360">
        <f t="shared" si="11"/>
        <v>198</v>
      </c>
    </row>
    <row r="35" spans="1:19" ht="13.5">
      <c r="A35" s="3432">
        <v>-104</v>
      </c>
      <c r="B35" s="3432">
        <v>65.989999999999995</v>
      </c>
      <c r="C35" s="24">
        <f t="shared" si="12"/>
        <v>1.06</v>
      </c>
      <c r="D35" s="716" t="s">
        <v>3263</v>
      </c>
      <c r="E35" s="24">
        <f t="shared" si="13"/>
        <v>1</v>
      </c>
      <c r="F35" s="716" t="s">
        <v>3264</v>
      </c>
      <c r="G35" s="24">
        <f t="shared" si="14"/>
        <v>1</v>
      </c>
      <c r="H35" s="716"/>
      <c r="I35" s="24">
        <f t="shared" si="15"/>
        <v>1</v>
      </c>
      <c r="J35" s="716"/>
      <c r="K35" s="24">
        <f t="shared" si="16"/>
        <v>1</v>
      </c>
      <c r="L35" s="716"/>
      <c r="M35" s="24">
        <f t="shared" si="17"/>
        <v>1</v>
      </c>
      <c r="N35" s="716"/>
      <c r="O35" s="24">
        <f t="shared" si="18"/>
        <v>1</v>
      </c>
      <c r="P35" s="716" t="s">
        <v>3405</v>
      </c>
      <c r="Q35" s="24">
        <f t="shared" si="19"/>
        <v>0.5</v>
      </c>
      <c r="R35" s="713">
        <f t="shared" si="20"/>
        <v>30079</v>
      </c>
      <c r="S35" s="360">
        <f t="shared" si="11"/>
        <v>198</v>
      </c>
    </row>
    <row r="36" spans="1:19" ht="13.5">
      <c r="A36" s="3432">
        <v>101</v>
      </c>
      <c r="B36" s="3432">
        <v>306.70999999999998</v>
      </c>
      <c r="C36" s="24">
        <f t="shared" si="12"/>
        <v>1</v>
      </c>
      <c r="D36" s="716" t="s">
        <v>3263</v>
      </c>
      <c r="E36" s="24">
        <f t="shared" si="13"/>
        <v>1</v>
      </c>
      <c r="F36" s="716" t="s">
        <v>3264</v>
      </c>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56752</v>
      </c>
      <c r="S36" s="360">
        <f t="shared" si="11"/>
        <v>1741</v>
      </c>
    </row>
    <row r="37" spans="1:19" ht="13.5">
      <c r="A37" s="3432">
        <v>102</v>
      </c>
      <c r="B37" s="3432">
        <v>538.85</v>
      </c>
      <c r="C37" s="24">
        <f t="shared" si="12"/>
        <v>0.98</v>
      </c>
      <c r="D37" s="716" t="s">
        <v>3263</v>
      </c>
      <c r="E37" s="24">
        <f t="shared" si="13"/>
        <v>1</v>
      </c>
      <c r="F37" s="716" t="s">
        <v>3264</v>
      </c>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55617</v>
      </c>
      <c r="S37" s="360">
        <f t="shared" si="11"/>
        <v>2997</v>
      </c>
    </row>
    <row r="38" spans="1:19" ht="13.5">
      <c r="A38" s="3432">
        <v>103</v>
      </c>
      <c r="B38" s="3432">
        <v>74.86</v>
      </c>
      <c r="C38" s="24">
        <f t="shared" si="12"/>
        <v>1.06</v>
      </c>
      <c r="D38" s="716" t="s">
        <v>3263</v>
      </c>
      <c r="E38" s="24">
        <f t="shared" si="13"/>
        <v>1</v>
      </c>
      <c r="F38" s="716" t="s">
        <v>3264</v>
      </c>
      <c r="G38" s="24">
        <f t="shared" si="14"/>
        <v>1</v>
      </c>
      <c r="H38" s="716"/>
      <c r="I38" s="24">
        <f t="shared" si="15"/>
        <v>1</v>
      </c>
      <c r="J38" s="716"/>
      <c r="K38" s="24">
        <f t="shared" si="16"/>
        <v>1</v>
      </c>
      <c r="L38" s="716"/>
      <c r="M38" s="24">
        <f t="shared" si="17"/>
        <v>1</v>
      </c>
      <c r="N38" s="716"/>
      <c r="O38" s="24">
        <f t="shared" si="18"/>
        <v>1</v>
      </c>
      <c r="P38" s="716" t="s">
        <v>3259</v>
      </c>
      <c r="Q38" s="24">
        <f t="shared" si="19"/>
        <v>1</v>
      </c>
      <c r="R38" s="713">
        <f t="shared" si="20"/>
        <v>60157</v>
      </c>
      <c r="S38" s="360">
        <f t="shared" si="11"/>
        <v>450</v>
      </c>
    </row>
    <row r="39" spans="1:19" ht="13.5">
      <c r="A39" s="3432">
        <v>104</v>
      </c>
      <c r="B39" s="3432">
        <v>74.86</v>
      </c>
      <c r="C39" s="24">
        <f t="shared" si="12"/>
        <v>1.06</v>
      </c>
      <c r="D39" s="716" t="s">
        <v>3263</v>
      </c>
      <c r="E39" s="24">
        <f t="shared" si="13"/>
        <v>1</v>
      </c>
      <c r="F39" s="716" t="s">
        <v>3264</v>
      </c>
      <c r="G39" s="24">
        <f t="shared" si="14"/>
        <v>1</v>
      </c>
      <c r="H39" s="716"/>
      <c r="I39" s="24">
        <f t="shared" si="15"/>
        <v>1</v>
      </c>
      <c r="J39" s="716"/>
      <c r="K39" s="24">
        <f t="shared" si="16"/>
        <v>1</v>
      </c>
      <c r="L39" s="716"/>
      <c r="M39" s="24">
        <f t="shared" si="17"/>
        <v>1</v>
      </c>
      <c r="N39" s="716"/>
      <c r="O39" s="24">
        <f t="shared" si="18"/>
        <v>1</v>
      </c>
      <c r="P39" s="716" t="s">
        <v>3259</v>
      </c>
      <c r="Q39" s="24">
        <f t="shared" si="19"/>
        <v>1</v>
      </c>
      <c r="R39" s="713">
        <f t="shared" si="20"/>
        <v>60157</v>
      </c>
      <c r="S39" s="360">
        <f t="shared" si="11"/>
        <v>450</v>
      </c>
    </row>
    <row r="40" spans="1:19" ht="13.5">
      <c r="A40" s="3432">
        <v>105</v>
      </c>
      <c r="B40" s="3432">
        <v>538.35</v>
      </c>
      <c r="C40" s="24">
        <f t="shared" si="12"/>
        <v>0.98</v>
      </c>
      <c r="D40" s="716" t="s">
        <v>3263</v>
      </c>
      <c r="E40" s="24">
        <f t="shared" si="13"/>
        <v>1</v>
      </c>
      <c r="F40" s="716" t="s">
        <v>3264</v>
      </c>
      <c r="G40" s="24">
        <f t="shared" si="14"/>
        <v>1</v>
      </c>
      <c r="H40" s="716"/>
      <c r="I40" s="24">
        <f t="shared" si="15"/>
        <v>1</v>
      </c>
      <c r="J40" s="716"/>
      <c r="K40" s="24">
        <f t="shared" si="16"/>
        <v>1</v>
      </c>
      <c r="L40" s="716"/>
      <c r="M40" s="24">
        <f t="shared" si="17"/>
        <v>1</v>
      </c>
      <c r="N40" s="716"/>
      <c r="O40" s="24">
        <f t="shared" si="18"/>
        <v>1</v>
      </c>
      <c r="P40" s="716" t="s">
        <v>3259</v>
      </c>
      <c r="Q40" s="24">
        <f t="shared" si="19"/>
        <v>1</v>
      </c>
      <c r="R40" s="713">
        <f t="shared" si="20"/>
        <v>55617</v>
      </c>
      <c r="S40" s="360">
        <f t="shared" si="11"/>
        <v>2994</v>
      </c>
    </row>
    <row r="41" spans="1:19" ht="13.5">
      <c r="A41" s="3432">
        <v>106</v>
      </c>
      <c r="B41" s="3432">
        <v>306.70999999999998</v>
      </c>
      <c r="C41" s="24">
        <f t="shared" si="12"/>
        <v>1</v>
      </c>
      <c r="D41" s="716" t="s">
        <v>3263</v>
      </c>
      <c r="E41" s="24">
        <f t="shared" si="13"/>
        <v>1</v>
      </c>
      <c r="F41" s="716" t="s">
        <v>3264</v>
      </c>
      <c r="G41" s="24">
        <f t="shared" si="14"/>
        <v>1</v>
      </c>
      <c r="H41" s="716"/>
      <c r="I41" s="24">
        <f t="shared" si="15"/>
        <v>1</v>
      </c>
      <c r="J41" s="716"/>
      <c r="K41" s="24">
        <f t="shared" si="16"/>
        <v>1</v>
      </c>
      <c r="L41" s="716"/>
      <c r="M41" s="24">
        <f t="shared" si="17"/>
        <v>1</v>
      </c>
      <c r="N41" s="716"/>
      <c r="O41" s="24">
        <f t="shared" si="18"/>
        <v>1</v>
      </c>
      <c r="P41" s="716" t="s">
        <v>3259</v>
      </c>
      <c r="Q41" s="24">
        <f t="shared" si="19"/>
        <v>1</v>
      </c>
      <c r="R41" s="713">
        <f t="shared" si="20"/>
        <v>56752</v>
      </c>
      <c r="S41" s="360">
        <f t="shared" si="11"/>
        <v>1741</v>
      </c>
    </row>
    <row r="42" spans="1:19" ht="13.5">
      <c r="A42" s="3432">
        <v>203</v>
      </c>
      <c r="B42" s="3432">
        <v>73.33</v>
      </c>
      <c r="C42" s="24">
        <f t="shared" si="12"/>
        <v>1.06</v>
      </c>
      <c r="D42" s="716" t="s">
        <v>3263</v>
      </c>
      <c r="E42" s="24">
        <f t="shared" si="13"/>
        <v>1</v>
      </c>
      <c r="F42" s="716" t="s">
        <v>3264</v>
      </c>
      <c r="G42" s="24">
        <f t="shared" si="14"/>
        <v>1</v>
      </c>
      <c r="H42" s="716"/>
      <c r="I42" s="24">
        <f t="shared" si="15"/>
        <v>1</v>
      </c>
      <c r="J42" s="716"/>
      <c r="K42" s="24">
        <f t="shared" si="16"/>
        <v>1</v>
      </c>
      <c r="L42" s="716"/>
      <c r="M42" s="24">
        <f t="shared" si="17"/>
        <v>1</v>
      </c>
      <c r="N42" s="716"/>
      <c r="O42" s="24">
        <f t="shared" si="18"/>
        <v>1</v>
      </c>
      <c r="P42" s="716" t="s">
        <v>3268</v>
      </c>
      <c r="Q42" s="24">
        <f t="shared" si="19"/>
        <v>0.65</v>
      </c>
      <c r="R42" s="713">
        <f t="shared" si="20"/>
        <v>39102</v>
      </c>
      <c r="S42" s="360">
        <f t="shared" si="11"/>
        <v>287</v>
      </c>
    </row>
    <row r="43" spans="1:19" ht="13.5">
      <c r="A43" s="3432">
        <v>204</v>
      </c>
      <c r="B43" s="3432">
        <v>73.33</v>
      </c>
      <c r="C43" s="24">
        <f t="shared" si="12"/>
        <v>1.06</v>
      </c>
      <c r="D43" s="716" t="s">
        <v>3263</v>
      </c>
      <c r="E43" s="24">
        <f t="shared" si="13"/>
        <v>1</v>
      </c>
      <c r="F43" s="716" t="s">
        <v>3264</v>
      </c>
      <c r="G43" s="24">
        <f t="shared" si="14"/>
        <v>1</v>
      </c>
      <c r="H43" s="716"/>
      <c r="I43" s="24">
        <f t="shared" si="15"/>
        <v>1</v>
      </c>
      <c r="J43" s="716"/>
      <c r="K43" s="24">
        <f t="shared" si="16"/>
        <v>1</v>
      </c>
      <c r="L43" s="716"/>
      <c r="M43" s="24">
        <f t="shared" si="17"/>
        <v>1</v>
      </c>
      <c r="N43" s="716"/>
      <c r="O43" s="24">
        <f t="shared" si="18"/>
        <v>1</v>
      </c>
      <c r="P43" s="716" t="s">
        <v>3268</v>
      </c>
      <c r="Q43" s="24">
        <f t="shared" si="19"/>
        <v>0.65</v>
      </c>
      <c r="R43" s="713">
        <f t="shared" si="20"/>
        <v>39102</v>
      </c>
      <c r="S43" s="360">
        <f t="shared" si="11"/>
        <v>287</v>
      </c>
    </row>
    <row r="44" spans="1:19" ht="13.5">
      <c r="A44" s="3433" t="s">
        <v>3379</v>
      </c>
      <c r="B44" s="3433">
        <v>66.39</v>
      </c>
      <c r="C44" s="24">
        <f t="shared" si="12"/>
        <v>1.06</v>
      </c>
      <c r="D44" s="716" t="s">
        <v>3262</v>
      </c>
      <c r="E44" s="24">
        <f t="shared" si="13"/>
        <v>1.05</v>
      </c>
      <c r="F44" s="716" t="s">
        <v>3264</v>
      </c>
      <c r="G44" s="24">
        <f t="shared" si="14"/>
        <v>1</v>
      </c>
      <c r="H44" s="716"/>
      <c r="I44" s="24">
        <f t="shared" si="15"/>
        <v>1</v>
      </c>
      <c r="J44" s="716"/>
      <c r="K44" s="24">
        <f t="shared" si="16"/>
        <v>1</v>
      </c>
      <c r="L44" s="716"/>
      <c r="M44" s="24">
        <f t="shared" si="17"/>
        <v>1</v>
      </c>
      <c r="N44" s="716"/>
      <c r="O44" s="24">
        <f t="shared" si="18"/>
        <v>1</v>
      </c>
      <c r="P44" s="716" t="s">
        <v>3405</v>
      </c>
      <c r="Q44" s="24">
        <f t="shared" si="19"/>
        <v>0.5</v>
      </c>
      <c r="R44" s="713">
        <f t="shared" si="20"/>
        <v>31582</v>
      </c>
      <c r="S44" s="360">
        <f t="shared" si="11"/>
        <v>210</v>
      </c>
    </row>
    <row r="45" spans="1:19" ht="13.5">
      <c r="A45" s="3433">
        <v>-104</v>
      </c>
      <c r="B45" s="3433">
        <v>66.39</v>
      </c>
      <c r="C45" s="24">
        <f t="shared" si="12"/>
        <v>1.06</v>
      </c>
      <c r="D45" s="716" t="s">
        <v>3262</v>
      </c>
      <c r="E45" s="24">
        <f t="shared" si="13"/>
        <v>1.05</v>
      </c>
      <c r="F45" s="716" t="s">
        <v>3264</v>
      </c>
      <c r="G45" s="24">
        <f t="shared" si="14"/>
        <v>1</v>
      </c>
      <c r="H45" s="716"/>
      <c r="I45" s="24">
        <f t="shared" si="15"/>
        <v>1</v>
      </c>
      <c r="J45" s="716"/>
      <c r="K45" s="24">
        <f t="shared" si="16"/>
        <v>1</v>
      </c>
      <c r="L45" s="716"/>
      <c r="M45" s="24">
        <f t="shared" si="17"/>
        <v>1</v>
      </c>
      <c r="N45" s="716"/>
      <c r="O45" s="24">
        <f t="shared" si="18"/>
        <v>1</v>
      </c>
      <c r="P45" s="716" t="s">
        <v>3405</v>
      </c>
      <c r="Q45" s="24">
        <f t="shared" si="19"/>
        <v>0.5</v>
      </c>
      <c r="R45" s="713">
        <f t="shared" si="20"/>
        <v>31582</v>
      </c>
      <c r="S45" s="360">
        <f t="shared" si="11"/>
        <v>210</v>
      </c>
    </row>
    <row r="46" spans="1:19" ht="13.5">
      <c r="A46" s="3433">
        <v>101</v>
      </c>
      <c r="B46" s="3433">
        <v>306.67</v>
      </c>
      <c r="C46" s="24">
        <f t="shared" si="12"/>
        <v>1</v>
      </c>
      <c r="D46" s="716" t="s">
        <v>3262</v>
      </c>
      <c r="E46" s="24">
        <f t="shared" si="13"/>
        <v>1.05</v>
      </c>
      <c r="F46" s="716" t="s">
        <v>3264</v>
      </c>
      <c r="G46" s="24">
        <f t="shared" si="14"/>
        <v>1</v>
      </c>
      <c r="H46" s="716"/>
      <c r="I46" s="24">
        <f t="shared" si="15"/>
        <v>1</v>
      </c>
      <c r="J46" s="716"/>
      <c r="K46" s="24">
        <f t="shared" si="16"/>
        <v>1</v>
      </c>
      <c r="L46" s="716"/>
      <c r="M46" s="24">
        <f t="shared" si="17"/>
        <v>1</v>
      </c>
      <c r="N46" s="716"/>
      <c r="O46" s="24">
        <f t="shared" si="18"/>
        <v>1</v>
      </c>
      <c r="P46" s="716" t="s">
        <v>3259</v>
      </c>
      <c r="Q46" s="24">
        <f t="shared" si="19"/>
        <v>1</v>
      </c>
      <c r="R46" s="713">
        <f t="shared" si="20"/>
        <v>59590</v>
      </c>
      <c r="S46" s="360">
        <f t="shared" si="11"/>
        <v>1827</v>
      </c>
    </row>
    <row r="47" spans="1:19" ht="13.5">
      <c r="A47" s="3433">
        <v>102</v>
      </c>
      <c r="B47" s="3433">
        <v>539.1</v>
      </c>
      <c r="C47" s="24">
        <f t="shared" si="12"/>
        <v>0.98</v>
      </c>
      <c r="D47" s="716" t="s">
        <v>3262</v>
      </c>
      <c r="E47" s="24">
        <f t="shared" si="13"/>
        <v>1.05</v>
      </c>
      <c r="F47" s="716" t="s">
        <v>3264</v>
      </c>
      <c r="G47" s="24">
        <f t="shared" si="14"/>
        <v>1</v>
      </c>
      <c r="H47" s="716"/>
      <c r="I47" s="24">
        <f t="shared" si="15"/>
        <v>1</v>
      </c>
      <c r="J47" s="716"/>
      <c r="K47" s="24">
        <f t="shared" si="16"/>
        <v>1</v>
      </c>
      <c r="L47" s="716"/>
      <c r="M47" s="24">
        <f t="shared" si="17"/>
        <v>1</v>
      </c>
      <c r="N47" s="716"/>
      <c r="O47" s="24">
        <f t="shared" si="18"/>
        <v>1</v>
      </c>
      <c r="P47" s="716" t="s">
        <v>3259</v>
      </c>
      <c r="Q47" s="24">
        <f t="shared" si="19"/>
        <v>1</v>
      </c>
      <c r="R47" s="713">
        <f t="shared" si="20"/>
        <v>58398</v>
      </c>
      <c r="S47" s="360">
        <f t="shared" si="11"/>
        <v>3148</v>
      </c>
    </row>
    <row r="48" spans="1:19" ht="13.5">
      <c r="A48" s="3433">
        <v>103</v>
      </c>
      <c r="B48" s="3433">
        <v>74.849999999999994</v>
      </c>
      <c r="C48" s="24">
        <f t="shared" si="12"/>
        <v>1.06</v>
      </c>
      <c r="D48" s="716" t="s">
        <v>3262</v>
      </c>
      <c r="E48" s="24">
        <f t="shared" si="13"/>
        <v>1.05</v>
      </c>
      <c r="F48" s="716" t="s">
        <v>3264</v>
      </c>
      <c r="G48" s="24">
        <f t="shared" si="14"/>
        <v>1</v>
      </c>
      <c r="H48" s="716"/>
      <c r="I48" s="24">
        <f t="shared" si="15"/>
        <v>1</v>
      </c>
      <c r="J48" s="716"/>
      <c r="K48" s="24">
        <f t="shared" si="16"/>
        <v>1</v>
      </c>
      <c r="L48" s="716"/>
      <c r="M48" s="24">
        <f t="shared" si="17"/>
        <v>1</v>
      </c>
      <c r="N48" s="716"/>
      <c r="O48" s="24">
        <f t="shared" si="18"/>
        <v>1</v>
      </c>
      <c r="P48" s="716" t="s">
        <v>3259</v>
      </c>
      <c r="Q48" s="24">
        <f t="shared" si="19"/>
        <v>1</v>
      </c>
      <c r="R48" s="713">
        <f t="shared" si="20"/>
        <v>63165</v>
      </c>
      <c r="S48" s="360">
        <f t="shared" si="11"/>
        <v>473</v>
      </c>
    </row>
    <row r="49" spans="1:19" ht="13.5">
      <c r="A49" s="3433">
        <v>104</v>
      </c>
      <c r="B49" s="3433">
        <v>74.849999999999994</v>
      </c>
      <c r="C49" s="24">
        <f t="shared" si="12"/>
        <v>1.06</v>
      </c>
      <c r="D49" s="716" t="s">
        <v>3262</v>
      </c>
      <c r="E49" s="24">
        <f t="shared" si="13"/>
        <v>1.05</v>
      </c>
      <c r="F49" s="716" t="s">
        <v>3264</v>
      </c>
      <c r="G49" s="24">
        <f t="shared" si="14"/>
        <v>1</v>
      </c>
      <c r="H49" s="716"/>
      <c r="I49" s="24">
        <f t="shared" si="15"/>
        <v>1</v>
      </c>
      <c r="J49" s="716"/>
      <c r="K49" s="24">
        <f t="shared" si="16"/>
        <v>1</v>
      </c>
      <c r="L49" s="716"/>
      <c r="M49" s="24">
        <f t="shared" si="17"/>
        <v>1</v>
      </c>
      <c r="N49" s="716"/>
      <c r="O49" s="24">
        <f t="shared" si="18"/>
        <v>1</v>
      </c>
      <c r="P49" s="716" t="s">
        <v>3259</v>
      </c>
      <c r="Q49" s="24">
        <f t="shared" si="19"/>
        <v>1</v>
      </c>
      <c r="R49" s="713">
        <f t="shared" si="20"/>
        <v>63165</v>
      </c>
      <c r="S49" s="360">
        <f t="shared" si="11"/>
        <v>473</v>
      </c>
    </row>
    <row r="50" spans="1:19" ht="13.5">
      <c r="A50" s="3433">
        <v>105</v>
      </c>
      <c r="B50" s="3433">
        <v>539.1</v>
      </c>
      <c r="C50" s="24">
        <f t="shared" si="12"/>
        <v>0.98</v>
      </c>
      <c r="D50" s="716" t="s">
        <v>3262</v>
      </c>
      <c r="E50" s="24">
        <f t="shared" si="13"/>
        <v>1.05</v>
      </c>
      <c r="F50" s="716" t="s">
        <v>3264</v>
      </c>
      <c r="G50" s="24">
        <f t="shared" si="14"/>
        <v>1</v>
      </c>
      <c r="H50" s="716"/>
      <c r="I50" s="24">
        <f t="shared" si="15"/>
        <v>1</v>
      </c>
      <c r="J50" s="716"/>
      <c r="K50" s="24">
        <f t="shared" si="16"/>
        <v>1</v>
      </c>
      <c r="L50" s="716"/>
      <c r="M50" s="24">
        <f t="shared" si="17"/>
        <v>1</v>
      </c>
      <c r="N50" s="716"/>
      <c r="O50" s="24">
        <f t="shared" si="18"/>
        <v>1</v>
      </c>
      <c r="P50" s="716" t="s">
        <v>3259</v>
      </c>
      <c r="Q50" s="24">
        <f t="shared" si="19"/>
        <v>1</v>
      </c>
      <c r="R50" s="713">
        <f t="shared" si="20"/>
        <v>58398</v>
      </c>
      <c r="S50" s="360">
        <f t="shared" si="11"/>
        <v>3148</v>
      </c>
    </row>
    <row r="51" spans="1:19" ht="13.5">
      <c r="A51" s="3433">
        <v>106</v>
      </c>
      <c r="B51" s="3433">
        <v>306.67</v>
      </c>
      <c r="C51" s="24">
        <f t="shared" si="12"/>
        <v>1</v>
      </c>
      <c r="D51" s="716" t="s">
        <v>3262</v>
      </c>
      <c r="E51" s="24">
        <f t="shared" si="13"/>
        <v>1.05</v>
      </c>
      <c r="F51" s="716" t="s">
        <v>3264</v>
      </c>
      <c r="G51" s="24">
        <f t="shared" si="14"/>
        <v>1</v>
      </c>
      <c r="H51" s="716"/>
      <c r="I51" s="24">
        <f t="shared" si="15"/>
        <v>1</v>
      </c>
      <c r="J51" s="716"/>
      <c r="K51" s="24">
        <f t="shared" si="16"/>
        <v>1</v>
      </c>
      <c r="L51" s="716"/>
      <c r="M51" s="24">
        <f t="shared" si="17"/>
        <v>1</v>
      </c>
      <c r="N51" s="716"/>
      <c r="O51" s="24">
        <f t="shared" si="18"/>
        <v>1</v>
      </c>
      <c r="P51" s="716" t="s">
        <v>3259</v>
      </c>
      <c r="Q51" s="24">
        <f t="shared" si="19"/>
        <v>1</v>
      </c>
      <c r="R51" s="713">
        <f t="shared" si="20"/>
        <v>59590</v>
      </c>
      <c r="S51" s="360">
        <f t="shared" si="11"/>
        <v>1827</v>
      </c>
    </row>
    <row r="52" spans="1:19" ht="13.5">
      <c r="A52" s="3433">
        <v>203</v>
      </c>
      <c r="B52" s="3433">
        <v>73.319999999999993</v>
      </c>
      <c r="C52" s="24">
        <f t="shared" si="12"/>
        <v>1.06</v>
      </c>
      <c r="D52" s="716" t="s">
        <v>3262</v>
      </c>
      <c r="E52" s="24">
        <f t="shared" si="13"/>
        <v>1.05</v>
      </c>
      <c r="F52" s="716" t="s">
        <v>3264</v>
      </c>
      <c r="G52" s="24">
        <f t="shared" si="14"/>
        <v>1</v>
      </c>
      <c r="H52" s="716"/>
      <c r="I52" s="24">
        <f t="shared" si="15"/>
        <v>1</v>
      </c>
      <c r="J52" s="716"/>
      <c r="K52" s="24">
        <f t="shared" si="16"/>
        <v>1</v>
      </c>
      <c r="L52" s="716"/>
      <c r="M52" s="24">
        <f t="shared" si="17"/>
        <v>1</v>
      </c>
      <c r="N52" s="716"/>
      <c r="O52" s="24">
        <f t="shared" si="18"/>
        <v>1</v>
      </c>
      <c r="P52" s="716" t="s">
        <v>3268</v>
      </c>
      <c r="Q52" s="24">
        <f t="shared" si="19"/>
        <v>0.65</v>
      </c>
      <c r="R52" s="713">
        <f t="shared" si="20"/>
        <v>41057</v>
      </c>
      <c r="S52" s="360">
        <f t="shared" si="11"/>
        <v>301</v>
      </c>
    </row>
    <row r="53" spans="1:19" ht="13.5">
      <c r="A53" s="3433">
        <v>204</v>
      </c>
      <c r="B53" s="3433">
        <v>73.319999999999993</v>
      </c>
      <c r="C53" s="24">
        <f t="shared" si="12"/>
        <v>1.06</v>
      </c>
      <c r="D53" s="716" t="s">
        <v>3262</v>
      </c>
      <c r="E53" s="24">
        <f t="shared" si="13"/>
        <v>1.05</v>
      </c>
      <c r="F53" s="716" t="s">
        <v>3264</v>
      </c>
      <c r="G53" s="24">
        <f t="shared" si="14"/>
        <v>1</v>
      </c>
      <c r="H53" s="716"/>
      <c r="I53" s="24">
        <f t="shared" si="15"/>
        <v>1</v>
      </c>
      <c r="J53" s="716"/>
      <c r="K53" s="24">
        <f t="shared" si="16"/>
        <v>1</v>
      </c>
      <c r="L53" s="716"/>
      <c r="M53" s="24">
        <f t="shared" si="17"/>
        <v>1</v>
      </c>
      <c r="N53" s="716"/>
      <c r="O53" s="24">
        <f t="shared" si="18"/>
        <v>1</v>
      </c>
      <c r="P53" s="716" t="s">
        <v>3268</v>
      </c>
      <c r="Q53" s="24">
        <f t="shared" si="19"/>
        <v>0.65</v>
      </c>
      <c r="R53" s="713">
        <f t="shared" si="20"/>
        <v>41057</v>
      </c>
      <c r="S53" s="360">
        <f t="shared" si="11"/>
        <v>301</v>
      </c>
    </row>
    <row r="54" spans="1:19" ht="13.5">
      <c r="A54" s="3430" t="s">
        <v>3380</v>
      </c>
      <c r="B54" s="3430">
        <v>70.569999999999993</v>
      </c>
      <c r="C54" s="24">
        <f t="shared" si="12"/>
        <v>1.06</v>
      </c>
      <c r="D54" s="716" t="s">
        <v>3262</v>
      </c>
      <c r="E54" s="24">
        <f t="shared" si="13"/>
        <v>1.05</v>
      </c>
      <c r="F54" s="716" t="s">
        <v>3264</v>
      </c>
      <c r="G54" s="24">
        <f t="shared" si="14"/>
        <v>1</v>
      </c>
      <c r="H54" s="716"/>
      <c r="I54" s="24">
        <f t="shared" si="15"/>
        <v>1</v>
      </c>
      <c r="J54" s="716"/>
      <c r="K54" s="24">
        <f t="shared" si="16"/>
        <v>1</v>
      </c>
      <c r="L54" s="716"/>
      <c r="M54" s="24">
        <f t="shared" si="17"/>
        <v>1</v>
      </c>
      <c r="N54" s="716"/>
      <c r="O54" s="24">
        <f t="shared" si="18"/>
        <v>1</v>
      </c>
      <c r="P54" s="716" t="s">
        <v>3405</v>
      </c>
      <c r="Q54" s="24">
        <f t="shared" si="19"/>
        <v>0.5</v>
      </c>
      <c r="R54" s="713">
        <f t="shared" si="20"/>
        <v>31582</v>
      </c>
      <c r="S54" s="360">
        <f t="shared" si="11"/>
        <v>223</v>
      </c>
    </row>
    <row r="55" spans="1:19" ht="13.5">
      <c r="A55" s="3430">
        <v>-104</v>
      </c>
      <c r="B55" s="3430">
        <v>70.569999999999993</v>
      </c>
      <c r="C55" s="24">
        <f t="shared" si="12"/>
        <v>1.06</v>
      </c>
      <c r="D55" s="716" t="s">
        <v>3262</v>
      </c>
      <c r="E55" s="24">
        <f t="shared" si="13"/>
        <v>1.05</v>
      </c>
      <c r="F55" s="716" t="s">
        <v>3264</v>
      </c>
      <c r="G55" s="24">
        <f t="shared" si="14"/>
        <v>1</v>
      </c>
      <c r="H55" s="716"/>
      <c r="I55" s="24">
        <f t="shared" si="15"/>
        <v>1</v>
      </c>
      <c r="J55" s="716"/>
      <c r="K55" s="24">
        <f t="shared" si="16"/>
        <v>1</v>
      </c>
      <c r="L55" s="716"/>
      <c r="M55" s="24">
        <f t="shared" si="17"/>
        <v>1</v>
      </c>
      <c r="N55" s="716"/>
      <c r="O55" s="24">
        <f t="shared" si="18"/>
        <v>1</v>
      </c>
      <c r="P55" s="716" t="s">
        <v>3405</v>
      </c>
      <c r="Q55" s="24">
        <f t="shared" si="19"/>
        <v>0.5</v>
      </c>
      <c r="R55" s="713">
        <f t="shared" si="20"/>
        <v>31582</v>
      </c>
      <c r="S55" s="360">
        <f t="shared" ref="S55:S77" si="21">ROUND(R55*B55/10000,0)</f>
        <v>223</v>
      </c>
    </row>
    <row r="56" spans="1:19" ht="13.5">
      <c r="A56" s="3430">
        <v>101</v>
      </c>
      <c r="B56" s="3430">
        <v>362.03</v>
      </c>
      <c r="C56" s="24">
        <f t="shared" si="12"/>
        <v>1</v>
      </c>
      <c r="D56" s="716" t="s">
        <v>3262</v>
      </c>
      <c r="E56" s="24">
        <f t="shared" si="13"/>
        <v>1.05</v>
      </c>
      <c r="F56" s="716" t="s">
        <v>3264</v>
      </c>
      <c r="G56" s="24">
        <f t="shared" si="14"/>
        <v>1</v>
      </c>
      <c r="H56" s="716"/>
      <c r="I56" s="24">
        <f t="shared" si="15"/>
        <v>1</v>
      </c>
      <c r="J56" s="716"/>
      <c r="K56" s="24">
        <f t="shared" si="16"/>
        <v>1</v>
      </c>
      <c r="L56" s="716"/>
      <c r="M56" s="24">
        <f t="shared" si="17"/>
        <v>1</v>
      </c>
      <c r="N56" s="716"/>
      <c r="O56" s="24">
        <f t="shared" si="18"/>
        <v>1</v>
      </c>
      <c r="P56" s="716" t="s">
        <v>3259</v>
      </c>
      <c r="Q56" s="24">
        <f t="shared" si="19"/>
        <v>1</v>
      </c>
      <c r="R56" s="713">
        <f t="shared" si="20"/>
        <v>59590</v>
      </c>
      <c r="S56" s="360">
        <f t="shared" si="21"/>
        <v>2157</v>
      </c>
    </row>
    <row r="57" spans="1:19" ht="13.5">
      <c r="A57" s="3430">
        <v>102</v>
      </c>
      <c r="B57" s="3430">
        <v>744.31</v>
      </c>
      <c r="C57" s="24">
        <f t="shared" si="12"/>
        <v>0.96</v>
      </c>
      <c r="D57" s="716" t="s">
        <v>3262</v>
      </c>
      <c r="E57" s="24">
        <f t="shared" si="13"/>
        <v>1.05</v>
      </c>
      <c r="F57" s="716" t="s">
        <v>3264</v>
      </c>
      <c r="G57" s="24">
        <f t="shared" si="14"/>
        <v>1</v>
      </c>
      <c r="H57" s="716"/>
      <c r="I57" s="24">
        <f t="shared" si="15"/>
        <v>1</v>
      </c>
      <c r="J57" s="716"/>
      <c r="K57" s="24">
        <f t="shared" si="16"/>
        <v>1</v>
      </c>
      <c r="L57" s="716"/>
      <c r="M57" s="24">
        <f t="shared" si="17"/>
        <v>1</v>
      </c>
      <c r="N57" s="716"/>
      <c r="O57" s="24">
        <f t="shared" si="18"/>
        <v>1</v>
      </c>
      <c r="P57" s="716" t="s">
        <v>3259</v>
      </c>
      <c r="Q57" s="24">
        <f t="shared" si="19"/>
        <v>1</v>
      </c>
      <c r="R57" s="713">
        <f t="shared" si="20"/>
        <v>57206</v>
      </c>
      <c r="S57" s="360">
        <f t="shared" si="21"/>
        <v>4258</v>
      </c>
    </row>
    <row r="58" spans="1:19" ht="13.5">
      <c r="A58" s="3430">
        <v>103</v>
      </c>
      <c r="B58" s="3430">
        <v>80.430000000000007</v>
      </c>
      <c r="C58" s="24">
        <f t="shared" si="12"/>
        <v>1.06</v>
      </c>
      <c r="D58" s="716" t="s">
        <v>3262</v>
      </c>
      <c r="E58" s="24">
        <f t="shared" si="13"/>
        <v>1.05</v>
      </c>
      <c r="F58" s="716" t="s">
        <v>3264</v>
      </c>
      <c r="G58" s="24">
        <f t="shared" si="14"/>
        <v>1</v>
      </c>
      <c r="H58" s="716"/>
      <c r="I58" s="24">
        <f t="shared" si="15"/>
        <v>1</v>
      </c>
      <c r="J58" s="716"/>
      <c r="K58" s="24">
        <f t="shared" si="16"/>
        <v>1</v>
      </c>
      <c r="L58" s="716"/>
      <c r="M58" s="24">
        <f t="shared" si="17"/>
        <v>1</v>
      </c>
      <c r="N58" s="716"/>
      <c r="O58" s="24">
        <f t="shared" si="18"/>
        <v>1</v>
      </c>
      <c r="P58" s="716" t="s">
        <v>3259</v>
      </c>
      <c r="Q58" s="24">
        <f t="shared" si="19"/>
        <v>1</v>
      </c>
      <c r="R58" s="713">
        <f t="shared" si="20"/>
        <v>63165</v>
      </c>
      <c r="S58" s="360">
        <f t="shared" si="21"/>
        <v>508</v>
      </c>
    </row>
    <row r="59" spans="1:19" ht="13.5">
      <c r="A59" s="3430">
        <v>104</v>
      </c>
      <c r="B59" s="3430">
        <v>80.430000000000007</v>
      </c>
      <c r="C59" s="24">
        <f t="shared" si="12"/>
        <v>1.06</v>
      </c>
      <c r="D59" s="716" t="s">
        <v>3262</v>
      </c>
      <c r="E59" s="24">
        <f t="shared" si="13"/>
        <v>1.05</v>
      </c>
      <c r="F59" s="716" t="s">
        <v>3264</v>
      </c>
      <c r="G59" s="24">
        <f t="shared" si="14"/>
        <v>1</v>
      </c>
      <c r="H59" s="716"/>
      <c r="I59" s="24">
        <f t="shared" si="15"/>
        <v>1</v>
      </c>
      <c r="J59" s="716"/>
      <c r="K59" s="24">
        <f t="shared" si="16"/>
        <v>1</v>
      </c>
      <c r="L59" s="716"/>
      <c r="M59" s="24">
        <f t="shared" si="17"/>
        <v>1</v>
      </c>
      <c r="N59" s="716"/>
      <c r="O59" s="24">
        <f t="shared" si="18"/>
        <v>1</v>
      </c>
      <c r="P59" s="716" t="s">
        <v>3259</v>
      </c>
      <c r="Q59" s="24">
        <f t="shared" si="19"/>
        <v>1</v>
      </c>
      <c r="R59" s="713">
        <f t="shared" si="20"/>
        <v>63165</v>
      </c>
      <c r="S59" s="360">
        <f t="shared" si="21"/>
        <v>508</v>
      </c>
    </row>
    <row r="60" spans="1:19" ht="13.5">
      <c r="A60" s="3430">
        <v>105</v>
      </c>
      <c r="B60" s="3430">
        <v>655.83</v>
      </c>
      <c r="C60" s="24">
        <f t="shared" si="12"/>
        <v>0.98</v>
      </c>
      <c r="D60" s="716" t="s">
        <v>3262</v>
      </c>
      <c r="E60" s="24">
        <f t="shared" si="13"/>
        <v>1.05</v>
      </c>
      <c r="F60" s="716" t="s">
        <v>3264</v>
      </c>
      <c r="G60" s="24">
        <f t="shared" si="14"/>
        <v>1</v>
      </c>
      <c r="H60" s="716"/>
      <c r="I60" s="24">
        <f t="shared" si="15"/>
        <v>1</v>
      </c>
      <c r="J60" s="716"/>
      <c r="K60" s="24">
        <f t="shared" si="16"/>
        <v>1</v>
      </c>
      <c r="L60" s="716"/>
      <c r="M60" s="24">
        <f t="shared" si="17"/>
        <v>1</v>
      </c>
      <c r="N60" s="716"/>
      <c r="O60" s="24">
        <f t="shared" si="18"/>
        <v>1</v>
      </c>
      <c r="P60" s="716" t="s">
        <v>3259</v>
      </c>
      <c r="Q60" s="24">
        <f t="shared" si="19"/>
        <v>1</v>
      </c>
      <c r="R60" s="713">
        <f t="shared" si="20"/>
        <v>58398</v>
      </c>
      <c r="S60" s="360">
        <f t="shared" si="21"/>
        <v>3830</v>
      </c>
    </row>
    <row r="61" spans="1:19" ht="13.5">
      <c r="A61" s="3430">
        <v>106</v>
      </c>
      <c r="B61" s="3430">
        <v>359.94</v>
      </c>
      <c r="C61" s="24">
        <f t="shared" si="12"/>
        <v>1</v>
      </c>
      <c r="D61" s="716" t="s">
        <v>3262</v>
      </c>
      <c r="E61" s="24">
        <f t="shared" si="13"/>
        <v>1.05</v>
      </c>
      <c r="F61" s="716" t="s">
        <v>3264</v>
      </c>
      <c r="G61" s="24">
        <f t="shared" si="14"/>
        <v>1</v>
      </c>
      <c r="H61" s="716"/>
      <c r="I61" s="24">
        <f t="shared" si="15"/>
        <v>1</v>
      </c>
      <c r="J61" s="716"/>
      <c r="K61" s="24">
        <f t="shared" si="16"/>
        <v>1</v>
      </c>
      <c r="L61" s="716"/>
      <c r="M61" s="24">
        <f t="shared" si="17"/>
        <v>1</v>
      </c>
      <c r="N61" s="716"/>
      <c r="O61" s="24">
        <f t="shared" si="18"/>
        <v>1</v>
      </c>
      <c r="P61" s="716" t="s">
        <v>3259</v>
      </c>
      <c r="Q61" s="24">
        <f t="shared" si="19"/>
        <v>1</v>
      </c>
      <c r="R61" s="713">
        <f t="shared" si="20"/>
        <v>59590</v>
      </c>
      <c r="S61" s="360">
        <f t="shared" si="21"/>
        <v>2145</v>
      </c>
    </row>
    <row r="62" spans="1:19" ht="13.5">
      <c r="A62" s="3430">
        <v>203</v>
      </c>
      <c r="B62" s="3430">
        <v>77.95</v>
      </c>
      <c r="C62" s="24">
        <f t="shared" si="12"/>
        <v>1.06</v>
      </c>
      <c r="D62" s="716" t="s">
        <v>3262</v>
      </c>
      <c r="E62" s="24">
        <f t="shared" si="13"/>
        <v>1.05</v>
      </c>
      <c r="F62" s="716" t="s">
        <v>3264</v>
      </c>
      <c r="G62" s="24">
        <f t="shared" si="14"/>
        <v>1</v>
      </c>
      <c r="H62" s="716"/>
      <c r="I62" s="24">
        <f t="shared" si="15"/>
        <v>1</v>
      </c>
      <c r="J62" s="716"/>
      <c r="K62" s="24">
        <f t="shared" si="16"/>
        <v>1</v>
      </c>
      <c r="L62" s="716"/>
      <c r="M62" s="24">
        <f t="shared" si="17"/>
        <v>1</v>
      </c>
      <c r="N62" s="716"/>
      <c r="O62" s="24">
        <f t="shared" si="18"/>
        <v>1</v>
      </c>
      <c r="P62" s="716" t="s">
        <v>3268</v>
      </c>
      <c r="Q62" s="24">
        <f t="shared" si="19"/>
        <v>0.65</v>
      </c>
      <c r="R62" s="713">
        <f t="shared" si="20"/>
        <v>41057</v>
      </c>
      <c r="S62" s="360">
        <f t="shared" si="21"/>
        <v>320</v>
      </c>
    </row>
    <row r="63" spans="1:19" ht="13.5">
      <c r="A63" s="3430">
        <v>204</v>
      </c>
      <c r="B63" s="3431">
        <v>80.430000000000007</v>
      </c>
      <c r="C63" s="24">
        <f t="shared" si="12"/>
        <v>1.06</v>
      </c>
      <c r="D63" s="716" t="s">
        <v>3262</v>
      </c>
      <c r="E63" s="24">
        <f t="shared" si="13"/>
        <v>1.05</v>
      </c>
      <c r="F63" s="716" t="s">
        <v>3264</v>
      </c>
      <c r="G63" s="24">
        <f t="shared" si="14"/>
        <v>1</v>
      </c>
      <c r="H63" s="716"/>
      <c r="I63" s="24">
        <f t="shared" si="15"/>
        <v>1</v>
      </c>
      <c r="J63" s="716"/>
      <c r="K63" s="24">
        <f t="shared" si="16"/>
        <v>1</v>
      </c>
      <c r="L63" s="716"/>
      <c r="M63" s="24">
        <f t="shared" si="17"/>
        <v>1</v>
      </c>
      <c r="N63" s="716"/>
      <c r="O63" s="24">
        <f t="shared" si="18"/>
        <v>1</v>
      </c>
      <c r="P63" s="716" t="s">
        <v>3268</v>
      </c>
      <c r="Q63" s="24">
        <f t="shared" si="19"/>
        <v>0.65</v>
      </c>
      <c r="R63" s="713">
        <f t="shared" si="20"/>
        <v>41057</v>
      </c>
      <c r="S63" s="360">
        <f t="shared" si="21"/>
        <v>330</v>
      </c>
    </row>
    <row r="64" spans="1:19">
      <c r="A64" s="158"/>
      <c r="B64" s="59"/>
      <c r="C64" s="24">
        <f t="shared" si="12"/>
        <v>1</v>
      </c>
      <c r="D64" s="716"/>
      <c r="E64" s="24">
        <f t="shared" si="13"/>
        <v>0.05</v>
      </c>
      <c r="F64" s="716" t="s">
        <v>3264</v>
      </c>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t="s">
        <v>3264</v>
      </c>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t="s">
        <v>3264</v>
      </c>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t="s">
        <v>3264</v>
      </c>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t="s">
        <v>3264</v>
      </c>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t="s">
        <v>3264</v>
      </c>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t="s">
        <v>3264</v>
      </c>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t="s">
        <v>3264</v>
      </c>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t="s">
        <v>3264</v>
      </c>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t="s">
        <v>3264</v>
      </c>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t="s">
        <v>3264</v>
      </c>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t="s">
        <v>3264</v>
      </c>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t="s">
        <v>3264</v>
      </c>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t="s">
        <v>3264</v>
      </c>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t="s">
        <v>3264</v>
      </c>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t="s">
        <v>3264</v>
      </c>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t="s">
        <v>3264</v>
      </c>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t="s">
        <v>3264</v>
      </c>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t="s">
        <v>3264</v>
      </c>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t="s">
        <v>3264</v>
      </c>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t="s">
        <v>3264</v>
      </c>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t="s">
        <v>3264</v>
      </c>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t="s">
        <v>3264</v>
      </c>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t="s">
        <v>3264</v>
      </c>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t="s">
        <v>3264</v>
      </c>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t="s">
        <v>3264</v>
      </c>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t="s">
        <v>3264</v>
      </c>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t="s">
        <v>3264</v>
      </c>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t="s">
        <v>3264</v>
      </c>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t="s">
        <v>3264</v>
      </c>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t="s">
        <v>3264</v>
      </c>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t="s">
        <v>3264</v>
      </c>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t="s">
        <v>3264</v>
      </c>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t="s">
        <v>3264</v>
      </c>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t="s">
        <v>3264</v>
      </c>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t="s">
        <v>3264</v>
      </c>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t="s">
        <v>3264</v>
      </c>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t="s">
        <v>3264</v>
      </c>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t="s">
        <v>3264</v>
      </c>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t="s">
        <v>3264</v>
      </c>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t="s">
        <v>3264</v>
      </c>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t="s">
        <v>3264</v>
      </c>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t="s">
        <v>3264</v>
      </c>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t="s">
        <v>3264</v>
      </c>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t="s">
        <v>3264</v>
      </c>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t="s">
        <v>3264</v>
      </c>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t="s">
        <v>3264</v>
      </c>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t="s">
        <v>3264</v>
      </c>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t="s">
        <v>3264</v>
      </c>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t="s">
        <v>3264</v>
      </c>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t="s">
        <v>3264</v>
      </c>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t="s">
        <v>3264</v>
      </c>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t="s">
        <v>3264</v>
      </c>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t="s">
        <v>3264</v>
      </c>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0</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0</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0</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0</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0</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0</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0</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0</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0</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0</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0</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0</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0</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0</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0</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0</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0</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0</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0</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0</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0</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0</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0</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0</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0</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0</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0</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0</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0</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0</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0</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0</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0</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0</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0</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0</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0</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0</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0</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0</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0</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0</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0</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0</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0</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0</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0</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0</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0</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0</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0</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0</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0</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0</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0</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0</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0</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0</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0</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0</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0</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0</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0</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0</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0</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0</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0</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0</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0</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0</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0</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0</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0</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0</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0</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0</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0</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0</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0</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0</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0</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0</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0</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0</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0</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0</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0</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0</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0</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0</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0</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0</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0</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0</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0</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0</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0</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0</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0</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0</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0</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0</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0</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0</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0</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0</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0</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0</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0</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0</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0</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0</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0</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0</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0</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0</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0</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0</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0</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0</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0</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0</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0</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0</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0</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0</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0</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0</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0</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0</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0</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0</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0</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0</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0</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0</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0</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0</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0</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0</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0</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0</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0</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0</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0</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0</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0</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0</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0</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0</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0</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0</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0</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0</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0</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0</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0</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0</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0</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0</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0</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0</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0</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0</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0</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0</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0</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0</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0</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0</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0</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0</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0</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0</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0</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0</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0</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0</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0</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0</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0</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0</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0</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0</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0</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0</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0</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0</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0</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0</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0</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0</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0</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0</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0</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0</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0</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0</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0</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0</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0</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0</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0</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0</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0</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0</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0</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0</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0</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0</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0</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0</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0</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0</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0</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0</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0</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0</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0</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0</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0</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0</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0</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0</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0</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0</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0</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0</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0</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0</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0</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0</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0</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0</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0</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0</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0</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0</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0</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0</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0</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0</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0</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0</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0</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0</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0</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0</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0</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0</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0</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0</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0</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0</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0</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0</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0</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0</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0</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0</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0</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0</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0</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0</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0</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0</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0</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0</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0</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0</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0</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0</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0</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0</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0</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0</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0</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0</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0</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0</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0</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0</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0</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0</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0</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0</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0</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0</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0</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0</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0</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0</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0</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0</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0</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0</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0</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0</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0</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0</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0</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0</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0</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0</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0</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0</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0</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0</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0</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0</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0</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0</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0</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0</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0</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0</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0</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0</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0</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0</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0</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0</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0</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0</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0</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0</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0</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0</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0</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0</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0</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0</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0</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0</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0</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0</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0</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0</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0</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0</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0</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0</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0</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0</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0</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0</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0</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0</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0</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0</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0</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0</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0</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0</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0</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0</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0</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0</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0</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0</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0</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0</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0</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0</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0</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0</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0</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0</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0</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0</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0</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0</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0</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0</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0</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0</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0</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0</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0</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0</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0</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0</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0</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0</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0</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0</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0</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0</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0</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0</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0</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0</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0</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0</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0</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0</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0</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0</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0</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0</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0</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0</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0</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0</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0</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0</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0</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3368</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10833</v>
      </c>
      <c r="C2" s="1841" t="s">
        <v>1515</v>
      </c>
      <c r="D2" s="1841"/>
      <c r="E2" s="1842"/>
      <c r="F2" s="1843"/>
      <c r="G2" s="1844"/>
      <c r="H2" s="1836"/>
      <c r="I2" s="1836"/>
      <c r="J2" s="1836"/>
      <c r="K2" s="1837"/>
      <c r="L2" s="1836"/>
      <c r="M2" s="1836"/>
    </row>
    <row r="3" spans="1:37" ht="18" customHeight="1" thickBot="1">
      <c r="A3" s="1845" t="s">
        <v>1516</v>
      </c>
      <c r="B3" s="1846">
        <f ca="1">IF(ISERROR(B2*10000/F43),0,ROUND(B2*10000/F43,0))</f>
        <v>49489</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564</v>
      </c>
      <c r="D5" s="1818" t="s">
        <v>1401</v>
      </c>
      <c r="E5" s="1289"/>
      <c r="F5" s="1290"/>
      <c r="G5" s="1847"/>
      <c r="H5" s="343">
        <v>1</v>
      </c>
      <c r="I5" s="344" t="s">
        <v>1400</v>
      </c>
      <c r="J5" s="1288">
        <f ca="1">J6+J10+J12</f>
        <v>608</v>
      </c>
      <c r="K5" s="1818" t="s">
        <v>1401</v>
      </c>
      <c r="L5" s="1289"/>
      <c r="M5" s="1290"/>
    </row>
    <row r="6" spans="1:37" ht="18" customHeight="1">
      <c r="A6" s="1287" t="s">
        <v>1034</v>
      </c>
      <c r="B6" s="3758" t="s">
        <v>1402</v>
      </c>
      <c r="C6" s="1292">
        <f ca="1">ROUND(F6*F8*F7*(1-F9)/10000,0)</f>
        <v>562</v>
      </c>
      <c r="D6" s="163" t="s">
        <v>3032</v>
      </c>
      <c r="E6" s="346" t="s">
        <v>1404</v>
      </c>
      <c r="F6" s="347">
        <f ca="1">INDIRECT("'数据-取费表'!u"&amp;$G$1)</f>
        <v>7.04</v>
      </c>
      <c r="G6" s="1847"/>
      <c r="H6" s="1287" t="s">
        <v>1034</v>
      </c>
      <c r="I6" s="3758" t="s">
        <v>1402</v>
      </c>
      <c r="J6" s="345">
        <f ca="1">ROUND(M6*M8*M7*(1-M9)/10000,0)</f>
        <v>605</v>
      </c>
      <c r="K6" s="163" t="s">
        <v>3031</v>
      </c>
      <c r="L6" s="346" t="s">
        <v>1404</v>
      </c>
      <c r="M6" s="347">
        <f ca="1">INDIRECT("'数据-取费表'!z"&amp;$G$1)</f>
        <v>8.41</v>
      </c>
    </row>
    <row r="7" spans="1:37" ht="18" customHeight="1">
      <c r="A7" s="1291"/>
      <c r="B7" s="3759"/>
      <c r="C7" s="1293"/>
      <c r="D7" s="351"/>
      <c r="E7" s="1294" t="s">
        <v>1405</v>
      </c>
      <c r="F7" s="347">
        <f ca="1">IF(INDIRECT("'数据-取费表'!ah"&amp;$G$1)="",INDIRECT("'数据-取费表'!k"&amp;$G$1),INDIRECT("'数据-取费表'!ah"&amp;$G$1))</f>
        <v>2188.9700000000003</v>
      </c>
      <c r="G7" s="1847"/>
      <c r="H7" s="348"/>
      <c r="I7" s="3759"/>
      <c r="J7" s="350"/>
      <c r="K7" s="351"/>
      <c r="L7" s="346" t="s">
        <v>1405</v>
      </c>
      <c r="M7" s="347">
        <f ca="1">F7</f>
        <v>2188.9700000000003</v>
      </c>
    </row>
    <row r="8" spans="1:37" ht="18" customHeight="1">
      <c r="A8" s="348"/>
      <c r="B8" s="3759"/>
      <c r="C8" s="350"/>
      <c r="D8" s="351"/>
      <c r="E8" s="346" t="s">
        <v>1406</v>
      </c>
      <c r="F8" s="347">
        <f ca="1">INDIRECT("'数据-取费表'!ai"&amp;$G$1)</f>
        <v>365</v>
      </c>
      <c r="G8" s="1847"/>
      <c r="H8" s="348"/>
      <c r="I8" s="3759"/>
      <c r="J8" s="350"/>
      <c r="K8" s="351"/>
      <c r="L8" s="346" t="s">
        <v>1406</v>
      </c>
      <c r="M8" s="347">
        <f ca="1">INDIRECT("'数据-取费表'!ai"&amp;$G$1)</f>
        <v>365</v>
      </c>
    </row>
    <row r="9" spans="1:37" ht="18" customHeight="1">
      <c r="A9" s="348"/>
      <c r="B9" s="3760"/>
      <c r="C9" s="350"/>
      <c r="D9" s="351"/>
      <c r="E9" s="346" t="s">
        <v>1407</v>
      </c>
      <c r="F9" s="356">
        <f ca="1">INDIRECT("'数据-取费表'!w"&amp;$G$1)</f>
        <v>0</v>
      </c>
      <c r="G9" s="1847"/>
      <c r="H9" s="348"/>
      <c r="I9" s="3760"/>
      <c r="J9" s="350"/>
      <c r="K9" s="351"/>
      <c r="L9" s="357" t="s">
        <v>1407</v>
      </c>
      <c r="M9" s="358">
        <f ca="1">INDIRECT("'数据-取费表'!ab"&amp;$G$1)</f>
        <v>0.1</v>
      </c>
    </row>
    <row r="10" spans="1:37" ht="18" customHeight="1">
      <c r="A10" s="1287" t="s">
        <v>1038</v>
      </c>
      <c r="B10" s="1819" t="s">
        <v>1408</v>
      </c>
      <c r="C10" s="360">
        <f ca="1">ROUND(IF(F10="押一",F6*F8*F7/12*F11,IF(F10="押二",F6*F8*F7/12*2*F11,IF(F10="押三",F6*F8*F7/12*3*F11,C11*F11)))/10000,0)</f>
        <v>2</v>
      </c>
      <c r="D10" s="1820" t="s">
        <v>3033</v>
      </c>
      <c r="E10" s="357" t="s">
        <v>1410</v>
      </c>
      <c r="F10" s="1362" t="s">
        <v>3396</v>
      </c>
      <c r="G10" s="1847"/>
      <c r="H10" s="1287" t="s">
        <v>1038</v>
      </c>
      <c r="I10" s="1819" t="s">
        <v>1408</v>
      </c>
      <c r="J10" s="345">
        <f ca="1">ROUND(IF(M10="押一",M6*M8*M7/12*M11,IF(M10="押二",M6*M8*M7/12*2*M11,IF(M10="押三",M6*M8*M7/12*3*M11,J11*M11)))/10000,0)</f>
        <v>3</v>
      </c>
      <c r="K10" s="1820" t="s">
        <v>3034</v>
      </c>
      <c r="L10" s="357" t="s">
        <v>1410</v>
      </c>
      <c r="M10" s="1362" t="s">
        <v>3396</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1105</v>
      </c>
      <c r="D13" s="1327" t="s">
        <v>1414</v>
      </c>
      <c r="E13" s="1327" t="s">
        <v>1415</v>
      </c>
      <c r="F13" s="1328">
        <f ca="1">INDIRECT("'数据-取费表'!y"&amp;$G$1)</f>
        <v>0.95</v>
      </c>
      <c r="G13" s="1847"/>
      <c r="H13" s="1325">
        <v>2</v>
      </c>
      <c r="I13" s="1326" t="s">
        <v>1413</v>
      </c>
      <c r="J13" s="1286">
        <f ca="1">ROUND(J14*J15,0)</f>
        <v>1012</v>
      </c>
      <c r="K13" s="1333" t="s">
        <v>1414</v>
      </c>
      <c r="L13" s="1848"/>
      <c r="M13" s="1849"/>
    </row>
    <row r="14" spans="1:37" ht="18" customHeight="1">
      <c r="A14" s="1197" t="s">
        <v>1033</v>
      </c>
      <c r="B14" s="346" t="s">
        <v>1416</v>
      </c>
      <c r="C14" s="362">
        <f ca="1">INDIRECT("'数据-取费表'!m"&amp;$G$1)+INDIRECT("'数据-取费表'!t"&amp;$G$1)</f>
        <v>657</v>
      </c>
      <c r="D14" s="1796" t="s">
        <v>1417</v>
      </c>
      <c r="E14" s="1790"/>
      <c r="F14" s="363"/>
      <c r="G14" s="1847"/>
      <c r="H14" s="1197" t="s">
        <v>1034</v>
      </c>
      <c r="I14" s="346" t="s">
        <v>1418</v>
      </c>
      <c r="J14" s="24">
        <f ca="1">C29</f>
        <v>1163</v>
      </c>
      <c r="K14" s="15"/>
      <c r="L14" s="975"/>
      <c r="M14" s="976"/>
    </row>
    <row r="15" spans="1:37" s="1854" customFormat="1" ht="18" customHeight="1" thickBot="1">
      <c r="A15" s="1197" t="s">
        <v>1035</v>
      </c>
      <c r="B15" s="346" t="s">
        <v>1419</v>
      </c>
      <c r="C15" s="24">
        <f ca="1">ROUND(C14*F15,0)</f>
        <v>20</v>
      </c>
      <c r="D15" s="364" t="s">
        <v>1420</v>
      </c>
      <c r="E15" s="364" t="s">
        <v>1421</v>
      </c>
      <c r="F15" s="365">
        <f>'数据-取费表'!B33</f>
        <v>0.03</v>
      </c>
      <c r="G15" s="1850"/>
      <c r="H15" s="1335" t="s">
        <v>1038</v>
      </c>
      <c r="I15" s="1336" t="s">
        <v>1415</v>
      </c>
      <c r="J15" s="1345">
        <f ca="1">INDIRECT("'数据-取费表'!ad"&amp;$G$1)</f>
        <v>0.87</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70</v>
      </c>
      <c r="K16" s="1333" t="s">
        <v>1424</v>
      </c>
      <c r="L16" s="1334"/>
      <c r="M16" s="1290"/>
    </row>
    <row r="17" spans="1:37" s="1854" customFormat="1" ht="18" customHeight="1">
      <c r="A17" s="1197" t="s">
        <v>1389</v>
      </c>
      <c r="B17" s="346" t="s">
        <v>1425</v>
      </c>
      <c r="C17" s="24">
        <f ca="1">ROUND(F17*(F43+INDIRECT("'数据-取费表'!S"&amp;$G$1))/10000,0)</f>
        <v>44</v>
      </c>
      <c r="D17" s="346" t="s">
        <v>1426</v>
      </c>
      <c r="E17" s="346" t="s">
        <v>1427</v>
      </c>
      <c r="F17" s="26">
        <f>'数据-取费表'!B35</f>
        <v>200</v>
      </c>
      <c r="G17" s="1850"/>
      <c r="H17" s="1197" t="s">
        <v>1034</v>
      </c>
      <c r="I17" s="346" t="s">
        <v>1428</v>
      </c>
      <c r="J17" s="24">
        <f ca="1">ROUND(IF(项目基本情况!B11="自然人",J5*M17,J18+J19+J20),1)</f>
        <v>41.6</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10</v>
      </c>
      <c r="D18" s="346" t="s">
        <v>1420</v>
      </c>
      <c r="E18" s="346" t="s">
        <v>1421</v>
      </c>
      <c r="F18" s="366">
        <f>'数据-取费表'!B36</f>
        <v>1.4999999999999999E-2</v>
      </c>
      <c r="G18" s="1850"/>
      <c r="H18" s="1197" t="s">
        <v>1033</v>
      </c>
      <c r="I18" s="346" t="s">
        <v>1432</v>
      </c>
      <c r="J18" s="24">
        <f ca="1">ROUND(J5*M18/(1+'数据-取费表'!C42),2)</f>
        <v>31.85</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731</v>
      </c>
      <c r="D19" s="139" t="s">
        <v>1435</v>
      </c>
      <c r="E19" s="1814"/>
      <c r="F19" s="26"/>
      <c r="G19" s="1847"/>
      <c r="H19" s="1197" t="s">
        <v>1035</v>
      </c>
      <c r="I19" s="346" t="s">
        <v>1436</v>
      </c>
      <c r="J19" s="24">
        <f ca="1">IF(K19="按租金收入计税",ROUND(J5*M19,2),ROUND(C29*M19*0.7,2))</f>
        <v>9.77</v>
      </c>
      <c r="K19" s="1824" t="s">
        <v>1437</v>
      </c>
      <c r="L19" s="346" t="s">
        <v>1421</v>
      </c>
      <c r="M19" s="366">
        <f>IF(K19="按租金收入计税",'数据-取费表'!B51,'数据-取费表'!B50)</f>
        <v>1.2E-2</v>
      </c>
    </row>
    <row r="20" spans="1:37" s="1854" customFormat="1" ht="18" customHeight="1">
      <c r="A20" s="1197" t="s">
        <v>1038</v>
      </c>
      <c r="B20" s="346" t="s">
        <v>1438</v>
      </c>
      <c r="C20" s="24">
        <f ca="1">ROUND(C19*F20,0)</f>
        <v>22</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ROUND(J14*M22,1)</f>
        <v>17.399999999999999</v>
      </c>
      <c r="K22" s="1794"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36</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1.5</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ROUND(J5*M24,1)</f>
        <v>9.1</v>
      </c>
      <c r="K24" s="1338" t="s">
        <v>1458</v>
      </c>
      <c r="L24" s="1336" t="s">
        <v>1454</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f ca="1">J5-J16</f>
        <v>538</v>
      </c>
      <c r="K25" s="1341" t="s">
        <v>1463</v>
      </c>
      <c r="L25" s="1342"/>
      <c r="M25" s="1343"/>
    </row>
    <row r="26" spans="1:37">
      <c r="A26" s="1197" t="s">
        <v>1033</v>
      </c>
      <c r="B26" s="346" t="s">
        <v>1464</v>
      </c>
      <c r="C26" s="24">
        <f ca="1">ROUND((C19+C20)*F26,0)</f>
        <v>264</v>
      </c>
      <c r="D26" s="368" t="s">
        <v>1465</v>
      </c>
      <c r="E26" s="357" t="s">
        <v>1466</v>
      </c>
      <c r="F26" s="356">
        <f ca="1">INDIRECT("'数据-取费表'!q"&amp;$G$1)</f>
        <v>0.35</v>
      </c>
      <c r="G26" s="1847"/>
      <c r="H26" s="343" t="s">
        <v>1031</v>
      </c>
      <c r="I26" s="344" t="s">
        <v>1467</v>
      </c>
      <c r="J26" s="345">
        <f ca="1">IF(J5&lt;&gt;0,ROUND(J25*(1-((1+M28)/(1+M26))^M27)/(M26-M28),0),0)</f>
        <v>11354</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26.58</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0.04</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1163</v>
      </c>
      <c r="D29" s="1338"/>
      <c r="E29" s="1336"/>
      <c r="F29" s="1339"/>
      <c r="G29" s="1850"/>
      <c r="H29" s="379" t="s">
        <v>1032</v>
      </c>
      <c r="I29" s="380" t="s">
        <v>1478</v>
      </c>
      <c r="J29" s="381">
        <f ca="1">ROUND(J26/(1+F40)^F41,0)</f>
        <v>8800</v>
      </c>
      <c r="K29" s="382" t="s">
        <v>1479</v>
      </c>
      <c r="L29" s="383"/>
      <c r="M29" s="384">
        <f ca="1">INDIRECT("'数据-取费表'!k"&amp;$G$1)</f>
        <v>2188.9700000000003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67</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ROUND(IF(项目基本情况!B11="自然人",C5*F31,C32+C33+C34),1)</f>
        <v>39.299999999999997</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29.54</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9.77</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17.399999999999999</v>
      </c>
      <c r="D36" s="1794"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1.7</v>
      </c>
      <c r="D37" s="1794" t="s">
        <v>1453</v>
      </c>
      <c r="E37" s="346" t="s">
        <v>1454</v>
      </c>
      <c r="F37" s="375">
        <f ca="1">INDIRECT("'数据-取费表'!Al"&amp;$G$1)</f>
        <v>1.5E-3</v>
      </c>
      <c r="G37" s="1847"/>
      <c r="H37" s="1855"/>
      <c r="I37" s="1856"/>
      <c r="J37" s="1857"/>
      <c r="K37" s="747"/>
      <c r="L37" s="1855"/>
      <c r="M37" s="1855"/>
    </row>
    <row r="38" spans="1:18" ht="18" customHeight="1" thickBot="1">
      <c r="A38" s="1335" t="s">
        <v>1392</v>
      </c>
      <c r="B38" s="1336" t="s">
        <v>1438</v>
      </c>
      <c r="C38" s="1337">
        <f ca="1">ROUND(C5*F38,1)</f>
        <v>8.5</v>
      </c>
      <c r="D38" s="1338" t="s">
        <v>1458</v>
      </c>
      <c r="E38" s="1336" t="s">
        <v>1454</v>
      </c>
      <c r="F38" s="1332">
        <f ca="1">INDIRECT("'数据-取费表'!Am"&amp;$G$1)</f>
        <v>1.4999999999999999E-2</v>
      </c>
      <c r="G38" s="1847"/>
      <c r="H38" s="1855"/>
      <c r="I38" s="1856"/>
      <c r="J38" s="1857"/>
      <c r="K38" s="1861"/>
      <c r="L38" s="1855"/>
      <c r="M38" s="1855"/>
    </row>
    <row r="39" spans="1:18" ht="24.6" customHeight="1" thickTop="1">
      <c r="A39" s="1325" t="s">
        <v>1030</v>
      </c>
      <c r="B39" s="1340" t="s">
        <v>1482</v>
      </c>
      <c r="C39" s="354">
        <f ca="1">C5-C30</f>
        <v>497</v>
      </c>
      <c r="D39" s="1341" t="s">
        <v>1483</v>
      </c>
      <c r="E39" s="1342"/>
      <c r="F39" s="1343"/>
      <c r="G39" s="1847"/>
      <c r="H39" s="1855"/>
      <c r="I39" s="1856"/>
      <c r="J39" s="1857"/>
      <c r="K39" s="1861"/>
      <c r="L39" s="1855"/>
      <c r="M39" s="1855"/>
    </row>
    <row r="40" spans="1:18" ht="18" customHeight="1">
      <c r="A40" s="343" t="s">
        <v>1031</v>
      </c>
      <c r="B40" s="344" t="s">
        <v>1484</v>
      </c>
      <c r="C40" s="345">
        <f ca="1">ROUND(C39*(1-((1+F42)/(1+F40))^F41)/(F40-F42),0)</f>
        <v>2033</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4.76</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f ca="1">ROUND(C40*10000/F43,0)</f>
        <v>9287</v>
      </c>
      <c r="D43" s="382" t="s">
        <v>1487</v>
      </c>
      <c r="E43" s="383" t="s">
        <v>1488</v>
      </c>
      <c r="F43" s="384">
        <f ca="1">INDIRECT("'数据-取费表'!k"&amp;$G$1)</f>
        <v>2188.9700000000003</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-96</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10833</v>
      </c>
      <c r="R47" s="1882" t="s">
        <v>1528</v>
      </c>
    </row>
    <row r="48" spans="1:18" s="1838" customFormat="1" ht="28.5" thickBot="1">
      <c r="A48" s="1356" t="s">
        <v>1134</v>
      </c>
      <c r="B48" s="344" t="s">
        <v>1400</v>
      </c>
      <c r="C48" s="1813">
        <f ca="1">C49+C53+C55</f>
        <v>504</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502</v>
      </c>
      <c r="D49" s="1272" t="s">
        <v>3035</v>
      </c>
      <c r="E49" s="1826" t="s">
        <v>1490</v>
      </c>
      <c r="F49" s="1277">
        <f>楼层修正!I7</f>
        <v>6.98</v>
      </c>
      <c r="G49" s="1887"/>
      <c r="H49" s="789"/>
      <c r="I49" s="1883" t="s">
        <v>1533</v>
      </c>
      <c r="J49" s="1888">
        <v>2015</v>
      </c>
      <c r="K49" s="1885" t="s">
        <v>1534</v>
      </c>
      <c r="L49" s="1889"/>
      <c r="O49" s="1890" t="s">
        <v>1041</v>
      </c>
      <c r="P49" s="1881" t="s">
        <v>1535</v>
      </c>
      <c r="Q49" s="1882">
        <f ca="1">C29</f>
        <v>1163</v>
      </c>
      <c r="R49" s="1882" t="s">
        <v>1528</v>
      </c>
    </row>
    <row r="50" spans="1:18" s="1838" customFormat="1" ht="13.5" thickBot="1">
      <c r="A50" s="1191"/>
      <c r="B50" s="1194"/>
      <c r="C50" s="1364"/>
      <c r="D50" s="1168"/>
      <c r="E50" s="1273" t="s">
        <v>1405</v>
      </c>
      <c r="F50" s="1274">
        <f ca="1">F7</f>
        <v>2188.9700000000003</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6314</v>
      </c>
      <c r="M51" s="1898"/>
      <c r="O51" s="1890" t="s">
        <v>1043</v>
      </c>
      <c r="P51" s="1881" t="s">
        <v>1541</v>
      </c>
      <c r="Q51" s="1893">
        <f>J52</f>
        <v>0.09</v>
      </c>
      <c r="R51" s="1882"/>
    </row>
    <row r="52" spans="1:18" s="1838" customFormat="1" ht="13.5" thickBot="1">
      <c r="A52" s="1192"/>
      <c r="B52" s="1194"/>
      <c r="C52" s="1195"/>
      <c r="D52" s="1168"/>
      <c r="E52" s="1196" t="s">
        <v>1407</v>
      </c>
      <c r="F52" s="1271">
        <f ca="1">M9</f>
        <v>0.1</v>
      </c>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2</v>
      </c>
      <c r="D53" s="1820" t="s">
        <v>3033</v>
      </c>
      <c r="E53" s="357" t="s">
        <v>1410</v>
      </c>
      <c r="F53" s="1362" t="s">
        <v>3396</v>
      </c>
      <c r="I53" s="1901" t="s">
        <v>1546</v>
      </c>
      <c r="J53" s="1902">
        <f ca="1">IF(M47="住宅",J51,IF(D1="——",MIN(J51,L48),IF(D1="在建（套用方法）",MIN(J51,L48-'数据-取费表'!B24),IF(D1="土地（套用方法）",MIN(J51,L48-'数据-取费表'!B20)))))</f>
        <v>31.34</v>
      </c>
      <c r="K53" s="3756" t="s">
        <v>1547</v>
      </c>
      <c r="L53" s="3757"/>
      <c r="O53" s="1880" t="s">
        <v>1045</v>
      </c>
      <c r="P53" s="1881" t="s">
        <v>1548</v>
      </c>
      <c r="Q53" s="1882">
        <f ca="1">Q47+Q48</f>
        <v>10833</v>
      </c>
      <c r="R53" s="1882" t="s">
        <v>1046</v>
      </c>
    </row>
    <row r="54" spans="1:18" s="1838" customFormat="1" ht="13.5" thickBot="1">
      <c r="A54" s="1402"/>
      <c r="B54" s="1821" t="s">
        <v>1387</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1105</v>
      </c>
      <c r="D56" s="1910"/>
      <c r="E56" s="1911"/>
      <c r="F56" s="1903"/>
      <c r="I56" s="1912" t="s">
        <v>1553</v>
      </c>
      <c r="J56" s="1913" t="s">
        <v>3061</v>
      </c>
      <c r="K56" s="1883" t="s">
        <v>1554</v>
      </c>
      <c r="L56" s="1886" t="str">
        <f ca="1">IF(L48&lt;J51,"——",L48-J53)</f>
        <v>——</v>
      </c>
      <c r="O56" s="1880" t="s">
        <v>1039</v>
      </c>
      <c r="P56" s="1881" t="s">
        <v>1527</v>
      </c>
      <c r="Q56" s="1882">
        <f ca="1">C40+J29</f>
        <v>10833</v>
      </c>
      <c r="R56" s="1882" t="s">
        <v>1528</v>
      </c>
    </row>
    <row r="57" spans="1:18" s="1838" customFormat="1" ht="24.75" thickBot="1">
      <c r="A57" s="1914"/>
      <c r="B57" s="1165" t="s">
        <v>1477</v>
      </c>
      <c r="C57" s="281">
        <f ca="1">C29</f>
        <v>1163</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63</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36.200000000000003</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26.4</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IF(项目基本情况!B11="自然人","——",IF(D61="按租金收入计税",ROUND(C48*F61,2),IF(D61="按房产原值计税",ROUND(C57*F61*0.7,2),INDIRECT("'数据-取费表'!Aj"&amp;$G$1))))</f>
        <v>9.77</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1495</v>
      </c>
      <c r="C62" s="25">
        <f ca="1">IF(项目基本情况!B11="自然人","——",ROUND(F62*F63/10000,2))</f>
        <v>0</v>
      </c>
      <c r="D62" s="1180" t="s">
        <v>1496</v>
      </c>
      <c r="E62" s="1165" t="s">
        <v>1497</v>
      </c>
      <c r="F62" s="370">
        <f t="shared" si="0"/>
        <v>3</v>
      </c>
      <c r="I62" s="1925" t="s">
        <v>1569</v>
      </c>
      <c r="J62" s="1926" t="s">
        <v>1570</v>
      </c>
      <c r="K62" s="1926" t="s">
        <v>1571</v>
      </c>
      <c r="L62" s="1926" t="s">
        <v>1572</v>
      </c>
      <c r="M62" s="1927" t="s">
        <v>1573</v>
      </c>
      <c r="O62" s="1880" t="s">
        <v>1045</v>
      </c>
      <c r="P62" s="1881" t="s">
        <v>1574</v>
      </c>
      <c r="Q62" s="1882">
        <f ca="1">Q56+Q57</f>
        <v>10833</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ROUND(C57*F64,1)</f>
        <v>17.399999999999999</v>
      </c>
      <c r="D64" s="1179" t="s">
        <v>1501</v>
      </c>
      <c r="E64" s="1165"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1.7</v>
      </c>
      <c r="D65" s="1179" t="s">
        <v>1453</v>
      </c>
      <c r="E65" s="1165" t="s">
        <v>1454</v>
      </c>
      <c r="F65" s="375">
        <f t="shared" ca="1" si="0"/>
        <v>1.5E-3</v>
      </c>
      <c r="I65" s="1925" t="s">
        <v>1578</v>
      </c>
      <c r="J65" s="1926">
        <v>40</v>
      </c>
      <c r="K65" s="1926">
        <v>30</v>
      </c>
      <c r="L65" s="1926">
        <v>50</v>
      </c>
      <c r="M65" s="1928">
        <v>0.02</v>
      </c>
      <c r="O65" s="1880" t="s">
        <v>1039</v>
      </c>
      <c r="P65" s="1881" t="s">
        <v>1579</v>
      </c>
      <c r="Q65" s="1882">
        <f ca="1">C40+J29</f>
        <v>10833</v>
      </c>
      <c r="R65" s="1882" t="s">
        <v>1528</v>
      </c>
    </row>
    <row r="66" spans="1:18" s="1838" customFormat="1" ht="16.5" thickBot="1">
      <c r="A66" s="1197" t="s">
        <v>1503</v>
      </c>
      <c r="B66" s="1165" t="s">
        <v>1438</v>
      </c>
      <c r="C66" s="24">
        <f ca="1">ROUND(C48*F66,1)</f>
        <v>7.6</v>
      </c>
      <c r="D66" s="1179" t="s">
        <v>1504</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441</v>
      </c>
      <c r="D67" s="1178" t="s">
        <v>1463</v>
      </c>
      <c r="E67" s="1183"/>
      <c r="F67" s="1184"/>
      <c r="O67" s="1890" t="s">
        <v>1041</v>
      </c>
      <c r="P67" s="1881" t="s">
        <v>1561</v>
      </c>
      <c r="Q67" s="1929">
        <f ca="1">L51</f>
        <v>6314</v>
      </c>
      <c r="R67" s="1882" t="s">
        <v>1581</v>
      </c>
    </row>
    <row r="68" spans="1:18" s="1838" customFormat="1" ht="16.5" thickBot="1">
      <c r="A68" s="1162" t="s">
        <v>1031</v>
      </c>
      <c r="B68" s="1163" t="s">
        <v>1484</v>
      </c>
      <c r="C68" s="345">
        <f ca="1">ROUND(C67*(1-((1+F70)/(1+F68))^F69)/(F68-F70),0)</f>
        <v>1937</v>
      </c>
      <c r="D68" s="1180" t="s">
        <v>1468</v>
      </c>
      <c r="E68" s="1165" t="s">
        <v>1469</v>
      </c>
      <c r="F68" s="356">
        <f ca="1">F40</f>
        <v>5.5E-2</v>
      </c>
      <c r="O68" s="1890" t="s">
        <v>1042</v>
      </c>
      <c r="P68" s="1930" t="s">
        <v>1582</v>
      </c>
      <c r="Q68" s="1882">
        <f ca="1">ROUND(Q69-Q70*Q71,0)</f>
        <v>403</v>
      </c>
      <c r="R68" s="1882" t="s">
        <v>1050</v>
      </c>
    </row>
    <row r="69" spans="1:18" s="1838" customFormat="1" ht="13.5" thickBot="1">
      <c r="A69" s="1166"/>
      <c r="B69" s="1167"/>
      <c r="C69" s="350"/>
      <c r="D69" s="1185" t="s">
        <v>1472</v>
      </c>
      <c r="E69" s="1165" t="s">
        <v>1473</v>
      </c>
      <c r="F69" s="378">
        <f ca="1">F41</f>
        <v>4.76</v>
      </c>
      <c r="O69" s="1890" t="s">
        <v>1047</v>
      </c>
      <c r="P69" s="1930" t="s">
        <v>1583</v>
      </c>
      <c r="Q69" s="1882">
        <f ca="1">C39</f>
        <v>497</v>
      </c>
      <c r="R69" s="1882" t="s">
        <v>1528</v>
      </c>
    </row>
    <row r="70" spans="1:18" s="1838" customFormat="1" ht="13.5" thickBot="1">
      <c r="A70" s="1169"/>
      <c r="B70" s="1170"/>
      <c r="C70" s="354"/>
      <c r="D70" s="1181"/>
      <c r="E70" s="1165" t="s">
        <v>1476</v>
      </c>
      <c r="F70" s="1271">
        <f ca="1">M28</f>
        <v>0.04</v>
      </c>
      <c r="O70" s="1890" t="s">
        <v>1048</v>
      </c>
      <c r="P70" s="1930" t="s">
        <v>1584</v>
      </c>
      <c r="Q70" s="1882">
        <f ca="1">C13</f>
        <v>1105</v>
      </c>
      <c r="R70" s="1882" t="s">
        <v>1528</v>
      </c>
    </row>
    <row r="71" spans="1:18" s="1838" customFormat="1" ht="13.5" thickBot="1">
      <c r="A71" s="1186" t="s">
        <v>1032</v>
      </c>
      <c r="B71" s="1187" t="s">
        <v>1486</v>
      </c>
      <c r="C71" s="381">
        <f ca="1">ROUND(C68*10000/F71,0)</f>
        <v>8849</v>
      </c>
      <c r="D71" s="1188" t="s">
        <v>1487</v>
      </c>
      <c r="E71" s="1189" t="s">
        <v>1488</v>
      </c>
      <c r="F71" s="384">
        <f ca="1">F43</f>
        <v>2188.9700000000003</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94</v>
      </c>
      <c r="D75" s="1838"/>
      <c r="E75" s="1838"/>
      <c r="F75" s="1838"/>
      <c r="K75" s="1864"/>
      <c r="L75" s="1838"/>
      <c r="O75" s="1880" t="s">
        <v>1045</v>
      </c>
      <c r="P75" s="1881" t="s">
        <v>1548</v>
      </c>
      <c r="Q75" s="1882">
        <f ca="1">Q65+Q66</f>
        <v>10833</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0.81099999999999994</v>
      </c>
    </row>
    <row r="80" spans="1:18">
      <c r="B80" s="385" t="s">
        <v>1510</v>
      </c>
      <c r="C80" s="317">
        <f ca="1">ROUND(C75/C39,3)</f>
        <v>0.189</v>
      </c>
    </row>
    <row r="81" spans="2:3">
      <c r="B81" s="313" t="s">
        <v>1511</v>
      </c>
      <c r="C81" s="281"/>
    </row>
    <row r="82" spans="2:3">
      <c r="B82" s="316" t="s">
        <v>1512</v>
      </c>
      <c r="C82" s="318">
        <f ca="1">1-C83</f>
        <v>0.45599999999999996</v>
      </c>
    </row>
    <row r="83" spans="2:3">
      <c r="B83" s="316" t="s">
        <v>1513</v>
      </c>
      <c r="C83" s="317">
        <f ca="1">ROUND(C13/C40,3)</f>
        <v>0.54400000000000004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3370</v>
      </c>
      <c r="D1" s="1816" t="s">
        <v>70</v>
      </c>
      <c r="E1" s="1817" t="s">
        <v>1386</v>
      </c>
      <c r="F1" s="1279">
        <f ca="1">J53</f>
        <v>31.34</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35220</v>
      </c>
      <c r="C2" s="1841" t="s">
        <v>1515</v>
      </c>
      <c r="D2" s="1841"/>
      <c r="E2" s="1842"/>
      <c r="F2" s="1843"/>
      <c r="G2" s="1844"/>
      <c r="H2" s="1836"/>
      <c r="I2" s="1836"/>
      <c r="J2" s="1836"/>
      <c r="K2" s="1837"/>
      <c r="L2" s="1836"/>
      <c r="M2" s="1836"/>
    </row>
    <row r="3" spans="1:37" ht="18" customHeight="1" thickBot="1">
      <c r="A3" s="1845" t="s">
        <v>1516</v>
      </c>
      <c r="B3" s="1846">
        <f ca="1">IF(ISERROR(B2*10000/F43),0,ROUND(B2*10000/F43,0))</f>
        <v>48831</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1668</v>
      </c>
      <c r="D5" s="1818" t="s">
        <v>1401</v>
      </c>
      <c r="E5" s="1289"/>
      <c r="F5" s="1290"/>
      <c r="G5" s="1847"/>
      <c r="H5" s="343">
        <v>1</v>
      </c>
      <c r="I5" s="344" t="s">
        <v>1400</v>
      </c>
      <c r="J5" s="1288">
        <f ca="1">J6+J10+J12</f>
        <v>0</v>
      </c>
      <c r="K5" s="1818" t="s">
        <v>1401</v>
      </c>
      <c r="L5" s="1289"/>
      <c r="M5" s="1290"/>
    </row>
    <row r="6" spans="1:37" ht="18" customHeight="1">
      <c r="A6" s="1287" t="s">
        <v>1034</v>
      </c>
      <c r="B6" s="3758" t="s">
        <v>1402</v>
      </c>
      <c r="C6" s="1292">
        <f ca="1">ROUND(F6*F8*F7*(1-F9)/10000,0)</f>
        <v>1661</v>
      </c>
      <c r="D6" s="163" t="s">
        <v>3032</v>
      </c>
      <c r="E6" s="346" t="s">
        <v>1404</v>
      </c>
      <c r="F6" s="347">
        <f ca="1">INDIRECT("'数据-取费表'!u"&amp;$G$1)</f>
        <v>7.01</v>
      </c>
      <c r="G6" s="1847"/>
      <c r="H6" s="1287" t="s">
        <v>1034</v>
      </c>
      <c r="I6" s="3758" t="s">
        <v>1402</v>
      </c>
      <c r="J6" s="345">
        <f ca="1">ROUND(M6*M8*M7*(1-M9)/10000,0)</f>
        <v>0</v>
      </c>
      <c r="K6" s="163" t="s">
        <v>3031</v>
      </c>
      <c r="L6" s="346" t="s">
        <v>1404</v>
      </c>
      <c r="M6" s="347">
        <f ca="1">INDIRECT("'数据-取费表'!z"&amp;$G$1)</f>
        <v>0</v>
      </c>
    </row>
    <row r="7" spans="1:37" ht="18" customHeight="1">
      <c r="A7" s="1291"/>
      <c r="B7" s="3759"/>
      <c r="C7" s="1293"/>
      <c r="D7" s="351"/>
      <c r="E7" s="3374" t="s">
        <v>1405</v>
      </c>
      <c r="F7" s="347">
        <f ca="1">IF(INDIRECT("'数据-取费表'!ah"&amp;$G$1)="",INDIRECT("'数据-取费表'!k"&amp;$G$1),INDIRECT("'数据-取费表'!ah"&amp;$G$1))</f>
        <v>7212.5800000000027</v>
      </c>
      <c r="G7" s="1847"/>
      <c r="H7" s="348"/>
      <c r="I7" s="3759"/>
      <c r="J7" s="350"/>
      <c r="K7" s="351"/>
      <c r="L7" s="346" t="s">
        <v>1405</v>
      </c>
      <c r="M7" s="347">
        <f ca="1">F7</f>
        <v>7212.5800000000027</v>
      </c>
    </row>
    <row r="8" spans="1:37" ht="18" customHeight="1">
      <c r="A8" s="348"/>
      <c r="B8" s="3759"/>
      <c r="C8" s="350"/>
      <c r="D8" s="351"/>
      <c r="E8" s="346" t="s">
        <v>1406</v>
      </c>
      <c r="F8" s="347">
        <f ca="1">INDIRECT("'数据-取费表'!ai"&amp;$G$1)</f>
        <v>365</v>
      </c>
      <c r="G8" s="1847"/>
      <c r="H8" s="348"/>
      <c r="I8" s="3759"/>
      <c r="J8" s="350"/>
      <c r="K8" s="351"/>
      <c r="L8" s="346" t="s">
        <v>1406</v>
      </c>
      <c r="M8" s="347">
        <f ca="1">INDIRECT("'数据-取费表'!ai"&amp;$G$1)</f>
        <v>365</v>
      </c>
    </row>
    <row r="9" spans="1:37" ht="18" customHeight="1">
      <c r="A9" s="348"/>
      <c r="B9" s="3760"/>
      <c r="C9" s="350"/>
      <c r="D9" s="351"/>
      <c r="E9" s="346" t="s">
        <v>1407</v>
      </c>
      <c r="F9" s="356">
        <f ca="1">INDIRECT("'数据-取费表'!w"&amp;$G$1)</f>
        <v>0.1</v>
      </c>
      <c r="G9" s="1847"/>
      <c r="H9" s="348"/>
      <c r="I9" s="3760"/>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7</v>
      </c>
      <c r="D10" s="1820" t="s">
        <v>3028</v>
      </c>
      <c r="E10" s="357" t="s">
        <v>1410</v>
      </c>
      <c r="F10" s="1362" t="s">
        <v>3396</v>
      </c>
      <c r="G10" s="1847"/>
      <c r="H10" s="1287" t="s">
        <v>1038</v>
      </c>
      <c r="I10" s="1819" t="s">
        <v>1408</v>
      </c>
      <c r="J10" s="345">
        <f ca="1">ROUND(IF(M10="押一",M6*M8*M7/12*M11,IF(M10="押二",M6*M8*M7/12*2*M11,IF(M10="押三",M6*M8*M7/12*3*M11,J11*M11)))/10000,0)</f>
        <v>0</v>
      </c>
      <c r="K10" s="1820" t="s">
        <v>3028</v>
      </c>
      <c r="L10" s="357" t="s">
        <v>1410</v>
      </c>
      <c r="M10" s="1362" t="s">
        <v>3396</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3630</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2164</v>
      </c>
      <c r="D14" s="3368" t="s">
        <v>1417</v>
      </c>
      <c r="E14" s="3366"/>
      <c r="F14" s="363"/>
      <c r="G14" s="1847"/>
      <c r="H14" s="1197" t="s">
        <v>1034</v>
      </c>
      <c r="I14" s="346" t="s">
        <v>1418</v>
      </c>
      <c r="J14" s="24">
        <f ca="1">C29</f>
        <v>3821</v>
      </c>
      <c r="K14" s="3373"/>
      <c r="L14" s="975"/>
      <c r="M14" s="976"/>
    </row>
    <row r="15" spans="1:37" s="1854" customFormat="1" ht="18" customHeight="1" thickBot="1">
      <c r="A15" s="1197" t="s">
        <v>1035</v>
      </c>
      <c r="B15" s="346" t="s">
        <v>1419</v>
      </c>
      <c r="C15" s="24">
        <f ca="1">ROUND(C14*F15,0)</f>
        <v>65</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89</v>
      </c>
      <c r="K16" s="1333" t="s">
        <v>1424</v>
      </c>
      <c r="L16" s="3369"/>
      <c r="M16" s="1290"/>
    </row>
    <row r="17" spans="1:37" s="1854" customFormat="1" ht="18" customHeight="1">
      <c r="A17" s="1197" t="s">
        <v>1389</v>
      </c>
      <c r="B17" s="346" t="s">
        <v>1425</v>
      </c>
      <c r="C17" s="24">
        <f ca="1">ROUND(F17*(F43+INDIRECT("'数据-取费表'!S"&amp;$G$1))/10000,0)</f>
        <v>144</v>
      </c>
      <c r="D17" s="346" t="s">
        <v>1426</v>
      </c>
      <c r="E17" s="346" t="s">
        <v>1427</v>
      </c>
      <c r="F17" s="26">
        <f>'数据-取费表'!B35</f>
        <v>200</v>
      </c>
      <c r="G17" s="1850"/>
      <c r="H17" s="1197" t="s">
        <v>1034</v>
      </c>
      <c r="I17" s="346" t="s">
        <v>1428</v>
      </c>
      <c r="J17" s="24">
        <f ca="1">ROUND(IF(项目基本情况!B11="自然人",J5*M17,J18+J19+J20),1)</f>
        <v>32.1</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32</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2405</v>
      </c>
      <c r="D19" s="139" t="s">
        <v>1435</v>
      </c>
      <c r="E19" s="3372"/>
      <c r="F19" s="26"/>
      <c r="G19" s="1847"/>
      <c r="H19" s="1197" t="s">
        <v>1035</v>
      </c>
      <c r="I19" s="346" t="s">
        <v>1436</v>
      </c>
      <c r="J19" s="24">
        <f ca="1">IF(K19="按租金收入计税",ROUND(J5*M19,2),ROUND(C29*M19*0.7,2))</f>
        <v>32.1</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72</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57.3</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117</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-89</v>
      </c>
      <c r="K25" s="1341" t="s">
        <v>1463</v>
      </c>
      <c r="L25" s="1342"/>
      <c r="M25" s="1343"/>
    </row>
    <row r="26" spans="1:37">
      <c r="A26" s="1197" t="s">
        <v>1033</v>
      </c>
      <c r="B26" s="346" t="s">
        <v>1464</v>
      </c>
      <c r="C26" s="24">
        <f ca="1">ROUND((C19+C20)*F26,0)</f>
        <v>867</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3821</v>
      </c>
      <c r="D29" s="1338"/>
      <c r="E29" s="1336"/>
      <c r="F29" s="1339"/>
      <c r="G29" s="1850"/>
      <c r="H29" s="379" t="s">
        <v>1032</v>
      </c>
      <c r="I29" s="380" t="s">
        <v>1478</v>
      </c>
      <c r="J29" s="381">
        <f ca="1">ROUND(J26/(1+F40)^F41,0)</f>
        <v>0</v>
      </c>
      <c r="K29" s="382" t="s">
        <v>1479</v>
      </c>
      <c r="L29" s="383"/>
      <c r="M29" s="384">
        <f ca="1">INDIRECT("'数据-取费表'!k"&amp;$G$1)</f>
        <v>7212.5800000000027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207</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119.5</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87.37</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32.1</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57.3</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5.4</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25</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1461</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35220</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0.04</v>
      </c>
      <c r="G42" s="1847"/>
      <c r="H42" s="728"/>
      <c r="I42" s="1856"/>
      <c r="J42" s="1857"/>
      <c r="K42" s="747"/>
      <c r="L42" s="728"/>
      <c r="M42" s="728"/>
    </row>
    <row r="43" spans="1:18" ht="18" customHeight="1" thickBot="1">
      <c r="A43" s="379" t="s">
        <v>1032</v>
      </c>
      <c r="B43" s="380" t="s">
        <v>1486</v>
      </c>
      <c r="C43" s="381">
        <f ca="1">ROUND(C40*10000/F43,0)</f>
        <v>48831</v>
      </c>
      <c r="D43" s="382" t="s">
        <v>1487</v>
      </c>
      <c r="E43" s="383" t="s">
        <v>1488</v>
      </c>
      <c r="F43" s="384">
        <f ca="1">INDIRECT("'数据-取费表'!k"&amp;$G$1)</f>
        <v>7212.5800000000027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-36625</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35220</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3821</v>
      </c>
      <c r="R49" s="1882" t="s">
        <v>1528</v>
      </c>
    </row>
    <row r="50" spans="1:18" s="1838" customFormat="1" ht="13.5" thickBot="1">
      <c r="A50" s="1191"/>
      <c r="B50" s="1194"/>
      <c r="C50" s="1364"/>
      <c r="D50" s="1168"/>
      <c r="E50" s="1273" t="s">
        <v>1405</v>
      </c>
      <c r="F50" s="1274">
        <f ca="1">F7</f>
        <v>7212.5800000000027</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18053</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56" t="s">
        <v>1547</v>
      </c>
      <c r="L53" s="3757"/>
      <c r="O53" s="1880" t="s">
        <v>1045</v>
      </c>
      <c r="P53" s="1881" t="s">
        <v>1548</v>
      </c>
      <c r="Q53" s="1882">
        <f ca="1">Q47+Q48</f>
        <v>35220</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3630</v>
      </c>
      <c r="D56" s="1910"/>
      <c r="E56" s="1911"/>
      <c r="F56" s="1903"/>
      <c r="I56" s="1912" t="s">
        <v>1553</v>
      </c>
      <c r="J56" s="1913" t="s">
        <v>3061</v>
      </c>
      <c r="K56" s="1883" t="s">
        <v>1554</v>
      </c>
      <c r="L56" s="1886" t="str">
        <f ca="1">IF(L48&lt;J51,"——",L48-J53)</f>
        <v>——</v>
      </c>
      <c r="O56" s="1880" t="s">
        <v>1039</v>
      </c>
      <c r="P56" s="1881" t="s">
        <v>1527</v>
      </c>
      <c r="Q56" s="1882">
        <f ca="1">C40+J29</f>
        <v>35220</v>
      </c>
      <c r="R56" s="1882" t="s">
        <v>1528</v>
      </c>
    </row>
    <row r="57" spans="1:18" s="1838" customFormat="1" ht="24.75" thickBot="1">
      <c r="A57" s="1914"/>
      <c r="B57" s="1165" t="s">
        <v>1477</v>
      </c>
      <c r="C57" s="281">
        <f ca="1">C29</f>
        <v>3821</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95</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32.1</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32.1</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35220</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57.3</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5.4</v>
      </c>
      <c r="D65" s="1179" t="s">
        <v>1453</v>
      </c>
      <c r="E65" s="1165" t="s">
        <v>1421</v>
      </c>
      <c r="F65" s="375">
        <f t="shared" ca="1" si="0"/>
        <v>1.5E-3</v>
      </c>
      <c r="I65" s="1925" t="s">
        <v>1578</v>
      </c>
      <c r="J65" s="1926">
        <v>40</v>
      </c>
      <c r="K65" s="1926">
        <v>30</v>
      </c>
      <c r="L65" s="1926">
        <v>50</v>
      </c>
      <c r="M65" s="1928">
        <v>0.02</v>
      </c>
      <c r="O65" s="1880" t="s">
        <v>1039</v>
      </c>
      <c r="P65" s="1881" t="s">
        <v>1527</v>
      </c>
      <c r="Q65" s="1882">
        <f ca="1">C40+J29</f>
        <v>35220</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-95</v>
      </c>
      <c r="D67" s="1178" t="s">
        <v>1463</v>
      </c>
      <c r="E67" s="1183"/>
      <c r="F67" s="1184"/>
      <c r="O67" s="1890" t="s">
        <v>1041</v>
      </c>
      <c r="P67" s="1881" t="s">
        <v>1561</v>
      </c>
      <c r="Q67" s="1929">
        <f ca="1">L51</f>
        <v>18053</v>
      </c>
      <c r="R67" s="1882" t="s">
        <v>1581</v>
      </c>
    </row>
    <row r="68" spans="1:18" s="1838" customFormat="1" ht="16.5" thickBot="1">
      <c r="A68" s="1162" t="s">
        <v>1031</v>
      </c>
      <c r="B68" s="1163" t="s">
        <v>1484</v>
      </c>
      <c r="C68" s="345">
        <f ca="1">ROUND(C67*(1-((1+F70)/(1+F68))^F69)/(F68-F70),0)</f>
        <v>-1405</v>
      </c>
      <c r="D68" s="1180" t="s">
        <v>1468</v>
      </c>
      <c r="E68" s="1165" t="s">
        <v>1469</v>
      </c>
      <c r="F68" s="356">
        <f ca="1">F40</f>
        <v>5.5E-2</v>
      </c>
      <c r="O68" s="1890" t="s">
        <v>1042</v>
      </c>
      <c r="P68" s="1930" t="s">
        <v>1582</v>
      </c>
      <c r="Q68" s="1882">
        <f ca="1">ROUND(Q69-Q70*Q71,0)</f>
        <v>1152</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1461</v>
      </c>
      <c r="R69" s="1882" t="s">
        <v>1528</v>
      </c>
    </row>
    <row r="70" spans="1:18" s="1838" customFormat="1" ht="13.5" thickBot="1">
      <c r="A70" s="1169"/>
      <c r="B70" s="1170"/>
      <c r="C70" s="354"/>
      <c r="D70" s="1181"/>
      <c r="E70" s="1165" t="s">
        <v>1476</v>
      </c>
      <c r="F70" s="1271"/>
      <c r="O70" s="1890" t="s">
        <v>1048</v>
      </c>
      <c r="P70" s="1930" t="s">
        <v>1584</v>
      </c>
      <c r="Q70" s="1882">
        <f ca="1">C13</f>
        <v>3630</v>
      </c>
      <c r="R70" s="1882" t="s">
        <v>1528</v>
      </c>
    </row>
    <row r="71" spans="1:18" s="1838" customFormat="1" ht="13.5" thickBot="1">
      <c r="A71" s="1186" t="s">
        <v>1032</v>
      </c>
      <c r="B71" s="1187" t="s">
        <v>1486</v>
      </c>
      <c r="C71" s="381">
        <f ca="1">ROUND(C68*10000/F71,0)</f>
        <v>-1948</v>
      </c>
      <c r="D71" s="1188" t="s">
        <v>1487</v>
      </c>
      <c r="E71" s="1189" t="s">
        <v>1488</v>
      </c>
      <c r="F71" s="384">
        <f ca="1">F43</f>
        <v>7212.5800000000027</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309</v>
      </c>
      <c r="D75" s="1838"/>
      <c r="E75" s="1838"/>
      <c r="F75" s="1838"/>
      <c r="K75" s="1864"/>
      <c r="L75" s="1838"/>
      <c r="O75" s="1880" t="s">
        <v>1045</v>
      </c>
      <c r="P75" s="1881" t="s">
        <v>1548</v>
      </c>
      <c r="Q75" s="1882">
        <f ca="1">Q65+Q66</f>
        <v>35220</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0.78900000000000003</v>
      </c>
    </row>
    <row r="80" spans="1:18">
      <c r="B80" s="385" t="s">
        <v>1510</v>
      </c>
      <c r="C80" s="317">
        <f ca="1">ROUND(C75/C39,3)</f>
        <v>0.21099999999999999</v>
      </c>
    </row>
    <row r="81" spans="2:3">
      <c r="B81" s="313" t="s">
        <v>1511</v>
      </c>
      <c r="C81" s="281"/>
    </row>
    <row r="82" spans="2:3">
      <c r="B82" s="316" t="s">
        <v>1512</v>
      </c>
      <c r="C82" s="318">
        <f ca="1">1-C83</f>
        <v>0.89700000000000002</v>
      </c>
    </row>
    <row r="83" spans="2:3">
      <c r="B83" s="316" t="s">
        <v>1513</v>
      </c>
      <c r="C83" s="317">
        <f ca="1">ROUND(C13/C40,3)</f>
        <v>0.10299999999999999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估价对象为北京市房地产，为所有。根据《国有土地使用证》[]，估价对象（分摊）出让国有建设用地使用权面积为0平方米，建筑面积为14709.01平方米。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估价对象为北京市房地产,属开发建设的综合项目（居住、综合），该项目尚在开发建设中。根据《国有土地使用证》[]，估价对象（分摊）出让国有建设用地使用权面积为0平方米，规划建筑面积为14709.01平方米。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60" zoomScale="90" zoomScaleNormal="90" workbookViewId="0">
      <selection activeCell="K18" sqref="K1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7.4</v>
      </c>
      <c r="C3" s="399" t="s">
        <v>2537</v>
      </c>
      <c r="D3" s="398">
        <f>IF(D1="",'数据-汇总表'!E3,SUMIF('数据-汇总表'!$C19:$C33,D1,'数据-汇总表'!$E19:$E33))</f>
        <v>0</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52" t="s">
        <v>2539</v>
      </c>
      <c r="D4" s="3653"/>
      <c r="E4" s="3654" t="s">
        <v>2540</v>
      </c>
      <c r="F4" s="3655"/>
      <c r="G4" s="3652" t="s">
        <v>2541</v>
      </c>
      <c r="H4" s="3653"/>
      <c r="I4" s="3652" t="s">
        <v>2542</v>
      </c>
      <c r="J4" s="3653"/>
      <c r="K4" s="609" t="s">
        <v>2543</v>
      </c>
      <c r="L4" s="1126"/>
      <c r="M4" s="1127"/>
      <c r="N4" s="1127"/>
      <c r="O4" s="1127"/>
      <c r="P4" s="3656" t="s">
        <v>2544</v>
      </c>
      <c r="Q4" s="3657"/>
      <c r="R4" s="3637" t="s">
        <v>2540</v>
      </c>
      <c r="S4" s="3638"/>
      <c r="T4" s="3637" t="s">
        <v>2541</v>
      </c>
      <c r="U4" s="3638"/>
      <c r="V4" s="3664" t="s">
        <v>2542</v>
      </c>
      <c r="W4" s="3664"/>
      <c r="X4" s="3352"/>
      <c r="Y4" s="3637" t="s">
        <v>2544</v>
      </c>
      <c r="Z4" s="3638"/>
      <c r="AA4" s="3632" t="s">
        <v>2540</v>
      </c>
      <c r="AB4" s="3664" t="s">
        <v>2541</v>
      </c>
      <c r="AC4" s="3632" t="s">
        <v>2542</v>
      </c>
    </row>
    <row r="5" spans="1:29" ht="15">
      <c r="A5" s="403"/>
      <c r="B5" s="404"/>
      <c r="C5" s="3643" t="s">
        <v>2545</v>
      </c>
      <c r="D5" s="3644"/>
      <c r="E5" s="3747" t="s">
        <v>3323</v>
      </c>
      <c r="F5" s="3748"/>
      <c r="G5" s="3749" t="s">
        <v>3324</v>
      </c>
      <c r="H5" s="3644"/>
      <c r="I5" s="3749" t="s">
        <v>3325</v>
      </c>
      <c r="J5" s="3644"/>
      <c r="K5" s="609"/>
      <c r="L5" s="1126"/>
      <c r="M5" s="1127"/>
      <c r="N5" s="1127"/>
      <c r="O5" s="1127"/>
      <c r="P5" s="3658"/>
      <c r="Q5" s="3659"/>
      <c r="R5" s="3639"/>
      <c r="S5" s="3640"/>
      <c r="T5" s="3639"/>
      <c r="U5" s="3640"/>
      <c r="V5" s="3664"/>
      <c r="W5" s="3664"/>
      <c r="X5" s="3352"/>
      <c r="Y5" s="3639"/>
      <c r="Z5" s="3640"/>
      <c r="AA5" s="3633"/>
      <c r="AB5" s="3664"/>
      <c r="AC5" s="3633"/>
    </row>
    <row r="6" spans="1:29" ht="15.75" thickBot="1">
      <c r="A6" s="405"/>
      <c r="B6" s="406"/>
      <c r="C6" s="3645" t="s">
        <v>2549</v>
      </c>
      <c r="D6" s="3646"/>
      <c r="E6" s="3750"/>
      <c r="F6" s="3650"/>
      <c r="G6" s="3751"/>
      <c r="H6" s="3646"/>
      <c r="I6" s="3751"/>
      <c r="J6" s="3646"/>
      <c r="K6" s="609" t="s">
        <v>2550</v>
      </c>
      <c r="L6" s="1126"/>
      <c r="M6" s="1127"/>
      <c r="N6" s="1127"/>
      <c r="O6" s="1127"/>
      <c r="P6" s="3660"/>
      <c r="Q6" s="3661"/>
      <c r="R6" s="3639"/>
      <c r="S6" s="3640"/>
      <c r="T6" s="3662"/>
      <c r="U6" s="3663"/>
      <c r="V6" s="3664"/>
      <c r="W6" s="3664"/>
      <c r="X6" s="3352"/>
      <c r="Y6" s="3662"/>
      <c r="Z6" s="3663"/>
      <c r="AA6" s="3634"/>
      <c r="AB6" s="3664"/>
      <c r="AC6" s="363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35" t="s">
        <v>2552</v>
      </c>
      <c r="Q7" s="3665"/>
      <c r="R7" s="766" t="s">
        <v>17</v>
      </c>
      <c r="S7" s="767">
        <f t="shared" ref="S7:S15" si="0">F7</f>
        <v>100</v>
      </c>
      <c r="T7" s="766" t="s">
        <v>17</v>
      </c>
      <c r="U7" s="767">
        <f t="shared" ref="U7:U15" si="1">H7</f>
        <v>100</v>
      </c>
      <c r="V7" s="766" t="s">
        <v>17</v>
      </c>
      <c r="W7" s="767">
        <f t="shared" ref="W7:W15" si="2">J7</f>
        <v>100</v>
      </c>
      <c r="X7" s="768"/>
      <c r="Y7" s="3635" t="s">
        <v>2552</v>
      </c>
      <c r="Z7" s="3636"/>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35" t="s">
        <v>2555</v>
      </c>
      <c r="Q8" s="3636"/>
      <c r="R8" s="766" t="s">
        <v>17</v>
      </c>
      <c r="S8" s="767">
        <f t="shared" si="0"/>
        <v>100</v>
      </c>
      <c r="T8" s="766" t="s">
        <v>17</v>
      </c>
      <c r="U8" s="767">
        <f t="shared" si="1"/>
        <v>100</v>
      </c>
      <c r="V8" s="766" t="s">
        <v>17</v>
      </c>
      <c r="W8" s="767">
        <f t="shared" si="2"/>
        <v>100</v>
      </c>
      <c r="X8" s="768"/>
      <c r="Y8" s="3635" t="s">
        <v>2555</v>
      </c>
      <c r="Z8" s="3636"/>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51" t="s">
        <v>2558</v>
      </c>
      <c r="Q9" s="3346" t="str">
        <f t="shared" ref="Q9:Q15" si="6">B9</f>
        <v>用途</v>
      </c>
      <c r="R9" s="766" t="s">
        <v>17</v>
      </c>
      <c r="S9" s="767">
        <f t="shared" si="0"/>
        <v>100</v>
      </c>
      <c r="T9" s="766" t="s">
        <v>17</v>
      </c>
      <c r="U9" s="767">
        <f t="shared" si="1"/>
        <v>100</v>
      </c>
      <c r="V9" s="766" t="s">
        <v>17</v>
      </c>
      <c r="W9" s="767">
        <f t="shared" si="2"/>
        <v>100</v>
      </c>
      <c r="X9" s="768"/>
      <c r="Y9" s="3512"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51"/>
      <c r="Q10" s="3346" t="str">
        <f t="shared" si="6"/>
        <v>土地使用年限（年）</v>
      </c>
      <c r="R10" s="766" t="s">
        <v>17</v>
      </c>
      <c r="S10" s="767">
        <f t="shared" si="0"/>
        <v>100</v>
      </c>
      <c r="T10" s="766" t="s">
        <v>17</v>
      </c>
      <c r="U10" s="767">
        <f t="shared" si="1"/>
        <v>100</v>
      </c>
      <c r="V10" s="766" t="s">
        <v>17</v>
      </c>
      <c r="W10" s="767">
        <f t="shared" si="2"/>
        <v>100</v>
      </c>
      <c r="X10" s="768"/>
      <c r="Y10" s="3512"/>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51"/>
      <c r="Q11" s="3346" t="str">
        <f t="shared" si="6"/>
        <v>容积率</v>
      </c>
      <c r="R11" s="766" t="s">
        <v>17</v>
      </c>
      <c r="S11" s="767">
        <f t="shared" si="0"/>
        <v>100</v>
      </c>
      <c r="T11" s="766" t="s">
        <v>17</v>
      </c>
      <c r="U11" s="767">
        <f t="shared" si="1"/>
        <v>100</v>
      </c>
      <c r="V11" s="766" t="s">
        <v>17</v>
      </c>
      <c r="W11" s="767">
        <f t="shared" si="2"/>
        <v>100</v>
      </c>
      <c r="X11" s="768"/>
      <c r="Y11" s="3512"/>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51"/>
      <c r="Q12" s="3346">
        <f t="shared" si="6"/>
        <v>111</v>
      </c>
      <c r="R12" s="766" t="s">
        <v>17</v>
      </c>
      <c r="S12" s="767">
        <f t="shared" si="0"/>
        <v>100</v>
      </c>
      <c r="T12" s="766" t="s">
        <v>17</v>
      </c>
      <c r="U12" s="767">
        <f t="shared" si="1"/>
        <v>100</v>
      </c>
      <c r="V12" s="766" t="s">
        <v>17</v>
      </c>
      <c r="W12" s="767">
        <f t="shared" si="2"/>
        <v>100</v>
      </c>
      <c r="X12" s="768"/>
      <c r="Y12" s="3512"/>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51"/>
      <c r="Q13" s="3346">
        <f t="shared" si="6"/>
        <v>111</v>
      </c>
      <c r="R13" s="766" t="s">
        <v>17</v>
      </c>
      <c r="S13" s="767">
        <f t="shared" si="0"/>
        <v>100</v>
      </c>
      <c r="T13" s="766" t="s">
        <v>17</v>
      </c>
      <c r="U13" s="767">
        <f t="shared" si="1"/>
        <v>100</v>
      </c>
      <c r="V13" s="766" t="s">
        <v>17</v>
      </c>
      <c r="W13" s="767">
        <f t="shared" si="2"/>
        <v>100</v>
      </c>
      <c r="X13" s="768"/>
      <c r="Y13" s="3512"/>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51"/>
      <c r="Q14" s="3346">
        <f t="shared" si="6"/>
        <v>111</v>
      </c>
      <c r="R14" s="766" t="s">
        <v>17</v>
      </c>
      <c r="S14" s="767">
        <f t="shared" si="0"/>
        <v>100</v>
      </c>
      <c r="T14" s="766" t="s">
        <v>17</v>
      </c>
      <c r="U14" s="767">
        <f t="shared" si="1"/>
        <v>100</v>
      </c>
      <c r="V14" s="766" t="s">
        <v>17</v>
      </c>
      <c r="W14" s="767">
        <f t="shared" si="2"/>
        <v>100</v>
      </c>
      <c r="X14" s="768"/>
      <c r="Y14" s="3512"/>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78" t="s">
        <v>2563</v>
      </c>
      <c r="Q15" s="3350" t="str">
        <f t="shared" si="6"/>
        <v>商业繁华度</v>
      </c>
      <c r="R15" s="770" t="s">
        <v>17</v>
      </c>
      <c r="S15" s="771">
        <f t="shared" si="0"/>
        <v>95</v>
      </c>
      <c r="T15" s="770" t="s">
        <v>17</v>
      </c>
      <c r="U15" s="771">
        <f t="shared" si="1"/>
        <v>95</v>
      </c>
      <c r="V15" s="770" t="s">
        <v>17</v>
      </c>
      <c r="W15" s="771">
        <f t="shared" si="2"/>
        <v>95</v>
      </c>
      <c r="X15" s="3352"/>
      <c r="Y15" s="3671"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79"/>
      <c r="Q16" s="3350"/>
      <c r="R16" s="770"/>
      <c r="S16" s="771"/>
      <c r="T16" s="770"/>
      <c r="U16" s="771"/>
      <c r="V16" s="770"/>
      <c r="W16" s="771"/>
      <c r="X16" s="3352"/>
      <c r="Y16" s="3672"/>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79"/>
      <c r="Q17" s="3350" t="str">
        <f>B17</f>
        <v>交通便捷度</v>
      </c>
      <c r="R17" s="770" t="s">
        <v>17</v>
      </c>
      <c r="S17" s="771">
        <f>F17</f>
        <v>95</v>
      </c>
      <c r="T17" s="770" t="s">
        <v>17</v>
      </c>
      <c r="U17" s="771">
        <f>H17</f>
        <v>95</v>
      </c>
      <c r="V17" s="770" t="s">
        <v>17</v>
      </c>
      <c r="W17" s="771">
        <f>J17</f>
        <v>95</v>
      </c>
      <c r="X17" s="3352"/>
      <c r="Y17" s="3672"/>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79"/>
      <c r="Q18" s="3350"/>
      <c r="R18" s="770"/>
      <c r="S18" s="771"/>
      <c r="T18" s="770"/>
      <c r="U18" s="771"/>
      <c r="V18" s="770"/>
      <c r="W18" s="771"/>
      <c r="X18" s="3352"/>
      <c r="Y18" s="3672"/>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79"/>
      <c r="Q19" s="3350" t="str">
        <f>B19</f>
        <v>公共配套设施</v>
      </c>
      <c r="R19" s="770" t="s">
        <v>17</v>
      </c>
      <c r="S19" s="771">
        <f>F19</f>
        <v>100</v>
      </c>
      <c r="T19" s="770" t="s">
        <v>17</v>
      </c>
      <c r="U19" s="771">
        <f>H19</f>
        <v>100</v>
      </c>
      <c r="V19" s="770" t="s">
        <v>17</v>
      </c>
      <c r="W19" s="771">
        <f>J19</f>
        <v>100</v>
      </c>
      <c r="X19" s="3352"/>
      <c r="Y19" s="3672"/>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79"/>
      <c r="Q20" s="3350"/>
      <c r="R20" s="770"/>
      <c r="S20" s="771"/>
      <c r="T20" s="770"/>
      <c r="U20" s="771"/>
      <c r="V20" s="770"/>
      <c r="W20" s="771"/>
      <c r="X20" s="3352"/>
      <c r="Y20" s="3672"/>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79"/>
      <c r="Q21" s="3350" t="str">
        <f>B21</f>
        <v>基础设施水平</v>
      </c>
      <c r="R21" s="770" t="s">
        <v>17</v>
      </c>
      <c r="S21" s="771">
        <f>F21</f>
        <v>100</v>
      </c>
      <c r="T21" s="770" t="s">
        <v>17</v>
      </c>
      <c r="U21" s="771">
        <f>H21</f>
        <v>100</v>
      </c>
      <c r="V21" s="770" t="s">
        <v>17</v>
      </c>
      <c r="W21" s="771">
        <f>J21</f>
        <v>100</v>
      </c>
      <c r="X21" s="3352"/>
      <c r="Y21" s="3672"/>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79"/>
      <c r="Q22" s="3350"/>
      <c r="R22" s="770"/>
      <c r="S22" s="771"/>
      <c r="T22" s="770"/>
      <c r="U22" s="771"/>
      <c r="V22" s="770"/>
      <c r="W22" s="771"/>
      <c r="X22" s="3352"/>
      <c r="Y22" s="3672"/>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79"/>
      <c r="Q23" s="3350" t="str">
        <f>B23</f>
        <v>自然及人文环境</v>
      </c>
      <c r="R23" s="770" t="s">
        <v>17</v>
      </c>
      <c r="S23" s="771">
        <f>F23</f>
        <v>100</v>
      </c>
      <c r="T23" s="770" t="s">
        <v>17</v>
      </c>
      <c r="U23" s="771">
        <f>H23</f>
        <v>100</v>
      </c>
      <c r="V23" s="770" t="s">
        <v>17</v>
      </c>
      <c r="W23" s="771">
        <f>J23</f>
        <v>100</v>
      </c>
      <c r="X23" s="3352"/>
      <c r="Y23" s="3672"/>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79"/>
      <c r="Q24" s="3350"/>
      <c r="R24" s="770"/>
      <c r="S24" s="771"/>
      <c r="T24" s="770"/>
      <c r="U24" s="771"/>
      <c r="V24" s="770"/>
      <c r="W24" s="771"/>
      <c r="X24" s="3352"/>
      <c r="Y24" s="3672"/>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79"/>
      <c r="Q25" s="3350" t="str">
        <f t="shared" ref="Q25:Q46" si="11">B25</f>
        <v>临街状况</v>
      </c>
      <c r="R25" s="770" t="s">
        <v>17</v>
      </c>
      <c r="S25" s="771">
        <f>F25</f>
        <v>100</v>
      </c>
      <c r="T25" s="770" t="s">
        <v>17</v>
      </c>
      <c r="U25" s="771">
        <f>H25</f>
        <v>100</v>
      </c>
      <c r="V25" s="770" t="s">
        <v>17</v>
      </c>
      <c r="W25" s="771">
        <f>J25</f>
        <v>100</v>
      </c>
      <c r="X25" s="3352"/>
      <c r="Y25" s="3672"/>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79"/>
      <c r="Q26" s="3350" t="str">
        <f t="shared" si="11"/>
        <v>平面位置/可视性</v>
      </c>
      <c r="R26" s="770" t="s">
        <v>17</v>
      </c>
      <c r="S26" s="771">
        <f>F26</f>
        <v>100</v>
      </c>
      <c r="T26" s="770" t="s">
        <v>17</v>
      </c>
      <c r="U26" s="771">
        <f>H26</f>
        <v>100</v>
      </c>
      <c r="V26" s="770" t="s">
        <v>17</v>
      </c>
      <c r="W26" s="771">
        <f>J26</f>
        <v>100</v>
      </c>
      <c r="X26" s="3352"/>
      <c r="Y26" s="3672"/>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79"/>
      <c r="Q27" s="3346" t="str">
        <f t="shared" si="11"/>
        <v>人流量</v>
      </c>
      <c r="R27" s="766" t="s">
        <v>17</v>
      </c>
      <c r="S27" s="767">
        <f>F27</f>
        <v>97</v>
      </c>
      <c r="T27" s="766" t="s">
        <v>17</v>
      </c>
      <c r="U27" s="767">
        <f>H27</f>
        <v>97</v>
      </c>
      <c r="V27" s="766" t="s">
        <v>17</v>
      </c>
      <c r="W27" s="767">
        <f>J27</f>
        <v>97</v>
      </c>
      <c r="X27" s="768"/>
      <c r="Y27" s="3672"/>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79"/>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72"/>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79"/>
      <c r="Q29" s="3350">
        <f t="shared" si="11"/>
        <v>111</v>
      </c>
      <c r="R29" s="770" t="s">
        <v>17</v>
      </c>
      <c r="S29" s="771">
        <f t="shared" si="12"/>
        <v>100</v>
      </c>
      <c r="T29" s="770" t="s">
        <v>17</v>
      </c>
      <c r="U29" s="771">
        <f t="shared" si="13"/>
        <v>100</v>
      </c>
      <c r="V29" s="770" t="s">
        <v>17</v>
      </c>
      <c r="W29" s="771">
        <f t="shared" si="14"/>
        <v>100</v>
      </c>
      <c r="X29" s="3352"/>
      <c r="Y29" s="3672"/>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79"/>
      <c r="Q30" s="3350">
        <f t="shared" si="11"/>
        <v>111</v>
      </c>
      <c r="R30" s="770" t="s">
        <v>17</v>
      </c>
      <c r="S30" s="771">
        <f t="shared" si="12"/>
        <v>100</v>
      </c>
      <c r="T30" s="770" t="s">
        <v>17</v>
      </c>
      <c r="U30" s="771">
        <f t="shared" si="13"/>
        <v>100</v>
      </c>
      <c r="V30" s="770" t="s">
        <v>17</v>
      </c>
      <c r="W30" s="771">
        <f t="shared" si="14"/>
        <v>100</v>
      </c>
      <c r="X30" s="3352"/>
      <c r="Y30" s="3672"/>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79"/>
      <c r="Q31" s="3350">
        <f t="shared" si="11"/>
        <v>111</v>
      </c>
      <c r="R31" s="770" t="s">
        <v>17</v>
      </c>
      <c r="S31" s="771">
        <f t="shared" si="12"/>
        <v>100</v>
      </c>
      <c r="T31" s="770" t="s">
        <v>17</v>
      </c>
      <c r="U31" s="771">
        <f t="shared" si="13"/>
        <v>100</v>
      </c>
      <c r="V31" s="770" t="s">
        <v>17</v>
      </c>
      <c r="W31" s="771">
        <f t="shared" si="14"/>
        <v>100</v>
      </c>
      <c r="X31" s="3352"/>
      <c r="Y31" s="3672"/>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101</v>
      </c>
      <c r="I32" s="2616" t="s">
        <v>3260</v>
      </c>
      <c r="J32" s="466">
        <f>SUMIF(100:100,I32,101:101)-SUMIF(100:100,C32,101:101)+100</f>
        <v>100</v>
      </c>
      <c r="K32" s="611">
        <v>1</v>
      </c>
      <c r="L32" s="1136"/>
      <c r="M32" s="1127"/>
      <c r="N32" s="1127"/>
      <c r="O32" s="1127"/>
      <c r="P32" s="3673" t="s">
        <v>2568</v>
      </c>
      <c r="Q32" s="3350" t="str">
        <f t="shared" si="11"/>
        <v>商业类型</v>
      </c>
      <c r="R32" s="770" t="s">
        <v>17</v>
      </c>
      <c r="S32" s="771">
        <f t="shared" si="12"/>
        <v>100</v>
      </c>
      <c r="T32" s="770" t="s">
        <v>17</v>
      </c>
      <c r="U32" s="771">
        <f t="shared" si="13"/>
        <v>101</v>
      </c>
      <c r="V32" s="770" t="s">
        <v>17</v>
      </c>
      <c r="W32" s="771">
        <f t="shared" si="14"/>
        <v>100</v>
      </c>
      <c r="X32" s="3352"/>
      <c r="Y32" s="3676" t="s">
        <v>2568</v>
      </c>
      <c r="Z32" s="3353" t="str">
        <f t="shared" si="15"/>
        <v>商业类型</v>
      </c>
      <c r="AA32" s="3351">
        <f t="shared" si="3"/>
        <v>1</v>
      </c>
      <c r="AB32" s="3351">
        <f t="shared" si="4"/>
        <v>0.99009900990099009</v>
      </c>
      <c r="AC32" s="3351">
        <f t="shared" si="5"/>
        <v>1</v>
      </c>
    </row>
    <row r="33" spans="1:29" s="470" customFormat="1" ht="15">
      <c r="A33" s="467"/>
      <c r="B33" s="3348" t="s">
        <v>2569</v>
      </c>
      <c r="C33" s="468">
        <v>1</v>
      </c>
      <c r="D33" s="135">
        <v>100</v>
      </c>
      <c r="E33" s="429">
        <v>1</v>
      </c>
      <c r="F33" s="424">
        <f>LOOKUP(E33,103:103,104:104)-LOOKUP(C33,103:103,104:104)+100</f>
        <v>100</v>
      </c>
      <c r="G33" s="428">
        <v>1</v>
      </c>
      <c r="H33" s="135">
        <f>LOOKUP(G33,103:103,104:104)-LOOKUP(C33,103:103,104:104)+100</f>
        <v>100</v>
      </c>
      <c r="I33" s="428">
        <v>1</v>
      </c>
      <c r="J33" s="135">
        <f>LOOKUP(I33,103:103,104:104)-LOOKUP(C33,103:103,104:104)+100</f>
        <v>100</v>
      </c>
      <c r="K33" s="612"/>
      <c r="L33" s="1134"/>
      <c r="M33" s="1137"/>
      <c r="N33" s="1137"/>
      <c r="O33" s="1137"/>
      <c r="P33" s="3674"/>
      <c r="Q33" s="772" t="str">
        <f t="shared" si="11"/>
        <v>项目建筑规模</v>
      </c>
      <c r="R33" s="773" t="s">
        <v>17</v>
      </c>
      <c r="S33" s="774">
        <f t="shared" si="12"/>
        <v>100</v>
      </c>
      <c r="T33" s="773" t="s">
        <v>17</v>
      </c>
      <c r="U33" s="774">
        <f t="shared" si="13"/>
        <v>100</v>
      </c>
      <c r="V33" s="773" t="s">
        <v>17</v>
      </c>
      <c r="W33" s="774">
        <f t="shared" si="14"/>
        <v>100</v>
      </c>
      <c r="X33" s="775"/>
      <c r="Y33" s="3676"/>
      <c r="Z33" s="776" t="str">
        <f t="shared" si="15"/>
        <v>项目建筑规模</v>
      </c>
      <c r="AA33" s="3351">
        <f t="shared" si="3"/>
        <v>1</v>
      </c>
      <c r="AB33" s="3351">
        <f t="shared" si="4"/>
        <v>1</v>
      </c>
      <c r="AC33" s="3351">
        <f t="shared" si="5"/>
        <v>1</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74"/>
      <c r="Q34" s="3350" t="str">
        <f t="shared" si="11"/>
        <v>建筑结构</v>
      </c>
      <c r="R34" s="770" t="s">
        <v>17</v>
      </c>
      <c r="S34" s="771">
        <f t="shared" si="12"/>
        <v>100</v>
      </c>
      <c r="T34" s="770" t="s">
        <v>17</v>
      </c>
      <c r="U34" s="771">
        <f t="shared" si="13"/>
        <v>100</v>
      </c>
      <c r="V34" s="770" t="s">
        <v>17</v>
      </c>
      <c r="W34" s="771">
        <f t="shared" si="14"/>
        <v>100</v>
      </c>
      <c r="X34" s="3352"/>
      <c r="Y34" s="3676"/>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74"/>
      <c r="Q35" s="3350" t="str">
        <f t="shared" si="11"/>
        <v>公共部分装修</v>
      </c>
      <c r="R35" s="770" t="s">
        <v>17</v>
      </c>
      <c r="S35" s="771">
        <f t="shared" si="12"/>
        <v>100</v>
      </c>
      <c r="T35" s="770" t="s">
        <v>17</v>
      </c>
      <c r="U35" s="771">
        <f t="shared" si="13"/>
        <v>100</v>
      </c>
      <c r="V35" s="770" t="s">
        <v>17</v>
      </c>
      <c r="W35" s="771">
        <f t="shared" si="14"/>
        <v>100</v>
      </c>
      <c r="X35" s="3352"/>
      <c r="Y35" s="3676"/>
      <c r="Z35" s="3353" t="str">
        <f t="shared" si="15"/>
        <v>公共部分装修</v>
      </c>
      <c r="AA35" s="3351">
        <f t="shared" si="3"/>
        <v>1</v>
      </c>
      <c r="AB35" s="3351">
        <f t="shared" si="4"/>
        <v>1</v>
      </c>
      <c r="AC35" s="3351">
        <f t="shared" si="5"/>
        <v>1</v>
      </c>
    </row>
    <row r="36" spans="1:29" ht="15">
      <c r="A36" s="471"/>
      <c r="B36" s="3348" t="s">
        <v>2665</v>
      </c>
      <c r="C36" s="473">
        <v>0.95</v>
      </c>
      <c r="D36" s="434">
        <v>100</v>
      </c>
      <c r="E36" s="473">
        <v>0.85</v>
      </c>
      <c r="F36" s="460">
        <f>LOOKUP(E36,110:110,111:111)-LOOKUP(C36,110:110,111:111)+100</f>
        <v>99</v>
      </c>
      <c r="G36" s="473">
        <v>0.85</v>
      </c>
      <c r="H36" s="460">
        <f>LOOKUP(G36,110:110,111:111)-LOOKUP(C36,110:110,111:111)+100</f>
        <v>99</v>
      </c>
      <c r="I36" s="473">
        <v>0.85</v>
      </c>
      <c r="J36" s="434">
        <f>LOOKUP(I36,110:110,111:111)-LOOKUP(C36,110:110,111:111)+100</f>
        <v>99</v>
      </c>
      <c r="K36" s="611">
        <v>1</v>
      </c>
      <c r="L36" s="1136"/>
      <c r="M36" s="1127"/>
      <c r="N36" s="1127"/>
      <c r="O36" s="1127"/>
      <c r="P36" s="3674"/>
      <c r="Q36" s="3350" t="str">
        <f t="shared" si="11"/>
        <v>成新度</v>
      </c>
      <c r="R36" s="770" t="s">
        <v>17</v>
      </c>
      <c r="S36" s="771">
        <f t="shared" si="12"/>
        <v>99</v>
      </c>
      <c r="T36" s="770" t="s">
        <v>17</v>
      </c>
      <c r="U36" s="771">
        <f t="shared" si="13"/>
        <v>99</v>
      </c>
      <c r="V36" s="770" t="s">
        <v>17</v>
      </c>
      <c r="W36" s="771">
        <f t="shared" si="14"/>
        <v>99</v>
      </c>
      <c r="X36" s="3352"/>
      <c r="Y36" s="3676"/>
      <c r="Z36" s="3353" t="str">
        <f t="shared" si="15"/>
        <v>成新度</v>
      </c>
      <c r="AA36" s="3351">
        <f t="shared" si="3"/>
        <v>1.0101010101010102</v>
      </c>
      <c r="AB36" s="3351">
        <f t="shared" si="4"/>
        <v>1.0101010101010102</v>
      </c>
      <c r="AC36" s="3351">
        <f t="shared" si="5"/>
        <v>1.0101010101010102</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74"/>
      <c r="Q37" s="3346" t="str">
        <f t="shared" si="11"/>
        <v>市政基础设施</v>
      </c>
      <c r="R37" s="766" t="s">
        <v>17</v>
      </c>
      <c r="S37" s="767">
        <f t="shared" si="12"/>
        <v>100</v>
      </c>
      <c r="T37" s="766" t="s">
        <v>17</v>
      </c>
      <c r="U37" s="767">
        <f t="shared" si="13"/>
        <v>100</v>
      </c>
      <c r="V37" s="766" t="s">
        <v>17</v>
      </c>
      <c r="W37" s="767">
        <f t="shared" si="14"/>
        <v>100</v>
      </c>
      <c r="X37" s="768"/>
      <c r="Y37" s="3676"/>
      <c r="Z37" s="3347" t="str">
        <f t="shared" si="15"/>
        <v>市政基础设施</v>
      </c>
      <c r="AA37" s="769">
        <f t="shared" si="3"/>
        <v>1</v>
      </c>
      <c r="AB37" s="769">
        <f t="shared" si="4"/>
        <v>1</v>
      </c>
      <c r="AC37" s="769">
        <f t="shared" si="5"/>
        <v>1</v>
      </c>
    </row>
    <row r="38" spans="1:29" ht="15">
      <c r="A38" s="471"/>
      <c r="B38" s="3348" t="s">
        <v>2667</v>
      </c>
      <c r="C38" s="2612" t="s">
        <v>3262</v>
      </c>
      <c r="D38" s="434">
        <v>100</v>
      </c>
      <c r="E38" s="2612" t="s">
        <v>3262</v>
      </c>
      <c r="F38" s="460">
        <f>SUMIF(114:114,E38,115:115)-SUMIF(114:114,C38,115:115)+100</f>
        <v>100</v>
      </c>
      <c r="G38" s="2612" t="s">
        <v>3262</v>
      </c>
      <c r="H38" s="434">
        <f>SUMIF(114:114,G38,115:115)-SUMIF(114:114,C38,115:115)+100</f>
        <v>100</v>
      </c>
      <c r="I38" s="2612" t="s">
        <v>3262</v>
      </c>
      <c r="J38" s="434">
        <f>SUMIF(114:114,I38,115:115)-SUMIF(114:114,C38,115:115)+100</f>
        <v>100</v>
      </c>
      <c r="K38" s="611">
        <v>2</v>
      </c>
      <c r="L38" s="1136"/>
      <c r="M38" s="1127"/>
      <c r="N38" s="1127"/>
      <c r="O38" s="1127"/>
      <c r="P38" s="3674" t="s">
        <v>2568</v>
      </c>
      <c r="Q38" s="3350" t="str">
        <f t="shared" si="11"/>
        <v>业态</v>
      </c>
      <c r="R38" s="770" t="s">
        <v>17</v>
      </c>
      <c r="S38" s="771">
        <f t="shared" si="12"/>
        <v>100</v>
      </c>
      <c r="T38" s="770" t="s">
        <v>17</v>
      </c>
      <c r="U38" s="771">
        <f t="shared" si="13"/>
        <v>100</v>
      </c>
      <c r="V38" s="770" t="s">
        <v>17</v>
      </c>
      <c r="W38" s="771">
        <f t="shared" si="14"/>
        <v>100</v>
      </c>
      <c r="X38" s="3352"/>
      <c r="Y38" s="3676"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74"/>
      <c r="Q39" s="3350" t="str">
        <f t="shared" si="11"/>
        <v>层高</v>
      </c>
      <c r="R39" s="770" t="s">
        <v>17</v>
      </c>
      <c r="S39" s="771">
        <f t="shared" si="12"/>
        <v>95</v>
      </c>
      <c r="T39" s="770" t="s">
        <v>17</v>
      </c>
      <c r="U39" s="771">
        <f t="shared" si="13"/>
        <v>95</v>
      </c>
      <c r="V39" s="770" t="s">
        <v>17</v>
      </c>
      <c r="W39" s="771">
        <f t="shared" si="14"/>
        <v>95</v>
      </c>
      <c r="X39" s="3352"/>
      <c r="Y39" s="3676"/>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74"/>
      <c r="Q40" s="3350" t="str">
        <f t="shared" si="11"/>
        <v>单套建筑面积</v>
      </c>
      <c r="R40" s="770" t="s">
        <v>17</v>
      </c>
      <c r="S40" s="771">
        <f t="shared" si="12"/>
        <v>100</v>
      </c>
      <c r="T40" s="770" t="s">
        <v>17</v>
      </c>
      <c r="U40" s="771">
        <f t="shared" si="13"/>
        <v>100</v>
      </c>
      <c r="V40" s="770" t="s">
        <v>17</v>
      </c>
      <c r="W40" s="771">
        <f t="shared" si="14"/>
        <v>100</v>
      </c>
      <c r="X40" s="3352"/>
      <c r="Y40" s="3676"/>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74"/>
      <c r="Q41" s="772" t="str">
        <f t="shared" si="11"/>
        <v>进深比</v>
      </c>
      <c r="R41" s="773" t="s">
        <v>17</v>
      </c>
      <c r="S41" s="774">
        <f t="shared" si="12"/>
        <v>100</v>
      </c>
      <c r="T41" s="773" t="s">
        <v>17</v>
      </c>
      <c r="U41" s="774">
        <f t="shared" si="13"/>
        <v>100</v>
      </c>
      <c r="V41" s="773" t="s">
        <v>17</v>
      </c>
      <c r="W41" s="774">
        <f t="shared" si="14"/>
        <v>100</v>
      </c>
      <c r="X41" s="775"/>
      <c r="Y41" s="3676"/>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74"/>
      <c r="Q42" s="3350" t="str">
        <f t="shared" si="11"/>
        <v>内部装修</v>
      </c>
      <c r="R42" s="770" t="s">
        <v>17</v>
      </c>
      <c r="S42" s="771">
        <f t="shared" si="12"/>
        <v>100</v>
      </c>
      <c r="T42" s="770" t="s">
        <v>17</v>
      </c>
      <c r="U42" s="771">
        <f t="shared" si="13"/>
        <v>100</v>
      </c>
      <c r="V42" s="770" t="s">
        <v>17</v>
      </c>
      <c r="W42" s="771">
        <f t="shared" si="14"/>
        <v>100</v>
      </c>
      <c r="X42" s="3352"/>
      <c r="Y42" s="3676"/>
      <c r="Z42" s="3353" t="str">
        <f t="shared" si="15"/>
        <v>内部装修</v>
      </c>
      <c r="AA42" s="3351">
        <f t="shared" si="3"/>
        <v>1</v>
      </c>
      <c r="AB42" s="3351">
        <f t="shared" si="4"/>
        <v>1</v>
      </c>
      <c r="AC42" s="3351">
        <f t="shared" si="5"/>
        <v>1</v>
      </c>
    </row>
    <row r="43" spans="1:29" ht="15">
      <c r="A43" s="471"/>
      <c r="B43" s="3348" t="s">
        <v>2579</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v>3</v>
      </c>
      <c r="L43" s="1136"/>
      <c r="M43" s="1127"/>
      <c r="N43" s="1127"/>
      <c r="O43" s="1127"/>
      <c r="P43" s="3674"/>
      <c r="Q43" s="3350" t="str">
        <f t="shared" si="11"/>
        <v>内部装修维护情况</v>
      </c>
      <c r="R43" s="770" t="s">
        <v>17</v>
      </c>
      <c r="S43" s="771">
        <f t="shared" si="12"/>
        <v>100</v>
      </c>
      <c r="T43" s="770" t="s">
        <v>17</v>
      </c>
      <c r="U43" s="771">
        <f t="shared" si="13"/>
        <v>100</v>
      </c>
      <c r="V43" s="770" t="s">
        <v>17</v>
      </c>
      <c r="W43" s="771">
        <f t="shared" si="14"/>
        <v>100</v>
      </c>
      <c r="X43" s="3352"/>
      <c r="Y43" s="3676"/>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74"/>
      <c r="Q44" s="3346">
        <f t="shared" si="11"/>
        <v>111</v>
      </c>
      <c r="R44" s="766" t="s">
        <v>17</v>
      </c>
      <c r="S44" s="767">
        <f t="shared" si="12"/>
        <v>100</v>
      </c>
      <c r="T44" s="766" t="s">
        <v>17</v>
      </c>
      <c r="U44" s="767">
        <f t="shared" si="13"/>
        <v>100</v>
      </c>
      <c r="V44" s="766" t="s">
        <v>17</v>
      </c>
      <c r="W44" s="767">
        <f t="shared" si="14"/>
        <v>100</v>
      </c>
      <c r="X44" s="768"/>
      <c r="Y44" s="3676"/>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74"/>
      <c r="Q45" s="3350">
        <f t="shared" si="11"/>
        <v>111</v>
      </c>
      <c r="R45" s="770" t="s">
        <v>17</v>
      </c>
      <c r="S45" s="771">
        <f t="shared" si="12"/>
        <v>100</v>
      </c>
      <c r="T45" s="770" t="s">
        <v>17</v>
      </c>
      <c r="U45" s="771">
        <f t="shared" si="13"/>
        <v>100</v>
      </c>
      <c r="V45" s="770" t="s">
        <v>17</v>
      </c>
      <c r="W45" s="771">
        <f t="shared" si="14"/>
        <v>100</v>
      </c>
      <c r="X45" s="3352"/>
      <c r="Y45" s="3676"/>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75"/>
      <c r="Q46" s="3350">
        <f t="shared" si="11"/>
        <v>111</v>
      </c>
      <c r="R46" s="770" t="s">
        <v>17</v>
      </c>
      <c r="S46" s="771">
        <f t="shared" si="12"/>
        <v>100</v>
      </c>
      <c r="T46" s="770" t="s">
        <v>17</v>
      </c>
      <c r="U46" s="771">
        <f t="shared" si="13"/>
        <v>100</v>
      </c>
      <c r="V46" s="770" t="s">
        <v>17</v>
      </c>
      <c r="W46" s="771">
        <f t="shared" si="14"/>
        <v>100</v>
      </c>
      <c r="X46" s="3352"/>
      <c r="Y46" s="3677"/>
      <c r="Z46" s="3353">
        <f t="shared" si="15"/>
        <v>111</v>
      </c>
      <c r="AA46" s="3351">
        <f t="shared" si="3"/>
        <v>1</v>
      </c>
      <c r="AB46" s="3351">
        <f t="shared" si="4"/>
        <v>1</v>
      </c>
      <c r="AC46" s="3351">
        <f t="shared" si="5"/>
        <v>1</v>
      </c>
    </row>
    <row r="47" spans="1:29" ht="15">
      <c r="A47" s="478" t="s">
        <v>2580</v>
      </c>
      <c r="B47" s="479"/>
      <c r="C47" s="1403" t="s">
        <v>1</v>
      </c>
      <c r="D47" s="1404"/>
      <c r="E47" s="1405">
        <v>5.9</v>
      </c>
      <c r="F47" s="1406"/>
      <c r="G47" s="1407">
        <v>6.2</v>
      </c>
      <c r="H47" s="1408"/>
      <c r="I47" s="1405">
        <v>6.1</v>
      </c>
      <c r="J47" s="1408"/>
      <c r="K47" s="779"/>
      <c r="L47" s="1139"/>
      <c r="M47" s="1140"/>
      <c r="N47" s="1127"/>
      <c r="O47" s="1140"/>
      <c r="P47" s="3669" t="str">
        <f>A47</f>
        <v>成交单价（元/平方米）</v>
      </c>
      <c r="Q47" s="3669"/>
      <c r="R47" s="3664">
        <f>E47</f>
        <v>5.9</v>
      </c>
      <c r="S47" s="3664"/>
      <c r="T47" s="3664">
        <f>G47</f>
        <v>6.2</v>
      </c>
      <c r="U47" s="3664"/>
      <c r="V47" s="3664">
        <f>I47</f>
        <v>6.1</v>
      </c>
      <c r="W47" s="3664"/>
      <c r="X47" s="755"/>
      <c r="Y47" s="777"/>
      <c r="Z47" s="755"/>
      <c r="AA47" s="755"/>
      <c r="AB47" s="755"/>
      <c r="AC47" s="755"/>
    </row>
    <row r="48" spans="1:29" ht="15.75" thickBot="1">
      <c r="A48" s="485" t="s">
        <v>2581</v>
      </c>
      <c r="B48" s="486"/>
      <c r="C48" s="1409">
        <f>R49</f>
        <v>7.4</v>
      </c>
      <c r="D48" s="1410"/>
      <c r="E48" s="1411">
        <f>R48</f>
        <v>7.2</v>
      </c>
      <c r="F48" s="1411"/>
      <c r="G48" s="1409">
        <f>T48</f>
        <v>7.5</v>
      </c>
      <c r="H48" s="1410"/>
      <c r="I48" s="1411">
        <f>V48</f>
        <v>7.4</v>
      </c>
      <c r="J48" s="1410"/>
      <c r="K48" s="780"/>
      <c r="L48" s="1139"/>
      <c r="M48" s="1140"/>
      <c r="N48" s="1127"/>
      <c r="O48" s="1140"/>
      <c r="P48" s="3669" t="str">
        <f>A48</f>
        <v>比较价值（元/平方米）</v>
      </c>
      <c r="Q48" s="3669"/>
      <c r="R48" s="3670">
        <f>IF(F1="售价",ROUND(PRODUCT(R47,AA7:AA46),0),ROUND(PRODUCT(R47,AA7:AA46),1))</f>
        <v>7.2</v>
      </c>
      <c r="S48" s="3670"/>
      <c r="T48" s="3670">
        <f>IF(F1="售价",ROUND(PRODUCT(T47,AB7:AB46),0),ROUND(PRODUCT(T47,AB7:AB46),1))</f>
        <v>7.5</v>
      </c>
      <c r="U48" s="3670"/>
      <c r="V48" s="3670">
        <f>IF(F1="售价",ROUND(PRODUCT(V47,AC7:AC46),0),ROUND(PRODUCT(V47,AC7:AC46),1))</f>
        <v>7.4</v>
      </c>
      <c r="W48" s="3670"/>
      <c r="X48" s="755"/>
      <c r="Y48" s="755"/>
      <c r="Z48" s="755"/>
      <c r="AA48" s="755"/>
      <c r="AB48" s="755"/>
      <c r="AC48" s="755"/>
    </row>
    <row r="49" spans="1:29" ht="15.75" thickBot="1">
      <c r="A49" s="491" t="s">
        <v>2582</v>
      </c>
      <c r="B49" s="492"/>
      <c r="C49" s="1413">
        <f>R49</f>
        <v>7.4</v>
      </c>
      <c r="D49" s="1413"/>
      <c r="E49" s="1413"/>
      <c r="F49" s="1413"/>
      <c r="G49" s="1413"/>
      <c r="H49" s="1413"/>
      <c r="I49" s="1413"/>
      <c r="J49" s="1413"/>
      <c r="K49" s="781"/>
      <c r="L49" s="1139"/>
      <c r="M49" s="1140"/>
      <c r="N49" s="1127"/>
      <c r="O49" s="1140"/>
      <c r="P49" s="3666" t="str">
        <f>A49</f>
        <v>估价对象XX用房的比较价值（楼面单价，元/平方米）</v>
      </c>
      <c r="Q49" s="3667"/>
      <c r="R49" s="3668">
        <f>IF(F1="售价",ROUND(AVERAGE(R48:V48),0),ROUND(AVERAGE(R48:V48),1))</f>
        <v>7.4</v>
      </c>
      <c r="S49" s="3668"/>
      <c r="T49" s="3668"/>
      <c r="U49" s="3668"/>
      <c r="V49" s="3668"/>
      <c r="W49" s="3668"/>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0.22033898305084731</v>
      </c>
      <c r="F52" s="499" t="str">
        <f>IF(OR(E52&gt;=0.3,E52&lt;=-0.3),"超过30%","")</f>
        <v/>
      </c>
      <c r="G52" s="498">
        <f>IF(G47&lt;G48,G48/G47-1,G47/G48-1)</f>
        <v>0.20967741935483875</v>
      </c>
      <c r="H52" s="499" t="str">
        <f>IF(OR(G52&gt;=0.3,G52&lt;=-0.3),"超过30%","")</f>
        <v/>
      </c>
      <c r="I52" s="498">
        <f>IF(I47&lt;I48,I48/I47-1,I47/I48-1)</f>
        <v>0.21311475409836089</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4.1666666666666741E-2</v>
      </c>
      <c r="F53" s="499" t="str">
        <f>IF(OR(E53&gt;=0.2,E53&lt;=-0.2),"超过20%","")</f>
        <v/>
      </c>
      <c r="G53" s="498">
        <f>IF(G48&lt;I48,I48/G48-1,G48/I48-1)</f>
        <v>1.3513513513513375E-2</v>
      </c>
      <c r="H53" s="499" t="str">
        <f>IF(OR(G53&gt;=0.2,G53&lt;=-0.2),"超过20%","")</f>
        <v/>
      </c>
      <c r="I53" s="498">
        <f>IF(I48&lt;E48,E48/I48-1,I48/E48-1)</f>
        <v>2.7777777777777901E-2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5.0847457627118509E-2</v>
      </c>
      <c r="F54" s="499" t="str">
        <f>IF(OR(E54&gt;=0.3,E54&lt;=-0.3),"超过30%","")</f>
        <v/>
      </c>
      <c r="G54" s="498">
        <f>IF(G47&lt;I47,I47/G47-1,G47/I47-1)</f>
        <v>1.6393442622950838E-2</v>
      </c>
      <c r="H54" s="499" t="str">
        <f>IF(OR(G54&gt;=0.3,G54&lt;=-0.3),"超过30%","")</f>
        <v/>
      </c>
      <c r="I54" s="498">
        <f>IF(I47&lt;E47,E47/I47-1,I47/E47-1)</f>
        <v>3.3898305084745672E-2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9"/>
      <c r="O101" s="1149"/>
      <c r="P101" s="2629"/>
      <c r="Q101" s="503"/>
    </row>
    <row r="102" spans="1:17" ht="15.75" thickTop="1">
      <c r="A102" s="533"/>
      <c r="B102" s="537" t="s">
        <v>2616</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c r="F103" s="594"/>
      <c r="G103" s="594"/>
      <c r="H103" s="594"/>
      <c r="I103" s="594"/>
      <c r="J103" s="595"/>
      <c r="K103" s="595"/>
      <c r="L103" s="596"/>
      <c r="M103" s="597"/>
      <c r="N103" s="1150"/>
      <c r="O103" s="1150"/>
      <c r="P103" s="2630"/>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13" priority="16"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10</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58" t="s">
        <v>1402</v>
      </c>
      <c r="C6" s="1292">
        <f ca="1">ROUND(F6*F8*F7*(1-F9),0)</f>
        <v>0</v>
      </c>
      <c r="D6" s="163" t="s">
        <v>3027</v>
      </c>
      <c r="E6" s="346" t="s">
        <v>1404</v>
      </c>
      <c r="F6" s="347">
        <f ca="1">INDIRECT("'数据-取费表'!u"&amp;$G$1)</f>
        <v>0</v>
      </c>
      <c r="G6" s="1847"/>
      <c r="H6" s="1287" t="s">
        <v>1034</v>
      </c>
      <c r="I6" s="3758" t="s">
        <v>1402</v>
      </c>
      <c r="J6" s="345">
        <f ca="1">ROUND(M6*M8*M7*(1-M9),0)</f>
        <v>0</v>
      </c>
      <c r="K6" s="1830" t="s">
        <v>3030</v>
      </c>
      <c r="L6" s="346" t="s">
        <v>1404</v>
      </c>
      <c r="M6" s="347">
        <f ca="1">INDIRECT("'数据-取费表'!z"&amp;$G$1)</f>
        <v>0</v>
      </c>
    </row>
    <row r="7" spans="1:37" ht="18" customHeight="1">
      <c r="A7" s="1291"/>
      <c r="B7" s="3759"/>
      <c r="C7" s="1293"/>
      <c r="D7" s="351"/>
      <c r="E7" s="1294" t="s">
        <v>1405</v>
      </c>
      <c r="F7" s="347">
        <f ca="1">IF(INDIRECT("'数据-取费表'!ah"&amp;$G$1)="",INDIRECT("'数据-取费表'!k"&amp;$G$1),INDIRECT("'数据-取费表'!ah"&amp;$G$1))</f>
        <v>0</v>
      </c>
      <c r="G7" s="1847"/>
      <c r="H7" s="348"/>
      <c r="I7" s="3759"/>
      <c r="J7" s="350"/>
      <c r="K7" s="351"/>
      <c r="L7" s="346" t="s">
        <v>1405</v>
      </c>
      <c r="M7" s="347">
        <f ca="1">F7</f>
        <v>0</v>
      </c>
    </row>
    <row r="8" spans="1:37" ht="18" customHeight="1">
      <c r="A8" s="348"/>
      <c r="B8" s="3759"/>
      <c r="C8" s="350"/>
      <c r="D8" s="351"/>
      <c r="E8" s="346" t="s">
        <v>1406</v>
      </c>
      <c r="F8" s="347">
        <f ca="1">INDIRECT("'数据-取费表'!ai"&amp;$G$1)</f>
        <v>0</v>
      </c>
      <c r="G8" s="1847"/>
      <c r="H8" s="348"/>
      <c r="I8" s="3759"/>
      <c r="J8" s="350"/>
      <c r="K8" s="351"/>
      <c r="L8" s="346" t="s">
        <v>1406</v>
      </c>
      <c r="M8" s="347">
        <f ca="1">INDIRECT("'数据-取费表'!ai"&amp;$G$1)</f>
        <v>0</v>
      </c>
    </row>
    <row r="9" spans="1:37" ht="18" customHeight="1">
      <c r="A9" s="348"/>
      <c r="B9" s="3760"/>
      <c r="C9" s="350"/>
      <c r="D9" s="351"/>
      <c r="E9" s="346" t="s">
        <v>1407</v>
      </c>
      <c r="F9" s="356">
        <f ca="1">INDIRECT("'数据-取费表'!w"&amp;$G$1)</f>
        <v>0</v>
      </c>
      <c r="G9" s="1847"/>
      <c r="H9" s="348"/>
      <c r="I9" s="3760"/>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0</v>
      </c>
      <c r="O48" s="1880" t="s">
        <v>1040</v>
      </c>
      <c r="P48" s="1881" t="s">
        <v>1531</v>
      </c>
      <c r="Q48" s="1882" t="e">
        <f ca="1">J60</f>
        <v>#DIV/0!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#DIV/0!</v>
      </c>
      <c r="R50" s="1882"/>
    </row>
    <row r="51" spans="1:18" s="1838" customFormat="1" ht="13.5" thickBot="1">
      <c r="A51" s="1192"/>
      <c r="B51" s="1194"/>
      <c r="C51" s="1195"/>
      <c r="D51" s="1168"/>
      <c r="E51" s="1196" t="s">
        <v>1406</v>
      </c>
      <c r="F51" s="347">
        <f ca="1">F8</f>
        <v>0</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56" t="s">
        <v>1547</v>
      </c>
      <c r="L53" s="3757"/>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0</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#DIV/0!</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e">
        <f ca="1">IF(OR(M47="住宅",J51&lt;L48,J56="是"),"0",ROUND(J59/(1+J52)^J53,0))</f>
        <v>#DIV/0!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46053</v>
      </c>
      <c r="C2" s="2565" t="s">
        <v>2522</v>
      </c>
      <c r="D2" s="2566" t="s">
        <v>2523</v>
      </c>
      <c r="E2" s="2567">
        <f>SUM(E6:E13)</f>
        <v>9401.5500000000029</v>
      </c>
    </row>
    <row r="3" spans="1:6" ht="15.75">
      <c r="A3" s="2563" t="s">
        <v>1394</v>
      </c>
      <c r="B3" s="2564">
        <f ca="1">ROUND(B2*10000/E2,0)</f>
        <v>48984</v>
      </c>
      <c r="C3" s="2565" t="s">
        <v>2530</v>
      </c>
      <c r="D3" s="2568"/>
      <c r="E3" s="2569"/>
    </row>
    <row r="4" spans="1:6" ht="15.75">
      <c r="A4" s="2570"/>
      <c r="B4" s="2568"/>
      <c r="C4" s="2568"/>
      <c r="D4" s="2568"/>
      <c r="E4" s="2569"/>
    </row>
    <row r="5" spans="1:6" ht="15">
      <c r="A5" s="2571" t="s">
        <v>2524</v>
      </c>
      <c r="B5" s="3761" t="s">
        <v>2525</v>
      </c>
      <c r="C5" s="3761"/>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收益法已出租</v>
      </c>
      <c r="B7" s="2574">
        <f ca="1">IF(F7="是",'数据-取费表'!AO7,0)</f>
        <v>10833</v>
      </c>
      <c r="C7" s="2565" t="s">
        <v>2522</v>
      </c>
      <c r="D7" s="2568"/>
      <c r="E7" s="2576">
        <f>IF(OR(A7=0,F7="否"),0,'数据-取费表'!K7+'数据-取费表'!S7)</f>
        <v>2188.9700000000003</v>
      </c>
      <c r="F7" s="2577" t="s">
        <v>2528</v>
      </c>
    </row>
    <row r="8" spans="1:6">
      <c r="A8" s="2575" t="str">
        <f>'数据-取费表'!AN8</f>
        <v>收益法 (未出租)</v>
      </c>
      <c r="B8" s="2574">
        <f ca="1">IF(F8="是",'数据-取费表'!AO8,0)</f>
        <v>35220</v>
      </c>
      <c r="C8" s="2565" t="s">
        <v>2522</v>
      </c>
      <c r="D8" s="2568"/>
      <c r="E8" s="2576">
        <f>IF(OR(A8=0,F8="否"),0,'数据-取费表'!K8+'数据-取费表'!S8)</f>
        <v>7212.5800000000027</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62" t="s">
        <v>1075</v>
      </c>
      <c r="B1" s="3763"/>
      <c r="C1" s="3764"/>
      <c r="D1" s="3765">
        <f>SUM(I10,I15,I20,I21,I23)</f>
        <v>0</v>
      </c>
      <c r="E1" s="3765"/>
      <c r="F1" s="3765"/>
      <c r="G1" s="3765"/>
      <c r="H1" s="3765"/>
      <c r="I1" s="3766"/>
    </row>
    <row r="2" spans="1:9">
      <c r="A2" s="3767" t="s">
        <v>1076</v>
      </c>
      <c r="B2" s="3768" t="s">
        <v>1077</v>
      </c>
      <c r="C2" s="3768"/>
      <c r="D2" s="1297" t="s">
        <v>1078</v>
      </c>
      <c r="E2" s="1297" t="s">
        <v>1079</v>
      </c>
      <c r="F2" s="1297" t="s">
        <v>1080</v>
      </c>
      <c r="G2" s="1297" t="s">
        <v>1081</v>
      </c>
      <c r="H2" s="1297" t="s">
        <v>1082</v>
      </c>
      <c r="I2" s="1298" t="s">
        <v>1083</v>
      </c>
    </row>
    <row r="3" spans="1:9">
      <c r="A3" s="3767"/>
      <c r="B3" s="3768" t="s">
        <v>1084</v>
      </c>
      <c r="C3" s="3768"/>
      <c r="D3" s="1299"/>
      <c r="E3" s="1297"/>
      <c r="F3" s="1300"/>
      <c r="G3" s="1300"/>
      <c r="H3" s="1301"/>
      <c r="I3" s="1302">
        <f>ROUND(D3*E3*F3*G3*H3/10000,0)</f>
        <v>0</v>
      </c>
    </row>
    <row r="4" spans="1:9">
      <c r="A4" s="3767"/>
      <c r="B4" s="3768" t="s">
        <v>1085</v>
      </c>
      <c r="C4" s="3768"/>
      <c r="D4" s="1299"/>
      <c r="E4" s="1297"/>
      <c r="F4" s="1300"/>
      <c r="G4" s="1300"/>
      <c r="H4" s="1301"/>
      <c r="I4" s="1302">
        <f t="shared" ref="I4:I9" si="0">ROUND(D4*E4*F4*G4*H4/10000,0)</f>
        <v>0</v>
      </c>
    </row>
    <row r="5" spans="1:9">
      <c r="A5" s="3767"/>
      <c r="B5" s="3768" t="s">
        <v>1086</v>
      </c>
      <c r="C5" s="3768"/>
      <c r="D5" s="1299"/>
      <c r="E5" s="1297"/>
      <c r="F5" s="1300"/>
      <c r="G5" s="1300"/>
      <c r="H5" s="1301"/>
      <c r="I5" s="1302">
        <f t="shared" si="0"/>
        <v>0</v>
      </c>
    </row>
    <row r="6" spans="1:9">
      <c r="A6" s="3767"/>
      <c r="B6" s="3768" t="s">
        <v>1087</v>
      </c>
      <c r="C6" s="3768"/>
      <c r="D6" s="1299"/>
      <c r="E6" s="1297"/>
      <c r="F6" s="1300"/>
      <c r="G6" s="1300"/>
      <c r="H6" s="1301"/>
      <c r="I6" s="1302">
        <f t="shared" si="0"/>
        <v>0</v>
      </c>
    </row>
    <row r="7" spans="1:9">
      <c r="A7" s="3767"/>
      <c r="B7" s="3768" t="s">
        <v>1088</v>
      </c>
      <c r="C7" s="3768"/>
      <c r="D7" s="1299"/>
      <c r="E7" s="1297"/>
      <c r="F7" s="1300"/>
      <c r="G7" s="1300"/>
      <c r="H7" s="1301"/>
      <c r="I7" s="1302">
        <f t="shared" si="0"/>
        <v>0</v>
      </c>
    </row>
    <row r="8" spans="1:9">
      <c r="A8" s="3767"/>
      <c r="B8" s="3768" t="s">
        <v>1089</v>
      </c>
      <c r="C8" s="3768"/>
      <c r="D8" s="1299"/>
      <c r="E8" s="1297"/>
      <c r="F8" s="1300"/>
      <c r="G8" s="1300"/>
      <c r="H8" s="1301"/>
      <c r="I8" s="1302">
        <f t="shared" si="0"/>
        <v>0</v>
      </c>
    </row>
    <row r="9" spans="1:9">
      <c r="A9" s="3767"/>
      <c r="B9" s="3768" t="s">
        <v>1090</v>
      </c>
      <c r="C9" s="3768"/>
      <c r="D9" s="1299"/>
      <c r="E9" s="1297"/>
      <c r="F9" s="1300"/>
      <c r="G9" s="1300"/>
      <c r="H9" s="1301"/>
      <c r="I9" s="1302">
        <f t="shared" si="0"/>
        <v>0</v>
      </c>
    </row>
    <row r="10" spans="1:9">
      <c r="A10" s="3767"/>
      <c r="B10" s="3769" t="s">
        <v>1091</v>
      </c>
      <c r="C10" s="3769"/>
      <c r="D10" s="1303"/>
      <c r="E10" s="1303" t="e">
        <f>ROUND(D1*10000/D10/H9,0)</f>
        <v>#DIV/0!</v>
      </c>
      <c r="F10" s="1304"/>
      <c r="G10" s="1304"/>
      <c r="H10" s="1305"/>
      <c r="I10" s="1306">
        <f>SUM(I3:I9)</f>
        <v>0</v>
      </c>
    </row>
    <row r="11" spans="1:9" ht="14.25">
      <c r="A11" s="3767" t="s">
        <v>1092</v>
      </c>
      <c r="B11" s="3768" t="s">
        <v>1093</v>
      </c>
      <c r="C11" s="3768"/>
      <c r="D11" s="1299" t="s">
        <v>1094</v>
      </c>
      <c r="E11" s="1299" t="s">
        <v>1095</v>
      </c>
      <c r="F11" s="1300" t="s">
        <v>1096</v>
      </c>
      <c r="G11" s="1300" t="s">
        <v>1082</v>
      </c>
      <c r="H11" s="1307" t="s">
        <v>1097</v>
      </c>
      <c r="I11" s="1298" t="s">
        <v>1083</v>
      </c>
    </row>
    <row r="12" spans="1:9">
      <c r="A12" s="3767"/>
      <c r="B12" s="3768" t="s">
        <v>1098</v>
      </c>
      <c r="C12" s="3768"/>
      <c r="D12" s="1299"/>
      <c r="E12" s="1299"/>
      <c r="F12" s="1300"/>
      <c r="G12" s="1301"/>
      <c r="H12" s="1308"/>
      <c r="I12" s="1298">
        <f>ROUND(D12*E12*F12*G12/10000,0)</f>
        <v>0</v>
      </c>
    </row>
    <row r="13" spans="1:9">
      <c r="A13" s="3767"/>
      <c r="B13" s="3768" t="s">
        <v>1099</v>
      </c>
      <c r="C13" s="3768"/>
      <c r="D13" s="1299"/>
      <c r="E13" s="1299"/>
      <c r="F13" s="1300"/>
      <c r="G13" s="1301"/>
      <c r="H13" s="1308"/>
      <c r="I13" s="1298">
        <f>ROUND(D13*E13*F13*G13/10000,0)</f>
        <v>0</v>
      </c>
    </row>
    <row r="14" spans="1:9">
      <c r="A14" s="3767"/>
      <c r="B14" s="3768" t="s">
        <v>1100</v>
      </c>
      <c r="C14" s="3768"/>
      <c r="D14" s="1299"/>
      <c r="E14" s="1299"/>
      <c r="F14" s="1300"/>
      <c r="G14" s="1301"/>
      <c r="H14" s="1308"/>
      <c r="I14" s="1298">
        <f>ROUND(D14*E14*F14*G14/10000,0)</f>
        <v>0</v>
      </c>
    </row>
    <row r="15" spans="1:9">
      <c r="A15" s="3767"/>
      <c r="B15" s="3769" t="s">
        <v>1091</v>
      </c>
      <c r="C15" s="3769"/>
      <c r="D15" s="1303"/>
      <c r="E15" s="1303">
        <f>SUM(E12:E14)</f>
        <v>0</v>
      </c>
      <c r="F15" s="1304"/>
      <c r="G15" s="1301"/>
      <c r="H15" s="1308"/>
      <c r="I15" s="1309">
        <f>SUM(I12:I14)</f>
        <v>0</v>
      </c>
    </row>
    <row r="16" spans="1:9" ht="24">
      <c r="A16" s="3767" t="s">
        <v>1101</v>
      </c>
      <c r="B16" s="3768" t="s">
        <v>1102</v>
      </c>
      <c r="C16" s="3768"/>
      <c r="D16" s="1299" t="s">
        <v>1078</v>
      </c>
      <c r="E16" s="1310" t="s">
        <v>1103</v>
      </c>
      <c r="F16" s="1300" t="s">
        <v>1104</v>
      </c>
      <c r="G16" s="1301" t="s">
        <v>1082</v>
      </c>
      <c r="H16" s="1307" t="s">
        <v>1097</v>
      </c>
      <c r="I16" s="1298" t="s">
        <v>1083</v>
      </c>
    </row>
    <row r="17" spans="1:9" ht="14.25">
      <c r="A17" s="3767"/>
      <c r="B17" s="3768" t="s">
        <v>1105</v>
      </c>
      <c r="C17" s="3768"/>
      <c r="D17" s="1299"/>
      <c r="E17" s="1299"/>
      <c r="F17" s="1300"/>
      <c r="G17" s="1301"/>
      <c r="H17" s="1311"/>
      <c r="I17" s="1312">
        <f>ROUND(D17*E17*F17*G17/10000,0)</f>
        <v>0</v>
      </c>
    </row>
    <row r="18" spans="1:9" ht="14.25">
      <c r="A18" s="3767"/>
      <c r="B18" s="3768" t="s">
        <v>1106</v>
      </c>
      <c r="C18" s="3768"/>
      <c r="D18" s="1299"/>
      <c r="E18" s="1299"/>
      <c r="F18" s="1300"/>
      <c r="G18" s="1301"/>
      <c r="H18" s="1311"/>
      <c r="I18" s="1312">
        <f>ROUND(D18*E18*F18*G18/10000,0)</f>
        <v>0</v>
      </c>
    </row>
    <row r="19" spans="1:9" ht="14.25">
      <c r="A19" s="3767"/>
      <c r="B19" s="3768" t="s">
        <v>1107</v>
      </c>
      <c r="C19" s="3768"/>
      <c r="D19" s="1299"/>
      <c r="E19" s="1299"/>
      <c r="F19" s="1300"/>
      <c r="G19" s="1301"/>
      <c r="H19" s="1311"/>
      <c r="I19" s="1312">
        <f>ROUND(D19*E19*F19*G19/10000,0)</f>
        <v>0</v>
      </c>
    </row>
    <row r="20" spans="1:9">
      <c r="A20" s="3767"/>
      <c r="B20" s="3769" t="s">
        <v>1091</v>
      </c>
      <c r="C20" s="3769"/>
      <c r="D20" s="1303">
        <f>SUM(D17:D19)</f>
        <v>0</v>
      </c>
      <c r="E20" s="1303"/>
      <c r="F20" s="1304"/>
      <c r="G20" s="1301"/>
      <c r="H20" s="1308"/>
      <c r="I20" s="1309">
        <f>SUM(I17:I19)</f>
        <v>0</v>
      </c>
    </row>
    <row r="21" spans="1:9">
      <c r="A21" s="3767" t="s">
        <v>1108</v>
      </c>
      <c r="B21" s="3771"/>
      <c r="C21" s="3771"/>
      <c r="D21" s="3771"/>
      <c r="E21" s="3771"/>
      <c r="F21" s="3771"/>
      <c r="G21" s="3771"/>
      <c r="H21" s="1761">
        <v>0.1</v>
      </c>
      <c r="I21" s="1306">
        <f>ROUND(I10*H21,0)</f>
        <v>0</v>
      </c>
    </row>
    <row r="22" spans="1:9" ht="14.25">
      <c r="A22" s="3772" t="s">
        <v>1109</v>
      </c>
      <c r="B22" s="3773"/>
      <c r="C22" s="3774"/>
      <c r="D22" s="1313" t="s">
        <v>1110</v>
      </c>
      <c r="E22" s="1313" t="s">
        <v>1111</v>
      </c>
      <c r="F22" s="1314" t="s">
        <v>1112</v>
      </c>
      <c r="G22" s="1314" t="s">
        <v>1113</v>
      </c>
      <c r="H22" s="1307" t="s">
        <v>1114</v>
      </c>
      <c r="I22" s="1298" t="s">
        <v>1115</v>
      </c>
    </row>
    <row r="23" spans="1:9" ht="14.25" thickBot="1">
      <c r="A23" s="3775"/>
      <c r="B23" s="3776"/>
      <c r="C23" s="3777"/>
      <c r="D23" s="1315"/>
      <c r="E23" s="1315"/>
      <c r="F23" s="1315"/>
      <c r="G23" s="1316"/>
      <c r="H23" s="1317"/>
      <c r="I23" s="1318">
        <f>ROUND(E23*D23*F23*(1-G23)/10000,0)</f>
        <v>0</v>
      </c>
    </row>
    <row r="26" spans="1:9">
      <c r="A26" s="1319" t="s">
        <v>1116</v>
      </c>
      <c r="B26" s="1319"/>
      <c r="C26" s="1319"/>
      <c r="D26" s="1319"/>
      <c r="E26" s="3778">
        <f>C27-C30-C31-C32</f>
        <v>0</v>
      </c>
      <c r="F26" s="3778"/>
      <c r="G26" s="3778"/>
      <c r="H26" s="1733" t="s">
        <v>1339</v>
      </c>
    </row>
    <row r="27" spans="1:9">
      <c r="A27" s="1320">
        <v>1</v>
      </c>
      <c r="B27" s="1321" t="s">
        <v>1117</v>
      </c>
      <c r="C27" s="1321">
        <f>C28+C29</f>
        <v>0</v>
      </c>
      <c r="D27" s="1321"/>
      <c r="E27" s="3779"/>
      <c r="F27" s="3779"/>
      <c r="G27" s="3779"/>
    </row>
    <row r="28" spans="1:9">
      <c r="A28" s="1322" t="s">
        <v>1118</v>
      </c>
      <c r="B28" s="1321" t="s">
        <v>1119</v>
      </c>
      <c r="C28" s="1321"/>
      <c r="D28" s="1321"/>
      <c r="E28" s="3779"/>
      <c r="F28" s="3779"/>
      <c r="G28" s="3779"/>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70"/>
      <c r="F32" s="3770"/>
      <c r="G32" s="3770"/>
    </row>
    <row r="33" spans="1:7" hidden="1">
      <c r="A33" s="3780" t="s">
        <v>1128</v>
      </c>
      <c r="B33" s="3781"/>
      <c r="C33" s="3781"/>
      <c r="D33" s="3782"/>
      <c r="E33" s="3778"/>
      <c r="F33" s="3778"/>
      <c r="G33" s="3778"/>
    </row>
    <row r="34" spans="1:7" hidden="1">
      <c r="A34" s="1324">
        <v>1</v>
      </c>
      <c r="B34" s="1321" t="s">
        <v>1129</v>
      </c>
      <c r="C34" s="1321"/>
      <c r="D34" s="1321"/>
      <c r="E34" s="3779"/>
      <c r="F34" s="3779"/>
      <c r="G34" s="3779"/>
    </row>
    <row r="35" spans="1:7" hidden="1">
      <c r="A35" s="1324">
        <v>2</v>
      </c>
      <c r="B35" s="1321" t="s">
        <v>1130</v>
      </c>
      <c r="C35" s="1321"/>
      <c r="D35" s="1321"/>
      <c r="E35" s="3779"/>
      <c r="F35" s="3779"/>
      <c r="G35" s="3779"/>
    </row>
    <row r="36" spans="1:7" hidden="1">
      <c r="A36" s="1324">
        <v>3</v>
      </c>
      <c r="B36" s="1321" t="s">
        <v>1131</v>
      </c>
      <c r="C36" s="1321"/>
      <c r="D36" s="1321"/>
      <c r="E36" s="3779"/>
      <c r="F36" s="3779"/>
      <c r="G36" s="3779"/>
    </row>
    <row r="37" spans="1:7" hidden="1">
      <c r="A37" s="1324">
        <v>4</v>
      </c>
      <c r="B37" s="1321" t="s">
        <v>1132</v>
      </c>
      <c r="C37" s="1321"/>
      <c r="D37" s="1321"/>
      <c r="E37" s="3779"/>
      <c r="F37" s="3779"/>
      <c r="G37" s="3779"/>
    </row>
    <row r="38" spans="1:7" hidden="1">
      <c r="A38" s="3780" t="s">
        <v>1133</v>
      </c>
      <c r="B38" s="3781"/>
      <c r="C38" s="3781"/>
      <c r="D38" s="3782"/>
      <c r="E38" s="3778"/>
      <c r="F38" s="3778"/>
      <c r="G38" s="37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14709.010000000002</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790" t="s">
        <v>2654</v>
      </c>
      <c r="Q4" s="3791"/>
      <c r="R4" s="3784" t="s">
        <v>2650</v>
      </c>
      <c r="S4" s="3785"/>
      <c r="T4" s="3784" t="s">
        <v>2651</v>
      </c>
      <c r="U4" s="3785"/>
      <c r="V4" s="3794" t="s">
        <v>2652</v>
      </c>
      <c r="W4" s="3794"/>
      <c r="X4" s="2669"/>
      <c r="Y4" s="3784" t="s">
        <v>2654</v>
      </c>
      <c r="Z4" s="3785"/>
      <c r="AA4" s="3783" t="s">
        <v>2650</v>
      </c>
      <c r="AB4" s="3783" t="s">
        <v>2651</v>
      </c>
      <c r="AC4" s="3787" t="s">
        <v>2652</v>
      </c>
    </row>
    <row r="5" spans="1:29" ht="15">
      <c r="A5" s="403"/>
      <c r="B5" s="404"/>
      <c r="C5" s="3643" t="s">
        <v>2545</v>
      </c>
      <c r="D5" s="3644"/>
      <c r="E5" s="3786" t="s">
        <v>2546</v>
      </c>
      <c r="F5" s="3748"/>
      <c r="G5" s="3643" t="s">
        <v>2547</v>
      </c>
      <c r="H5" s="3644"/>
      <c r="I5" s="3643" t="s">
        <v>2548</v>
      </c>
      <c r="J5" s="3644"/>
      <c r="K5" s="609"/>
      <c r="L5" s="1126"/>
      <c r="M5" s="1127"/>
      <c r="N5" s="1127"/>
      <c r="O5" s="1127"/>
      <c r="P5" s="3792"/>
      <c r="Q5" s="3659"/>
      <c r="R5" s="3639"/>
      <c r="S5" s="3640"/>
      <c r="T5" s="3639"/>
      <c r="U5" s="3640"/>
      <c r="V5" s="3664"/>
      <c r="W5" s="3664"/>
      <c r="X5" s="1809"/>
      <c r="Y5" s="3639"/>
      <c r="Z5" s="3640"/>
      <c r="AA5" s="3633"/>
      <c r="AB5" s="3633"/>
      <c r="AC5" s="3788"/>
    </row>
    <row r="6" spans="1:29" ht="15.75" thickBot="1">
      <c r="A6" s="405"/>
      <c r="B6" s="406"/>
      <c r="C6" s="3645" t="s">
        <v>2549</v>
      </c>
      <c r="D6" s="3646"/>
      <c r="E6" s="3649" t="s">
        <v>2549</v>
      </c>
      <c r="F6" s="3650"/>
      <c r="G6" s="3645" t="s">
        <v>2549</v>
      </c>
      <c r="H6" s="3646"/>
      <c r="I6" s="3645" t="s">
        <v>2549</v>
      </c>
      <c r="J6" s="3646"/>
      <c r="K6" s="609" t="s">
        <v>2550</v>
      </c>
      <c r="L6" s="1126"/>
      <c r="M6" s="1127"/>
      <c r="N6" s="1127"/>
      <c r="O6" s="1127"/>
      <c r="P6" s="3793"/>
      <c r="Q6" s="3661"/>
      <c r="R6" s="3639"/>
      <c r="S6" s="3640"/>
      <c r="T6" s="3662"/>
      <c r="U6" s="3663"/>
      <c r="V6" s="3664"/>
      <c r="W6" s="3664"/>
      <c r="X6" s="1809"/>
      <c r="Y6" s="3662"/>
      <c r="Z6" s="3663"/>
      <c r="AA6" s="3634"/>
      <c r="AB6" s="3634"/>
      <c r="AC6" s="3789"/>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795" t="s">
        <v>2552</v>
      </c>
      <c r="Q7" s="3665"/>
      <c r="R7" s="766" t="s">
        <v>17</v>
      </c>
      <c r="S7" s="767">
        <f t="shared" ref="S7:S15" si="0">F7</f>
        <v>0</v>
      </c>
      <c r="T7" s="766" t="s">
        <v>17</v>
      </c>
      <c r="U7" s="767">
        <f t="shared" ref="U7:U15" si="1">H7</f>
        <v>0</v>
      </c>
      <c r="V7" s="766" t="s">
        <v>17</v>
      </c>
      <c r="W7" s="767">
        <f t="shared" ref="W7:W15" si="2">J7</f>
        <v>0</v>
      </c>
      <c r="X7" s="768"/>
      <c r="Y7" s="3635" t="s">
        <v>2552</v>
      </c>
      <c r="Z7" s="3636"/>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795" t="s">
        <v>2555</v>
      </c>
      <c r="Q8" s="3636"/>
      <c r="R8" s="766" t="s">
        <v>17</v>
      </c>
      <c r="S8" s="767">
        <f t="shared" si="0"/>
        <v>0</v>
      </c>
      <c r="T8" s="766" t="s">
        <v>17</v>
      </c>
      <c r="U8" s="767">
        <f t="shared" si="1"/>
        <v>0</v>
      </c>
      <c r="V8" s="766" t="s">
        <v>17</v>
      </c>
      <c r="W8" s="767">
        <f t="shared" si="2"/>
        <v>0</v>
      </c>
      <c r="X8" s="768"/>
      <c r="Y8" s="3635" t="s">
        <v>2555</v>
      </c>
      <c r="Z8" s="3636"/>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51"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51"/>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51"/>
      <c r="Q11" s="1791" t="str">
        <f t="shared" si="6"/>
        <v>容积率</v>
      </c>
      <c r="R11" s="766" t="s">
        <v>17</v>
      </c>
      <c r="S11" s="767" t="e">
        <f t="shared" si="0"/>
        <v>#N/A</v>
      </c>
      <c r="T11" s="766" t="s">
        <v>17</v>
      </c>
      <c r="U11" s="767" t="e">
        <f t="shared" si="1"/>
        <v>#N/A</v>
      </c>
      <c r="V11" s="766" t="s">
        <v>17</v>
      </c>
      <c r="W11" s="767" t="e">
        <f t="shared" si="2"/>
        <v>#N/A</v>
      </c>
      <c r="X11" s="768"/>
      <c r="Y11" s="3512"/>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51"/>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51"/>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51"/>
      <c r="Q14" s="1791">
        <f t="shared" si="6"/>
        <v>111</v>
      </c>
      <c r="R14" s="766" t="s">
        <v>17</v>
      </c>
      <c r="S14" s="767">
        <f t="shared" si="0"/>
        <v>100</v>
      </c>
      <c r="T14" s="766" t="s">
        <v>17</v>
      </c>
      <c r="U14" s="767">
        <f t="shared" si="1"/>
        <v>100</v>
      </c>
      <c r="V14" s="766" t="s">
        <v>17</v>
      </c>
      <c r="W14" s="767">
        <f t="shared" si="2"/>
        <v>100</v>
      </c>
      <c r="X14" s="768"/>
      <c r="Y14" s="3512"/>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78" t="s">
        <v>2563</v>
      </c>
      <c r="Q15" s="1806" t="str">
        <f t="shared" si="6"/>
        <v>办公集聚程度</v>
      </c>
      <c r="R15" s="770" t="s">
        <v>17</v>
      </c>
      <c r="S15" s="771">
        <f t="shared" si="0"/>
        <v>100</v>
      </c>
      <c r="T15" s="770" t="s">
        <v>17</v>
      </c>
      <c r="U15" s="771">
        <f t="shared" si="1"/>
        <v>100</v>
      </c>
      <c r="V15" s="770" t="s">
        <v>17</v>
      </c>
      <c r="W15" s="771">
        <f t="shared" si="2"/>
        <v>100</v>
      </c>
      <c r="X15" s="1809"/>
      <c r="Y15" s="3671"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79"/>
      <c r="Q16" s="1806"/>
      <c r="R16" s="770"/>
      <c r="S16" s="771"/>
      <c r="T16" s="770"/>
      <c r="U16" s="771"/>
      <c r="V16" s="770"/>
      <c r="W16" s="771"/>
      <c r="X16" s="1809"/>
      <c r="Y16" s="3672"/>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79"/>
      <c r="Q17" s="1806" t="str">
        <f>B17</f>
        <v>交通便捷度</v>
      </c>
      <c r="R17" s="770" t="s">
        <v>17</v>
      </c>
      <c r="S17" s="771">
        <f>F17</f>
        <v>100</v>
      </c>
      <c r="T17" s="770" t="s">
        <v>17</v>
      </c>
      <c r="U17" s="771">
        <f>H17</f>
        <v>100</v>
      </c>
      <c r="V17" s="770" t="s">
        <v>17</v>
      </c>
      <c r="W17" s="771">
        <f>J17</f>
        <v>100</v>
      </c>
      <c r="X17" s="1809"/>
      <c r="Y17" s="3672"/>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79"/>
      <c r="Q18" s="1806"/>
      <c r="R18" s="770"/>
      <c r="S18" s="771"/>
      <c r="T18" s="770"/>
      <c r="U18" s="771"/>
      <c r="V18" s="770"/>
      <c r="W18" s="771"/>
      <c r="X18" s="1809"/>
      <c r="Y18" s="3672"/>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79"/>
      <c r="Q19" s="1806" t="str">
        <f>B19</f>
        <v>公共配套设施</v>
      </c>
      <c r="R19" s="770" t="s">
        <v>17</v>
      </c>
      <c r="S19" s="771">
        <f>F19</f>
        <v>100</v>
      </c>
      <c r="T19" s="770" t="s">
        <v>17</v>
      </c>
      <c r="U19" s="771">
        <f>H19</f>
        <v>100</v>
      </c>
      <c r="V19" s="770" t="s">
        <v>17</v>
      </c>
      <c r="W19" s="771">
        <f>J19</f>
        <v>100</v>
      </c>
      <c r="X19" s="1809"/>
      <c r="Y19" s="3672"/>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79"/>
      <c r="Q20" s="1806"/>
      <c r="R20" s="770"/>
      <c r="S20" s="771"/>
      <c r="T20" s="770"/>
      <c r="U20" s="771"/>
      <c r="V20" s="770"/>
      <c r="W20" s="771"/>
      <c r="X20" s="1809"/>
      <c r="Y20" s="3672"/>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79"/>
      <c r="Q21" s="1806" t="str">
        <f>B21</f>
        <v>基础设施水平</v>
      </c>
      <c r="R21" s="770" t="s">
        <v>17</v>
      </c>
      <c r="S21" s="771">
        <f>F21</f>
        <v>100</v>
      </c>
      <c r="T21" s="770" t="s">
        <v>17</v>
      </c>
      <c r="U21" s="771">
        <f>H21</f>
        <v>100</v>
      </c>
      <c r="V21" s="770" t="s">
        <v>17</v>
      </c>
      <c r="W21" s="771">
        <f>J21</f>
        <v>100</v>
      </c>
      <c r="X21" s="1809"/>
      <c r="Y21" s="3672"/>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79"/>
      <c r="Q22" s="1806"/>
      <c r="R22" s="770"/>
      <c r="S22" s="771"/>
      <c r="T22" s="770"/>
      <c r="U22" s="771"/>
      <c r="V22" s="770"/>
      <c r="W22" s="771"/>
      <c r="X22" s="1809"/>
      <c r="Y22" s="3672"/>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79"/>
      <c r="Q23" s="1806" t="str">
        <f>B23</f>
        <v>环境质量</v>
      </c>
      <c r="R23" s="770" t="s">
        <v>17</v>
      </c>
      <c r="S23" s="771">
        <f>F23</f>
        <v>100</v>
      </c>
      <c r="T23" s="770" t="s">
        <v>17</v>
      </c>
      <c r="U23" s="771">
        <f>H23</f>
        <v>100</v>
      </c>
      <c r="V23" s="770" t="s">
        <v>17</v>
      </c>
      <c r="W23" s="771">
        <f>J23</f>
        <v>100</v>
      </c>
      <c r="X23" s="1809"/>
      <c r="Y23" s="3672"/>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79"/>
      <c r="Q24" s="1806"/>
      <c r="R24" s="770"/>
      <c r="S24" s="771"/>
      <c r="T24" s="770"/>
      <c r="U24" s="771"/>
      <c r="V24" s="770"/>
      <c r="W24" s="771"/>
      <c r="X24" s="1809"/>
      <c r="Y24" s="3672"/>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79"/>
      <c r="Q25" s="1806" t="str">
        <f>B25</f>
        <v>毗邻道路的类型与等级</v>
      </c>
      <c r="R25" s="770" t="s">
        <v>17</v>
      </c>
      <c r="S25" s="771">
        <f>F25</f>
        <v>100</v>
      </c>
      <c r="T25" s="770" t="s">
        <v>17</v>
      </c>
      <c r="U25" s="771">
        <f>H25</f>
        <v>100</v>
      </c>
      <c r="V25" s="770" t="s">
        <v>17</v>
      </c>
      <c r="W25" s="771">
        <f>J25</f>
        <v>100</v>
      </c>
      <c r="X25" s="1809"/>
      <c r="Y25" s="3672"/>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79"/>
      <c r="Q26" s="1806"/>
      <c r="R26" s="770"/>
      <c r="S26" s="771"/>
      <c r="T26" s="770"/>
      <c r="U26" s="771"/>
      <c r="V26" s="770"/>
      <c r="W26" s="771"/>
      <c r="X26" s="1809"/>
      <c r="Y26" s="3672"/>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79"/>
      <c r="Q27" s="1806" t="str">
        <f t="shared" ref="Q27:Q47" si="11">B27</f>
        <v>楼层</v>
      </c>
      <c r="R27" s="770" t="s">
        <v>17</v>
      </c>
      <c r="S27" s="771">
        <f>F27</f>
        <v>100</v>
      </c>
      <c r="T27" s="770" t="s">
        <v>17</v>
      </c>
      <c r="U27" s="771">
        <f>H27</f>
        <v>100</v>
      </c>
      <c r="V27" s="770" t="s">
        <v>17</v>
      </c>
      <c r="W27" s="771">
        <f>J27</f>
        <v>100</v>
      </c>
      <c r="X27" s="1809"/>
      <c r="Y27" s="3672"/>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79"/>
      <c r="Q28" s="1791" t="str">
        <f t="shared" si="11"/>
        <v>朝向</v>
      </c>
      <c r="R28" s="766" t="s">
        <v>17</v>
      </c>
      <c r="S28" s="767">
        <f>F28</f>
        <v>100</v>
      </c>
      <c r="T28" s="766" t="s">
        <v>17</v>
      </c>
      <c r="U28" s="767">
        <f>H28</f>
        <v>100</v>
      </c>
      <c r="V28" s="766" t="s">
        <v>17</v>
      </c>
      <c r="W28" s="767">
        <f>J28</f>
        <v>100</v>
      </c>
      <c r="X28" s="768"/>
      <c r="Y28" s="3672"/>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79"/>
      <c r="Q29" s="1806">
        <f t="shared" si="11"/>
        <v>111</v>
      </c>
      <c r="R29" s="770" t="s">
        <v>17</v>
      </c>
      <c r="S29" s="771">
        <f t="shared" ref="S29:S47" si="12">F29</f>
        <v>100</v>
      </c>
      <c r="T29" s="770" t="s">
        <v>17</v>
      </c>
      <c r="U29" s="771">
        <f t="shared" ref="U29:U47" si="13">H29</f>
        <v>100</v>
      </c>
      <c r="V29" s="770" t="s">
        <v>17</v>
      </c>
      <c r="W29" s="771">
        <f t="shared" ref="W29:W47" si="14">J29</f>
        <v>100</v>
      </c>
      <c r="X29" s="1809"/>
      <c r="Y29" s="3672"/>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79"/>
      <c r="Q30" s="1806">
        <f t="shared" si="11"/>
        <v>111</v>
      </c>
      <c r="R30" s="770" t="s">
        <v>17</v>
      </c>
      <c r="S30" s="771">
        <f t="shared" si="12"/>
        <v>100</v>
      </c>
      <c r="T30" s="770" t="s">
        <v>17</v>
      </c>
      <c r="U30" s="771">
        <f t="shared" si="13"/>
        <v>100</v>
      </c>
      <c r="V30" s="770" t="s">
        <v>17</v>
      </c>
      <c r="W30" s="771">
        <f t="shared" si="14"/>
        <v>100</v>
      </c>
      <c r="X30" s="1809"/>
      <c r="Y30" s="3672"/>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79"/>
      <c r="Q31" s="1806">
        <f t="shared" si="11"/>
        <v>111</v>
      </c>
      <c r="R31" s="770" t="s">
        <v>17</v>
      </c>
      <c r="S31" s="771">
        <f t="shared" si="12"/>
        <v>100</v>
      </c>
      <c r="T31" s="770" t="s">
        <v>17</v>
      </c>
      <c r="U31" s="771">
        <f t="shared" si="13"/>
        <v>100</v>
      </c>
      <c r="V31" s="770" t="s">
        <v>17</v>
      </c>
      <c r="W31" s="771">
        <f t="shared" si="14"/>
        <v>100</v>
      </c>
      <c r="X31" s="1809"/>
      <c r="Y31" s="3672"/>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79"/>
      <c r="Q32" s="1806">
        <f t="shared" si="11"/>
        <v>111</v>
      </c>
      <c r="R32" s="770" t="s">
        <v>17</v>
      </c>
      <c r="S32" s="771">
        <f t="shared" si="12"/>
        <v>100</v>
      </c>
      <c r="T32" s="770" t="s">
        <v>17</v>
      </c>
      <c r="U32" s="771">
        <f t="shared" si="13"/>
        <v>100</v>
      </c>
      <c r="V32" s="770" t="s">
        <v>17</v>
      </c>
      <c r="W32" s="771">
        <f t="shared" si="14"/>
        <v>100</v>
      </c>
      <c r="X32" s="1809"/>
      <c r="Y32" s="3672"/>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73" t="s">
        <v>2568</v>
      </c>
      <c r="Q33" s="1806" t="str">
        <f t="shared" si="11"/>
        <v>建筑类型</v>
      </c>
      <c r="R33" s="770" t="s">
        <v>17</v>
      </c>
      <c r="S33" s="771">
        <f t="shared" si="12"/>
        <v>100</v>
      </c>
      <c r="T33" s="770" t="s">
        <v>17</v>
      </c>
      <c r="U33" s="771">
        <f t="shared" si="13"/>
        <v>100</v>
      </c>
      <c r="V33" s="770" t="s">
        <v>17</v>
      </c>
      <c r="W33" s="771">
        <f t="shared" si="14"/>
        <v>100</v>
      </c>
      <c r="X33" s="1809"/>
      <c r="Y33" s="3676"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74"/>
      <c r="Q34" s="772" t="str">
        <f t="shared" si="11"/>
        <v>项目建筑规模</v>
      </c>
      <c r="R34" s="773" t="s">
        <v>17</v>
      </c>
      <c r="S34" s="774" t="e">
        <f t="shared" si="12"/>
        <v>#N/A</v>
      </c>
      <c r="T34" s="773" t="s">
        <v>17</v>
      </c>
      <c r="U34" s="774" t="e">
        <f t="shared" si="13"/>
        <v>#N/A</v>
      </c>
      <c r="V34" s="773" t="s">
        <v>17</v>
      </c>
      <c r="W34" s="774" t="e">
        <f t="shared" si="14"/>
        <v>#N/A</v>
      </c>
      <c r="X34" s="775"/>
      <c r="Y34" s="3676"/>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74"/>
      <c r="Q35" s="1806" t="str">
        <f t="shared" si="11"/>
        <v>建筑结构</v>
      </c>
      <c r="R35" s="770" t="s">
        <v>17</v>
      </c>
      <c r="S35" s="771">
        <f t="shared" si="12"/>
        <v>100</v>
      </c>
      <c r="T35" s="770" t="s">
        <v>17</v>
      </c>
      <c r="U35" s="771">
        <f t="shared" si="13"/>
        <v>100</v>
      </c>
      <c r="V35" s="770" t="s">
        <v>17</v>
      </c>
      <c r="W35" s="771">
        <f t="shared" si="14"/>
        <v>100</v>
      </c>
      <c r="X35" s="1809"/>
      <c r="Y35" s="3676"/>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74"/>
      <c r="Q36" s="1806" t="str">
        <f t="shared" si="11"/>
        <v>公共部分装修</v>
      </c>
      <c r="R36" s="770" t="s">
        <v>17</v>
      </c>
      <c r="S36" s="771">
        <f t="shared" si="12"/>
        <v>100</v>
      </c>
      <c r="T36" s="770" t="s">
        <v>17</v>
      </c>
      <c r="U36" s="771">
        <f t="shared" si="13"/>
        <v>100</v>
      </c>
      <c r="V36" s="770" t="s">
        <v>17</v>
      </c>
      <c r="W36" s="771">
        <f t="shared" si="14"/>
        <v>100</v>
      </c>
      <c r="X36" s="1809"/>
      <c r="Y36" s="3676"/>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74"/>
      <c r="Q37" s="1806" t="str">
        <f t="shared" si="11"/>
        <v>成新度</v>
      </c>
      <c r="R37" s="770" t="s">
        <v>17</v>
      </c>
      <c r="S37" s="771" t="e">
        <f t="shared" si="12"/>
        <v>#N/A</v>
      </c>
      <c r="T37" s="770" t="s">
        <v>17</v>
      </c>
      <c r="U37" s="771" t="e">
        <f t="shared" si="13"/>
        <v>#N/A</v>
      </c>
      <c r="V37" s="770" t="s">
        <v>17</v>
      </c>
      <c r="W37" s="771" t="e">
        <f t="shared" si="14"/>
        <v>#N/A</v>
      </c>
      <c r="X37" s="1809"/>
      <c r="Y37" s="3676"/>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74"/>
      <c r="Q38" s="1791" t="str">
        <f t="shared" si="11"/>
        <v>写字楼等级</v>
      </c>
      <c r="R38" s="766" t="s">
        <v>17</v>
      </c>
      <c r="S38" s="767">
        <f t="shared" si="12"/>
        <v>100</v>
      </c>
      <c r="T38" s="766" t="s">
        <v>17</v>
      </c>
      <c r="U38" s="767">
        <f t="shared" si="13"/>
        <v>100</v>
      </c>
      <c r="V38" s="766" t="s">
        <v>17</v>
      </c>
      <c r="W38" s="767">
        <f t="shared" si="14"/>
        <v>100</v>
      </c>
      <c r="X38" s="768"/>
      <c r="Y38" s="3676"/>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74" t="s">
        <v>2568</v>
      </c>
      <c r="Q39" s="1806" t="str">
        <f t="shared" si="11"/>
        <v>物业管理</v>
      </c>
      <c r="R39" s="770" t="s">
        <v>17</v>
      </c>
      <c r="S39" s="771">
        <f t="shared" si="12"/>
        <v>100</v>
      </c>
      <c r="T39" s="770" t="s">
        <v>17</v>
      </c>
      <c r="U39" s="771">
        <f t="shared" si="13"/>
        <v>100</v>
      </c>
      <c r="V39" s="770" t="s">
        <v>17</v>
      </c>
      <c r="W39" s="771">
        <f t="shared" si="14"/>
        <v>100</v>
      </c>
      <c r="X39" s="1809"/>
      <c r="Y39" s="3676"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74"/>
      <c r="Q40" s="1806" t="str">
        <f t="shared" si="11"/>
        <v>市政基础设施</v>
      </c>
      <c r="R40" s="770" t="s">
        <v>17</v>
      </c>
      <c r="S40" s="771">
        <f t="shared" si="12"/>
        <v>100</v>
      </c>
      <c r="T40" s="770" t="s">
        <v>17</v>
      </c>
      <c r="U40" s="771">
        <f t="shared" si="13"/>
        <v>100</v>
      </c>
      <c r="V40" s="770" t="s">
        <v>17</v>
      </c>
      <c r="W40" s="771">
        <f t="shared" si="14"/>
        <v>100</v>
      </c>
      <c r="X40" s="1809"/>
      <c r="Y40" s="3676"/>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74"/>
      <c r="Q41" s="1806" t="str">
        <f t="shared" si="11"/>
        <v>层高</v>
      </c>
      <c r="R41" s="770" t="s">
        <v>17</v>
      </c>
      <c r="S41" s="771">
        <f t="shared" si="12"/>
        <v>100</v>
      </c>
      <c r="T41" s="770" t="s">
        <v>17</v>
      </c>
      <c r="U41" s="771">
        <f t="shared" si="13"/>
        <v>100</v>
      </c>
      <c r="V41" s="770" t="s">
        <v>17</v>
      </c>
      <c r="W41" s="771">
        <f t="shared" si="14"/>
        <v>100</v>
      </c>
      <c r="X41" s="1809"/>
      <c r="Y41" s="3676"/>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74"/>
      <c r="Q42" s="772" t="str">
        <f t="shared" si="11"/>
        <v>单套建筑面积</v>
      </c>
      <c r="R42" s="773" t="s">
        <v>17</v>
      </c>
      <c r="S42" s="774">
        <f t="shared" si="12"/>
        <v>100</v>
      </c>
      <c r="T42" s="773" t="s">
        <v>17</v>
      </c>
      <c r="U42" s="774">
        <f t="shared" si="13"/>
        <v>100</v>
      </c>
      <c r="V42" s="773" t="s">
        <v>17</v>
      </c>
      <c r="W42" s="774">
        <f t="shared" si="14"/>
        <v>100</v>
      </c>
      <c r="X42" s="775"/>
      <c r="Y42" s="3676"/>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74"/>
      <c r="Q43" s="1806" t="str">
        <f t="shared" si="11"/>
        <v>内部装修</v>
      </c>
      <c r="R43" s="770" t="s">
        <v>17</v>
      </c>
      <c r="S43" s="771">
        <f t="shared" si="12"/>
        <v>100</v>
      </c>
      <c r="T43" s="770" t="s">
        <v>17</v>
      </c>
      <c r="U43" s="771">
        <f t="shared" si="13"/>
        <v>100</v>
      </c>
      <c r="V43" s="770" t="s">
        <v>17</v>
      </c>
      <c r="W43" s="771">
        <f t="shared" si="14"/>
        <v>100</v>
      </c>
      <c r="X43" s="1809"/>
      <c r="Y43" s="3676"/>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74"/>
      <c r="Q44" s="1806" t="str">
        <f t="shared" si="11"/>
        <v>内部装修维护情况</v>
      </c>
      <c r="R44" s="770" t="s">
        <v>17</v>
      </c>
      <c r="S44" s="771">
        <f t="shared" si="12"/>
        <v>100</v>
      </c>
      <c r="T44" s="770" t="s">
        <v>17</v>
      </c>
      <c r="U44" s="771">
        <f t="shared" si="13"/>
        <v>100</v>
      </c>
      <c r="V44" s="770" t="s">
        <v>17</v>
      </c>
      <c r="W44" s="771">
        <f t="shared" si="14"/>
        <v>100</v>
      </c>
      <c r="X44" s="1809"/>
      <c r="Y44" s="3676"/>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74"/>
      <c r="Q45" s="1791">
        <f t="shared" si="11"/>
        <v>111</v>
      </c>
      <c r="R45" s="766" t="s">
        <v>17</v>
      </c>
      <c r="S45" s="767">
        <f t="shared" si="12"/>
        <v>100</v>
      </c>
      <c r="T45" s="766" t="s">
        <v>17</v>
      </c>
      <c r="U45" s="767">
        <f t="shared" si="13"/>
        <v>100</v>
      </c>
      <c r="V45" s="766" t="s">
        <v>17</v>
      </c>
      <c r="W45" s="767">
        <f t="shared" si="14"/>
        <v>100</v>
      </c>
      <c r="X45" s="768"/>
      <c r="Y45" s="3676"/>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74"/>
      <c r="Q46" s="1806">
        <f t="shared" si="11"/>
        <v>111</v>
      </c>
      <c r="R46" s="770" t="s">
        <v>17</v>
      </c>
      <c r="S46" s="771">
        <f t="shared" si="12"/>
        <v>100</v>
      </c>
      <c r="T46" s="770" t="s">
        <v>17</v>
      </c>
      <c r="U46" s="771">
        <f t="shared" si="13"/>
        <v>100</v>
      </c>
      <c r="V46" s="770" t="s">
        <v>17</v>
      </c>
      <c r="W46" s="771">
        <f t="shared" si="14"/>
        <v>100</v>
      </c>
      <c r="X46" s="1809"/>
      <c r="Y46" s="3676"/>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75"/>
      <c r="Q47" s="1806">
        <f t="shared" si="11"/>
        <v>111</v>
      </c>
      <c r="R47" s="770" t="s">
        <v>17</v>
      </c>
      <c r="S47" s="771">
        <f t="shared" si="12"/>
        <v>100</v>
      </c>
      <c r="T47" s="770" t="s">
        <v>17</v>
      </c>
      <c r="U47" s="771">
        <f t="shared" si="13"/>
        <v>100</v>
      </c>
      <c r="V47" s="770" t="s">
        <v>17</v>
      </c>
      <c r="W47" s="771">
        <f t="shared" si="14"/>
        <v>100</v>
      </c>
      <c r="X47" s="1809"/>
      <c r="Y47" s="3677"/>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51" t="str">
        <f>A48</f>
        <v>成交单价（元/平方米）</v>
      </c>
      <c r="Q48" s="3669"/>
      <c r="R48" s="3670">
        <f>E48</f>
        <v>0</v>
      </c>
      <c r="S48" s="3670"/>
      <c r="T48" s="3670">
        <f>G48</f>
        <v>0</v>
      </c>
      <c r="U48" s="3670"/>
      <c r="V48" s="3670">
        <f>I48</f>
        <v>0</v>
      </c>
      <c r="W48" s="3670"/>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51"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796" t="str">
        <f>A50</f>
        <v>估价对象XX用房的比较价值（楼面单价，元/平方米）</v>
      </c>
      <c r="Q50" s="3797"/>
      <c r="R50" s="3798" t="e">
        <f>IF(F1="售价",ROUND(AVERAGE(R49:V49),0),ROUND(AVERAGE(R49:V49),1))</f>
        <v>#DIV/0!</v>
      </c>
      <c r="S50" s="3798"/>
      <c r="T50" s="3798"/>
      <c r="U50" s="3798"/>
      <c r="V50" s="3798"/>
      <c r="W50" s="3798"/>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14709.010000000002</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33" t="s">
        <v>2651</v>
      </c>
      <c r="AC4" s="3632" t="s">
        <v>2652</v>
      </c>
    </row>
    <row r="5" spans="1:29" ht="15">
      <c r="A5" s="403"/>
      <c r="B5" s="404"/>
      <c r="C5" s="3643" t="s">
        <v>2545</v>
      </c>
      <c r="D5" s="3644"/>
      <c r="E5" s="3786" t="s">
        <v>2546</v>
      </c>
      <c r="F5" s="3748"/>
      <c r="G5" s="3643" t="s">
        <v>2547</v>
      </c>
      <c r="H5" s="3644"/>
      <c r="I5" s="3643" t="s">
        <v>2548</v>
      </c>
      <c r="J5" s="3644"/>
      <c r="K5" s="609"/>
      <c r="L5" s="1126"/>
      <c r="M5" s="1127"/>
      <c r="N5" s="1127"/>
      <c r="O5" s="1127"/>
      <c r="P5" s="3658"/>
      <c r="Q5" s="3659"/>
      <c r="R5" s="3639"/>
      <c r="S5" s="3640"/>
      <c r="T5" s="3639"/>
      <c r="U5" s="3640"/>
      <c r="V5" s="3664"/>
      <c r="W5" s="3664"/>
      <c r="X5" s="1809"/>
      <c r="Y5" s="3639"/>
      <c r="Z5" s="3640"/>
      <c r="AA5" s="3633"/>
      <c r="AB5" s="3633"/>
      <c r="AC5" s="3633"/>
    </row>
    <row r="6" spans="1:29" ht="15.75" thickBot="1">
      <c r="A6" s="405"/>
      <c r="B6" s="406"/>
      <c r="C6" s="3645" t="s">
        <v>2549</v>
      </c>
      <c r="D6" s="3646"/>
      <c r="E6" s="3649" t="s">
        <v>2549</v>
      </c>
      <c r="F6" s="3650"/>
      <c r="G6" s="3645" t="s">
        <v>2549</v>
      </c>
      <c r="H6" s="3646"/>
      <c r="I6" s="3645" t="s">
        <v>2549</v>
      </c>
      <c r="J6" s="3646"/>
      <c r="K6" s="609" t="s">
        <v>2550</v>
      </c>
      <c r="L6" s="1126"/>
      <c r="M6" s="1127"/>
      <c r="N6" s="1127"/>
      <c r="O6" s="1127"/>
      <c r="P6" s="3660"/>
      <c r="Q6" s="3661"/>
      <c r="R6" s="3639"/>
      <c r="S6" s="3640"/>
      <c r="T6" s="3662"/>
      <c r="U6" s="3663"/>
      <c r="V6" s="3664"/>
      <c r="W6" s="3664"/>
      <c r="X6" s="1809"/>
      <c r="Y6" s="3662"/>
      <c r="Z6" s="3663"/>
      <c r="AA6" s="3634"/>
      <c r="AB6" s="3634"/>
      <c r="AC6" s="3634"/>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35" t="s">
        <v>2552</v>
      </c>
      <c r="Q7" s="3665"/>
      <c r="R7" s="766" t="s">
        <v>17</v>
      </c>
      <c r="S7" s="767">
        <f t="shared" ref="S7:S15" si="0">F7</f>
        <v>0</v>
      </c>
      <c r="T7" s="766" t="s">
        <v>17</v>
      </c>
      <c r="U7" s="767">
        <f t="shared" ref="U7:U15" si="1">H7</f>
        <v>0</v>
      </c>
      <c r="V7" s="766" t="s">
        <v>17</v>
      </c>
      <c r="W7" s="767">
        <f t="shared" ref="W7:W15" si="2">J7</f>
        <v>0</v>
      </c>
      <c r="X7" s="768"/>
      <c r="Y7" s="3635" t="s">
        <v>2552</v>
      </c>
      <c r="Z7" s="3636"/>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35" t="s">
        <v>2555</v>
      </c>
      <c r="Q8" s="3636"/>
      <c r="R8" s="766" t="s">
        <v>17</v>
      </c>
      <c r="S8" s="767">
        <f t="shared" si="0"/>
        <v>0</v>
      </c>
      <c r="T8" s="766" t="s">
        <v>17</v>
      </c>
      <c r="U8" s="767">
        <f t="shared" si="1"/>
        <v>0</v>
      </c>
      <c r="V8" s="766" t="s">
        <v>17</v>
      </c>
      <c r="W8" s="767">
        <f t="shared" si="2"/>
        <v>0</v>
      </c>
      <c r="X8" s="768"/>
      <c r="Y8" s="3635" t="s">
        <v>2555</v>
      </c>
      <c r="Z8" s="3636"/>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69"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69"/>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69"/>
      <c r="Q11" s="1791" t="str">
        <f t="shared" si="6"/>
        <v>容积率</v>
      </c>
      <c r="R11" s="766" t="s">
        <v>17</v>
      </c>
      <c r="S11" s="767" t="e">
        <f t="shared" si="0"/>
        <v>#N/A</v>
      </c>
      <c r="T11" s="766" t="s">
        <v>17</v>
      </c>
      <c r="U11" s="767" t="e">
        <f t="shared" si="1"/>
        <v>#N/A</v>
      </c>
      <c r="V11" s="766" t="s">
        <v>17</v>
      </c>
      <c r="W11" s="767" t="e">
        <f t="shared" si="2"/>
        <v>#N/A</v>
      </c>
      <c r="X11" s="768"/>
      <c r="Y11" s="3512"/>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69"/>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69"/>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69"/>
      <c r="Q14" s="1791">
        <f t="shared" si="6"/>
        <v>111</v>
      </c>
      <c r="R14" s="766" t="s">
        <v>17</v>
      </c>
      <c r="S14" s="767">
        <f t="shared" si="0"/>
        <v>100</v>
      </c>
      <c r="T14" s="766" t="s">
        <v>17</v>
      </c>
      <c r="U14" s="767">
        <f t="shared" si="1"/>
        <v>100</v>
      </c>
      <c r="V14" s="766" t="s">
        <v>17</v>
      </c>
      <c r="W14" s="767">
        <f t="shared" si="2"/>
        <v>100</v>
      </c>
      <c r="X14" s="768"/>
      <c r="Y14" s="3512"/>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71" t="s">
        <v>2563</v>
      </c>
      <c r="Q15" s="1806" t="str">
        <f t="shared" si="6"/>
        <v>产业集聚程度</v>
      </c>
      <c r="R15" s="770" t="s">
        <v>17</v>
      </c>
      <c r="S15" s="771">
        <f t="shared" si="0"/>
        <v>100</v>
      </c>
      <c r="T15" s="770" t="s">
        <v>17</v>
      </c>
      <c r="U15" s="771">
        <f t="shared" si="1"/>
        <v>100</v>
      </c>
      <c r="V15" s="770" t="s">
        <v>17</v>
      </c>
      <c r="W15" s="771">
        <f t="shared" si="2"/>
        <v>100</v>
      </c>
      <c r="X15" s="1809"/>
      <c r="Y15" s="3671"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72"/>
      <c r="Q16" s="1806"/>
      <c r="R16" s="770"/>
      <c r="S16" s="771"/>
      <c r="T16" s="770"/>
      <c r="U16" s="771"/>
      <c r="V16" s="770"/>
      <c r="W16" s="771"/>
      <c r="X16" s="1809"/>
      <c r="Y16" s="3672"/>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72"/>
      <c r="Q17" s="1806" t="str">
        <f>B17</f>
        <v>交通便捷度</v>
      </c>
      <c r="R17" s="770" t="s">
        <v>17</v>
      </c>
      <c r="S17" s="771">
        <f>F17</f>
        <v>100</v>
      </c>
      <c r="T17" s="770" t="s">
        <v>17</v>
      </c>
      <c r="U17" s="771">
        <f>H17</f>
        <v>100</v>
      </c>
      <c r="V17" s="770" t="s">
        <v>17</v>
      </c>
      <c r="W17" s="771">
        <f>J17</f>
        <v>100</v>
      </c>
      <c r="X17" s="1809"/>
      <c r="Y17" s="3672"/>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72"/>
      <c r="Q18" s="1806"/>
      <c r="R18" s="770"/>
      <c r="S18" s="771"/>
      <c r="T18" s="770"/>
      <c r="U18" s="771"/>
      <c r="V18" s="770"/>
      <c r="W18" s="771"/>
      <c r="X18" s="1809"/>
      <c r="Y18" s="3672"/>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72"/>
      <c r="Q19" s="1806" t="str">
        <f>B19</f>
        <v>公共配套设施</v>
      </c>
      <c r="R19" s="770" t="s">
        <v>17</v>
      </c>
      <c r="S19" s="771">
        <f>F19</f>
        <v>100</v>
      </c>
      <c r="T19" s="770" t="s">
        <v>17</v>
      </c>
      <c r="U19" s="771">
        <f>H19</f>
        <v>100</v>
      </c>
      <c r="V19" s="770" t="s">
        <v>17</v>
      </c>
      <c r="W19" s="771">
        <f>J19</f>
        <v>100</v>
      </c>
      <c r="X19" s="1809"/>
      <c r="Y19" s="3672"/>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72"/>
      <c r="Q20" s="1806"/>
      <c r="R20" s="770"/>
      <c r="S20" s="771"/>
      <c r="T20" s="770"/>
      <c r="U20" s="771"/>
      <c r="V20" s="770"/>
      <c r="W20" s="771"/>
      <c r="X20" s="1809"/>
      <c r="Y20" s="3672"/>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72"/>
      <c r="Q21" s="1806" t="str">
        <f>B21</f>
        <v>基础设施水平</v>
      </c>
      <c r="R21" s="770" t="s">
        <v>17</v>
      </c>
      <c r="S21" s="771">
        <f>F21</f>
        <v>100</v>
      </c>
      <c r="T21" s="770" t="s">
        <v>17</v>
      </c>
      <c r="U21" s="771">
        <f>H21</f>
        <v>100</v>
      </c>
      <c r="V21" s="770" t="s">
        <v>17</v>
      </c>
      <c r="W21" s="771">
        <f>J21</f>
        <v>100</v>
      </c>
      <c r="X21" s="1809"/>
      <c r="Y21" s="3672"/>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72"/>
      <c r="Q22" s="1806"/>
      <c r="R22" s="770"/>
      <c r="S22" s="771"/>
      <c r="T22" s="770"/>
      <c r="U22" s="771"/>
      <c r="V22" s="770"/>
      <c r="W22" s="771"/>
      <c r="X22" s="1809"/>
      <c r="Y22" s="3672"/>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72"/>
      <c r="Q23" s="1806" t="str">
        <f>B23</f>
        <v>环境质量</v>
      </c>
      <c r="R23" s="770" t="s">
        <v>17</v>
      </c>
      <c r="S23" s="771">
        <f>F23</f>
        <v>100</v>
      </c>
      <c r="T23" s="770" t="s">
        <v>17</v>
      </c>
      <c r="U23" s="771">
        <f>H23</f>
        <v>100</v>
      </c>
      <c r="V23" s="770" t="s">
        <v>17</v>
      </c>
      <c r="W23" s="771">
        <f>J23</f>
        <v>100</v>
      </c>
      <c r="X23" s="1809"/>
      <c r="Y23" s="3672"/>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72"/>
      <c r="Q24" s="1806"/>
      <c r="R24" s="770"/>
      <c r="S24" s="771"/>
      <c r="T24" s="770"/>
      <c r="U24" s="771"/>
      <c r="V24" s="770"/>
      <c r="W24" s="771"/>
      <c r="X24" s="1809"/>
      <c r="Y24" s="367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72"/>
      <c r="Q25" s="1806">
        <f>B25</f>
        <v>111</v>
      </c>
      <c r="R25" s="770" t="s">
        <v>17</v>
      </c>
      <c r="S25" s="771">
        <f>F25</f>
        <v>100</v>
      </c>
      <c r="T25" s="770" t="s">
        <v>17</v>
      </c>
      <c r="U25" s="771">
        <f>H25</f>
        <v>100</v>
      </c>
      <c r="V25" s="770" t="s">
        <v>17</v>
      </c>
      <c r="W25" s="771">
        <f>J25</f>
        <v>100</v>
      </c>
      <c r="X25" s="1809"/>
      <c r="Y25" s="367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72"/>
      <c r="Q26" s="1806">
        <f t="shared" ref="Q26:Q40" si="11">B26</f>
        <v>111</v>
      </c>
      <c r="R26" s="770" t="s">
        <v>17</v>
      </c>
      <c r="S26" s="771">
        <f>F26</f>
        <v>100</v>
      </c>
      <c r="T26" s="770" t="s">
        <v>17</v>
      </c>
      <c r="U26" s="771">
        <f>H26</f>
        <v>100</v>
      </c>
      <c r="V26" s="770" t="s">
        <v>17</v>
      </c>
      <c r="W26" s="771">
        <f>J26</f>
        <v>100</v>
      </c>
      <c r="X26" s="1809"/>
      <c r="Y26" s="367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72"/>
      <c r="Q27" s="1791">
        <f t="shared" si="11"/>
        <v>111</v>
      </c>
      <c r="R27" s="766" t="s">
        <v>17</v>
      </c>
      <c r="S27" s="767">
        <f>F27</f>
        <v>100</v>
      </c>
      <c r="T27" s="766" t="s">
        <v>17</v>
      </c>
      <c r="U27" s="767">
        <f>H27</f>
        <v>100</v>
      </c>
      <c r="V27" s="766" t="s">
        <v>17</v>
      </c>
      <c r="W27" s="767">
        <f>J27</f>
        <v>100</v>
      </c>
      <c r="X27" s="768"/>
      <c r="Y27" s="3672"/>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72"/>
      <c r="Q28" s="1806">
        <f t="shared" si="11"/>
        <v>111</v>
      </c>
      <c r="R28" s="770" t="s">
        <v>17</v>
      </c>
      <c r="S28" s="771">
        <f t="shared" ref="S28:S40" si="12">F28</f>
        <v>100</v>
      </c>
      <c r="T28" s="770" t="s">
        <v>17</v>
      </c>
      <c r="U28" s="771">
        <f t="shared" ref="U28:U40" si="13">H28</f>
        <v>100</v>
      </c>
      <c r="V28" s="770" t="s">
        <v>17</v>
      </c>
      <c r="W28" s="771">
        <f t="shared" ref="W28:W40" si="14">J28</f>
        <v>100</v>
      </c>
      <c r="X28" s="1809"/>
      <c r="Y28" s="3672"/>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799" t="s">
        <v>2568</v>
      </c>
      <c r="Q29" s="1806" t="str">
        <f t="shared" si="11"/>
        <v>建筑类型</v>
      </c>
      <c r="R29" s="770" t="s">
        <v>17</v>
      </c>
      <c r="S29" s="771">
        <f t="shared" si="12"/>
        <v>100</v>
      </c>
      <c r="T29" s="770" t="s">
        <v>17</v>
      </c>
      <c r="U29" s="771">
        <f t="shared" si="13"/>
        <v>100</v>
      </c>
      <c r="V29" s="770" t="s">
        <v>17</v>
      </c>
      <c r="W29" s="771">
        <f t="shared" si="14"/>
        <v>100</v>
      </c>
      <c r="X29" s="1809"/>
      <c r="Y29" s="3676"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76"/>
      <c r="Q30" s="772" t="str">
        <f t="shared" si="11"/>
        <v>项目建筑规模</v>
      </c>
      <c r="R30" s="773" t="s">
        <v>17</v>
      </c>
      <c r="S30" s="774" t="e">
        <f t="shared" si="12"/>
        <v>#N/A</v>
      </c>
      <c r="T30" s="773" t="s">
        <v>17</v>
      </c>
      <c r="U30" s="774" t="e">
        <f t="shared" si="13"/>
        <v>#N/A</v>
      </c>
      <c r="V30" s="773" t="s">
        <v>17</v>
      </c>
      <c r="W30" s="774" t="e">
        <f t="shared" si="14"/>
        <v>#N/A</v>
      </c>
      <c r="X30" s="775"/>
      <c r="Y30" s="3676"/>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76"/>
      <c r="Q31" s="1806" t="str">
        <f t="shared" si="11"/>
        <v>建筑结构</v>
      </c>
      <c r="R31" s="770" t="s">
        <v>17</v>
      </c>
      <c r="S31" s="771">
        <f t="shared" si="12"/>
        <v>100</v>
      </c>
      <c r="T31" s="770" t="s">
        <v>17</v>
      </c>
      <c r="U31" s="771">
        <f t="shared" si="13"/>
        <v>100</v>
      </c>
      <c r="V31" s="770" t="s">
        <v>17</v>
      </c>
      <c r="W31" s="771">
        <f t="shared" si="14"/>
        <v>100</v>
      </c>
      <c r="X31" s="1809"/>
      <c r="Y31" s="3676"/>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76"/>
      <c r="Q32" s="1806" t="str">
        <f t="shared" si="11"/>
        <v>公共部分装修</v>
      </c>
      <c r="R32" s="770" t="s">
        <v>17</v>
      </c>
      <c r="S32" s="771">
        <f t="shared" si="12"/>
        <v>100</v>
      </c>
      <c r="T32" s="770" t="s">
        <v>17</v>
      </c>
      <c r="U32" s="771">
        <f t="shared" si="13"/>
        <v>100</v>
      </c>
      <c r="V32" s="770" t="s">
        <v>17</v>
      </c>
      <c r="W32" s="771">
        <f t="shared" si="14"/>
        <v>100</v>
      </c>
      <c r="X32" s="1809"/>
      <c r="Y32" s="3676"/>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76"/>
      <c r="Q33" s="1806" t="str">
        <f t="shared" si="11"/>
        <v>成新度</v>
      </c>
      <c r="R33" s="770" t="s">
        <v>17</v>
      </c>
      <c r="S33" s="771" t="e">
        <f t="shared" si="12"/>
        <v>#N/A</v>
      </c>
      <c r="T33" s="770" t="s">
        <v>17</v>
      </c>
      <c r="U33" s="771" t="e">
        <f t="shared" si="13"/>
        <v>#N/A</v>
      </c>
      <c r="V33" s="770" t="s">
        <v>17</v>
      </c>
      <c r="W33" s="771" t="e">
        <f t="shared" si="14"/>
        <v>#N/A</v>
      </c>
      <c r="X33" s="1809"/>
      <c r="Y33" s="3676"/>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76"/>
      <c r="Q34" s="1791" t="str">
        <f t="shared" si="11"/>
        <v>物业管理</v>
      </c>
      <c r="R34" s="766" t="s">
        <v>17</v>
      </c>
      <c r="S34" s="767">
        <f t="shared" si="12"/>
        <v>100</v>
      </c>
      <c r="T34" s="766" t="s">
        <v>17</v>
      </c>
      <c r="U34" s="767">
        <f t="shared" si="13"/>
        <v>100</v>
      </c>
      <c r="V34" s="766" t="s">
        <v>17</v>
      </c>
      <c r="W34" s="767">
        <f t="shared" si="14"/>
        <v>100</v>
      </c>
      <c r="X34" s="768"/>
      <c r="Y34" s="3676"/>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76" t="s">
        <v>2568</v>
      </c>
      <c r="Q35" s="1806" t="str">
        <f t="shared" si="11"/>
        <v>市政基础设施</v>
      </c>
      <c r="R35" s="770" t="s">
        <v>17</v>
      </c>
      <c r="S35" s="771">
        <f t="shared" si="12"/>
        <v>100</v>
      </c>
      <c r="T35" s="770" t="s">
        <v>17</v>
      </c>
      <c r="U35" s="771">
        <f t="shared" si="13"/>
        <v>100</v>
      </c>
      <c r="V35" s="770" t="s">
        <v>17</v>
      </c>
      <c r="W35" s="771">
        <f t="shared" si="14"/>
        <v>100</v>
      </c>
      <c r="X35" s="1809"/>
      <c r="Y35" s="3676"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76"/>
      <c r="Q36" s="1806" t="str">
        <f t="shared" si="11"/>
        <v>内部装修</v>
      </c>
      <c r="R36" s="770" t="s">
        <v>17</v>
      </c>
      <c r="S36" s="771">
        <f t="shared" si="12"/>
        <v>100</v>
      </c>
      <c r="T36" s="770" t="s">
        <v>17</v>
      </c>
      <c r="U36" s="771">
        <f t="shared" si="13"/>
        <v>100</v>
      </c>
      <c r="V36" s="770" t="s">
        <v>17</v>
      </c>
      <c r="W36" s="771">
        <f t="shared" si="14"/>
        <v>100</v>
      </c>
      <c r="X36" s="1809"/>
      <c r="Y36" s="3676"/>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76"/>
      <c r="Q37" s="1806" t="str">
        <f t="shared" si="11"/>
        <v>内部装修状况</v>
      </c>
      <c r="R37" s="770" t="s">
        <v>17</v>
      </c>
      <c r="S37" s="771">
        <f t="shared" si="12"/>
        <v>100</v>
      </c>
      <c r="T37" s="770" t="s">
        <v>17</v>
      </c>
      <c r="U37" s="771">
        <f t="shared" si="13"/>
        <v>100</v>
      </c>
      <c r="V37" s="770" t="s">
        <v>17</v>
      </c>
      <c r="W37" s="771">
        <f t="shared" si="14"/>
        <v>100</v>
      </c>
      <c r="X37" s="1809"/>
      <c r="Y37" s="367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76"/>
      <c r="Q38" s="772">
        <f t="shared" si="11"/>
        <v>111</v>
      </c>
      <c r="R38" s="773" t="s">
        <v>17</v>
      </c>
      <c r="S38" s="774">
        <f t="shared" si="12"/>
        <v>100</v>
      </c>
      <c r="T38" s="773" t="s">
        <v>17</v>
      </c>
      <c r="U38" s="774">
        <f t="shared" si="13"/>
        <v>100</v>
      </c>
      <c r="V38" s="773" t="s">
        <v>17</v>
      </c>
      <c r="W38" s="774">
        <f t="shared" si="14"/>
        <v>100</v>
      </c>
      <c r="X38" s="775"/>
      <c r="Y38" s="3676"/>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76"/>
      <c r="Q39" s="1806">
        <f t="shared" si="11"/>
        <v>111</v>
      </c>
      <c r="R39" s="770" t="s">
        <v>17</v>
      </c>
      <c r="S39" s="771">
        <f t="shared" si="12"/>
        <v>100</v>
      </c>
      <c r="T39" s="770" t="s">
        <v>17</v>
      </c>
      <c r="U39" s="771">
        <f t="shared" si="13"/>
        <v>100</v>
      </c>
      <c r="V39" s="770" t="s">
        <v>17</v>
      </c>
      <c r="W39" s="771">
        <f t="shared" si="14"/>
        <v>100</v>
      </c>
      <c r="X39" s="1809"/>
      <c r="Y39" s="3676"/>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77"/>
      <c r="Q40" s="1806">
        <f t="shared" si="11"/>
        <v>111</v>
      </c>
      <c r="R40" s="770" t="s">
        <v>17</v>
      </c>
      <c r="S40" s="771">
        <f t="shared" si="12"/>
        <v>100</v>
      </c>
      <c r="T40" s="770" t="s">
        <v>17</v>
      </c>
      <c r="U40" s="771">
        <f t="shared" si="13"/>
        <v>100</v>
      </c>
      <c r="V40" s="770" t="s">
        <v>17</v>
      </c>
      <c r="W40" s="771">
        <f t="shared" si="14"/>
        <v>100</v>
      </c>
      <c r="X40" s="1809"/>
      <c r="Y40" s="3677"/>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69" t="str">
        <f>A41</f>
        <v>成交单价（元/平方米）</v>
      </c>
      <c r="Q41" s="3669"/>
      <c r="R41" s="3670">
        <f>E41</f>
        <v>0</v>
      </c>
      <c r="S41" s="3670"/>
      <c r="T41" s="3670">
        <f>G41</f>
        <v>0</v>
      </c>
      <c r="U41" s="3670"/>
      <c r="V41" s="3670">
        <f>I41</f>
        <v>0</v>
      </c>
      <c r="W41" s="3670"/>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66" t="str">
        <f>A43</f>
        <v>估价对象XX用房的比较价值（楼面单价，元/平方米）</v>
      </c>
      <c r="Q43" s="3667"/>
      <c r="R43" s="3668" t="e">
        <f>IF(F1="售价",ROUND(AVERAGE(R42:V42),0),ROUND(AVERAGE(R42:V42),1))</f>
        <v>#DIV/0!</v>
      </c>
      <c r="S43" s="3668"/>
      <c r="T43" s="3668"/>
      <c r="U43" s="3668"/>
      <c r="V43" s="3668"/>
      <c r="W43" s="3668"/>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33" t="s">
        <v>2651</v>
      </c>
      <c r="AC4" s="3632" t="s">
        <v>2652</v>
      </c>
    </row>
    <row r="5" spans="1:29" ht="15">
      <c r="A5" s="403"/>
      <c r="B5" s="404"/>
      <c r="C5" s="3643" t="s">
        <v>2545</v>
      </c>
      <c r="D5" s="3644"/>
      <c r="E5" s="3786" t="s">
        <v>2546</v>
      </c>
      <c r="F5" s="3748"/>
      <c r="G5" s="3643" t="s">
        <v>2547</v>
      </c>
      <c r="H5" s="3644"/>
      <c r="I5" s="3643" t="s">
        <v>2548</v>
      </c>
      <c r="J5" s="3644"/>
      <c r="K5" s="609"/>
      <c r="L5" s="1126"/>
      <c r="M5" s="1127"/>
      <c r="N5" s="1127"/>
      <c r="O5" s="1127"/>
      <c r="P5" s="3658"/>
      <c r="Q5" s="3659"/>
      <c r="R5" s="3639"/>
      <c r="S5" s="3640"/>
      <c r="T5" s="3639"/>
      <c r="U5" s="3640"/>
      <c r="V5" s="3664"/>
      <c r="W5" s="3664"/>
      <c r="X5" s="1809"/>
      <c r="Y5" s="3639"/>
      <c r="Z5" s="3640"/>
      <c r="AA5" s="3633"/>
      <c r="AB5" s="3633"/>
      <c r="AC5" s="3633"/>
    </row>
    <row r="6" spans="1:29" ht="15.75" thickBot="1">
      <c r="A6" s="405"/>
      <c r="B6" s="406"/>
      <c r="C6" s="3645" t="s">
        <v>2549</v>
      </c>
      <c r="D6" s="3646"/>
      <c r="E6" s="3649" t="s">
        <v>2549</v>
      </c>
      <c r="F6" s="3650"/>
      <c r="G6" s="3645" t="s">
        <v>2549</v>
      </c>
      <c r="H6" s="3646"/>
      <c r="I6" s="3645" t="s">
        <v>2549</v>
      </c>
      <c r="J6" s="3646"/>
      <c r="K6" s="609" t="s">
        <v>2550</v>
      </c>
      <c r="L6" s="1126"/>
      <c r="M6" s="1127"/>
      <c r="N6" s="1127"/>
      <c r="O6" s="1127"/>
      <c r="P6" s="3660"/>
      <c r="Q6" s="3661"/>
      <c r="R6" s="3639"/>
      <c r="S6" s="3640"/>
      <c r="T6" s="3662"/>
      <c r="U6" s="3663"/>
      <c r="V6" s="3664"/>
      <c r="W6" s="3664"/>
      <c r="X6" s="1809"/>
      <c r="Y6" s="3662"/>
      <c r="Z6" s="3663"/>
      <c r="AA6" s="3634"/>
      <c r="AB6" s="3634"/>
      <c r="AC6" s="3634"/>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35" t="s">
        <v>2552</v>
      </c>
      <c r="Q7" s="3665"/>
      <c r="R7" s="766" t="s">
        <v>17</v>
      </c>
      <c r="S7" s="767">
        <f t="shared" ref="S7:S14" si="0">F7</f>
        <v>0</v>
      </c>
      <c r="T7" s="766" t="s">
        <v>17</v>
      </c>
      <c r="U7" s="767">
        <f t="shared" ref="U7:U14" si="1">H7</f>
        <v>0</v>
      </c>
      <c r="V7" s="766" t="s">
        <v>17</v>
      </c>
      <c r="W7" s="767">
        <f t="shared" ref="W7:W14" si="2">J7</f>
        <v>0</v>
      </c>
      <c r="X7" s="768"/>
      <c r="Y7" s="3635" t="s">
        <v>2552</v>
      </c>
      <c r="Z7" s="3636"/>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35" t="s">
        <v>2555</v>
      </c>
      <c r="Q8" s="3636"/>
      <c r="R8" s="766" t="s">
        <v>17</v>
      </c>
      <c r="S8" s="767">
        <f t="shared" si="0"/>
        <v>0</v>
      </c>
      <c r="T8" s="766" t="s">
        <v>17</v>
      </c>
      <c r="U8" s="767">
        <f t="shared" si="1"/>
        <v>0</v>
      </c>
      <c r="V8" s="766" t="s">
        <v>17</v>
      </c>
      <c r="W8" s="767">
        <f t="shared" si="2"/>
        <v>0</v>
      </c>
      <c r="X8" s="768"/>
      <c r="Y8" s="3635" t="s">
        <v>2555</v>
      </c>
      <c r="Z8" s="3636"/>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69" t="s">
        <v>2558</v>
      </c>
      <c r="Q9" s="1791" t="str">
        <f t="shared" ref="Q9:Q14" si="6">B9</f>
        <v>用途</v>
      </c>
      <c r="R9" s="766" t="s">
        <v>17</v>
      </c>
      <c r="S9" s="767">
        <f t="shared" si="0"/>
        <v>100</v>
      </c>
      <c r="T9" s="766" t="s">
        <v>17</v>
      </c>
      <c r="U9" s="767">
        <f t="shared" si="1"/>
        <v>100</v>
      </c>
      <c r="V9" s="766" t="s">
        <v>17</v>
      </c>
      <c r="W9" s="767">
        <f t="shared" si="2"/>
        <v>100</v>
      </c>
      <c r="X9" s="768"/>
      <c r="Y9" s="3512"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69"/>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69"/>
      <c r="Q11" s="1791">
        <f t="shared" si="6"/>
        <v>111</v>
      </c>
      <c r="R11" s="766" t="s">
        <v>17</v>
      </c>
      <c r="S11" s="767">
        <f t="shared" si="0"/>
        <v>100</v>
      </c>
      <c r="T11" s="766" t="s">
        <v>17</v>
      </c>
      <c r="U11" s="767">
        <f t="shared" si="1"/>
        <v>100</v>
      </c>
      <c r="V11" s="766" t="s">
        <v>17</v>
      </c>
      <c r="W11" s="767">
        <f t="shared" si="2"/>
        <v>100</v>
      </c>
      <c r="X11" s="768"/>
      <c r="Y11" s="3512"/>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69"/>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69"/>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71" t="s">
        <v>2563</v>
      </c>
      <c r="Q14" s="1806" t="str">
        <f t="shared" si="6"/>
        <v>交通便捷度</v>
      </c>
      <c r="R14" s="770" t="s">
        <v>17</v>
      </c>
      <c r="S14" s="771">
        <f t="shared" si="0"/>
        <v>100</v>
      </c>
      <c r="T14" s="770" t="s">
        <v>17</v>
      </c>
      <c r="U14" s="771">
        <f t="shared" si="1"/>
        <v>100</v>
      </c>
      <c r="V14" s="770" t="s">
        <v>17</v>
      </c>
      <c r="W14" s="771">
        <f t="shared" si="2"/>
        <v>100</v>
      </c>
      <c r="X14" s="1809"/>
      <c r="Y14" s="3671"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72"/>
      <c r="Q15" s="1806"/>
      <c r="R15" s="770"/>
      <c r="S15" s="771"/>
      <c r="T15" s="770"/>
      <c r="U15" s="771"/>
      <c r="V15" s="770"/>
      <c r="W15" s="771"/>
      <c r="X15" s="1809"/>
      <c r="Y15" s="3672"/>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72"/>
      <c r="Q16" s="1806" t="str">
        <f>B16</f>
        <v>公共配套设施</v>
      </c>
      <c r="R16" s="770" t="s">
        <v>17</v>
      </c>
      <c r="S16" s="771">
        <f>F16</f>
        <v>100</v>
      </c>
      <c r="T16" s="770" t="s">
        <v>17</v>
      </c>
      <c r="U16" s="771">
        <f>H16</f>
        <v>100</v>
      </c>
      <c r="V16" s="770" t="s">
        <v>17</v>
      </c>
      <c r="W16" s="771">
        <f>J16</f>
        <v>100</v>
      </c>
      <c r="X16" s="1809"/>
      <c r="Y16" s="3672"/>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72"/>
      <c r="Q17" s="1806"/>
      <c r="R17" s="770"/>
      <c r="S17" s="771"/>
      <c r="T17" s="770"/>
      <c r="U17" s="771"/>
      <c r="V17" s="770"/>
      <c r="W17" s="771"/>
      <c r="X17" s="1809"/>
      <c r="Y17" s="3672"/>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72"/>
      <c r="Q18" s="1806" t="str">
        <f>B18</f>
        <v>基础设施水平</v>
      </c>
      <c r="R18" s="770" t="s">
        <v>17</v>
      </c>
      <c r="S18" s="771">
        <f>F18</f>
        <v>100</v>
      </c>
      <c r="T18" s="770" t="s">
        <v>17</v>
      </c>
      <c r="U18" s="771">
        <f>H18</f>
        <v>100</v>
      </c>
      <c r="V18" s="770" t="s">
        <v>17</v>
      </c>
      <c r="W18" s="771">
        <f>J18</f>
        <v>100</v>
      </c>
      <c r="X18" s="1809"/>
      <c r="Y18" s="3672"/>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72"/>
      <c r="Q19" s="1806"/>
      <c r="R19" s="770"/>
      <c r="S19" s="771"/>
      <c r="T19" s="770"/>
      <c r="U19" s="771"/>
      <c r="V19" s="770"/>
      <c r="W19" s="771"/>
      <c r="X19" s="1809"/>
      <c r="Y19" s="3672"/>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72"/>
      <c r="Q20" s="1806" t="str">
        <f>B20</f>
        <v>自然及人文环境</v>
      </c>
      <c r="R20" s="770" t="s">
        <v>17</v>
      </c>
      <c r="S20" s="771">
        <f>F20</f>
        <v>100</v>
      </c>
      <c r="T20" s="770" t="s">
        <v>17</v>
      </c>
      <c r="U20" s="771">
        <f>H20</f>
        <v>100</v>
      </c>
      <c r="V20" s="770" t="s">
        <v>17</v>
      </c>
      <c r="W20" s="771">
        <f>J20</f>
        <v>100</v>
      </c>
      <c r="X20" s="1809"/>
      <c r="Y20" s="367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72"/>
      <c r="Q21" s="1806"/>
      <c r="R21" s="770"/>
      <c r="S21" s="771"/>
      <c r="T21" s="770"/>
      <c r="U21" s="771"/>
      <c r="V21" s="770"/>
      <c r="W21" s="771"/>
      <c r="X21" s="1809"/>
      <c r="Y21" s="3672"/>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72"/>
      <c r="Q22" s="1806" t="str">
        <f>B22</f>
        <v>楼层</v>
      </c>
      <c r="R22" s="770" t="s">
        <v>17</v>
      </c>
      <c r="S22" s="771">
        <f>F22</f>
        <v>100</v>
      </c>
      <c r="T22" s="770" t="s">
        <v>17</v>
      </c>
      <c r="U22" s="771">
        <f>H22</f>
        <v>100</v>
      </c>
      <c r="V22" s="770" t="s">
        <v>17</v>
      </c>
      <c r="W22" s="771">
        <f>J22</f>
        <v>100</v>
      </c>
      <c r="X22" s="1809"/>
      <c r="Y22" s="367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72"/>
      <c r="Q23" s="1806">
        <f>B23</f>
        <v>111</v>
      </c>
      <c r="R23" s="770" t="s">
        <v>17</v>
      </c>
      <c r="S23" s="771">
        <f>F23</f>
        <v>100</v>
      </c>
      <c r="T23" s="770" t="s">
        <v>17</v>
      </c>
      <c r="U23" s="771">
        <f>H23</f>
        <v>100</v>
      </c>
      <c r="V23" s="770" t="s">
        <v>17</v>
      </c>
      <c r="W23" s="771">
        <f>J23</f>
        <v>100</v>
      </c>
      <c r="X23" s="1809"/>
      <c r="Y23" s="367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72"/>
      <c r="Q24" s="1806">
        <f t="shared" ref="Q24:Q36" si="11">B24</f>
        <v>111</v>
      </c>
      <c r="R24" s="770" t="s">
        <v>17</v>
      </c>
      <c r="S24" s="771">
        <f>F24</f>
        <v>100</v>
      </c>
      <c r="T24" s="770" t="s">
        <v>17</v>
      </c>
      <c r="U24" s="771">
        <f>H24</f>
        <v>100</v>
      </c>
      <c r="V24" s="770" t="s">
        <v>17</v>
      </c>
      <c r="W24" s="771">
        <f>J24</f>
        <v>100</v>
      </c>
      <c r="X24" s="1809"/>
      <c r="Y24" s="3672"/>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72"/>
      <c r="Q25" s="1791">
        <f t="shared" si="11"/>
        <v>111</v>
      </c>
      <c r="R25" s="766" t="s">
        <v>17</v>
      </c>
      <c r="S25" s="767">
        <f>F25</f>
        <v>100</v>
      </c>
      <c r="T25" s="766" t="s">
        <v>17</v>
      </c>
      <c r="U25" s="767">
        <f>H25</f>
        <v>100</v>
      </c>
      <c r="V25" s="766" t="s">
        <v>17</v>
      </c>
      <c r="W25" s="767">
        <f>J25</f>
        <v>100</v>
      </c>
      <c r="X25" s="768"/>
      <c r="Y25" s="3672"/>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799"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76"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76"/>
      <c r="Q27" s="772" t="str">
        <f t="shared" si="11"/>
        <v>项目停车位配比</v>
      </c>
      <c r="R27" s="773" t="s">
        <v>17</v>
      </c>
      <c r="S27" s="774">
        <f t="shared" si="12"/>
        <v>100</v>
      </c>
      <c r="T27" s="773" t="s">
        <v>17</v>
      </c>
      <c r="U27" s="774">
        <f t="shared" si="13"/>
        <v>100</v>
      </c>
      <c r="V27" s="773" t="s">
        <v>17</v>
      </c>
      <c r="W27" s="774">
        <f t="shared" si="14"/>
        <v>100</v>
      </c>
      <c r="X27" s="775"/>
      <c r="Y27" s="3676"/>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76"/>
      <c r="Q28" s="1806" t="str">
        <f t="shared" si="11"/>
        <v>公共部分装修</v>
      </c>
      <c r="R28" s="770" t="s">
        <v>17</v>
      </c>
      <c r="S28" s="771">
        <f t="shared" si="12"/>
        <v>100</v>
      </c>
      <c r="T28" s="770" t="s">
        <v>17</v>
      </c>
      <c r="U28" s="771">
        <f t="shared" si="13"/>
        <v>100</v>
      </c>
      <c r="V28" s="770" t="s">
        <v>17</v>
      </c>
      <c r="W28" s="771">
        <f t="shared" si="14"/>
        <v>100</v>
      </c>
      <c r="X28" s="1809"/>
      <c r="Y28" s="3676"/>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76"/>
      <c r="Q29" s="1806" t="str">
        <f t="shared" si="11"/>
        <v>成新率</v>
      </c>
      <c r="R29" s="770" t="s">
        <v>17</v>
      </c>
      <c r="S29" s="771" t="e">
        <f t="shared" si="12"/>
        <v>#N/A</v>
      </c>
      <c r="T29" s="770" t="s">
        <v>17</v>
      </c>
      <c r="U29" s="771" t="e">
        <f t="shared" si="13"/>
        <v>#N/A</v>
      </c>
      <c r="V29" s="770" t="s">
        <v>17</v>
      </c>
      <c r="W29" s="771" t="e">
        <f t="shared" si="14"/>
        <v>#N/A</v>
      </c>
      <c r="X29" s="1809"/>
      <c r="Y29" s="3676"/>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76"/>
      <c r="Q30" s="1806" t="str">
        <f t="shared" si="11"/>
        <v>物业等级</v>
      </c>
      <c r="R30" s="770" t="s">
        <v>17</v>
      </c>
      <c r="S30" s="771">
        <f t="shared" si="12"/>
        <v>100</v>
      </c>
      <c r="T30" s="770" t="s">
        <v>17</v>
      </c>
      <c r="U30" s="771">
        <f t="shared" si="13"/>
        <v>100</v>
      </c>
      <c r="V30" s="770" t="s">
        <v>17</v>
      </c>
      <c r="W30" s="771">
        <f t="shared" si="14"/>
        <v>100</v>
      </c>
      <c r="X30" s="1809"/>
      <c r="Y30" s="3676"/>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76"/>
      <c r="Q31" s="1791" t="str">
        <f t="shared" si="11"/>
        <v>停车位面积</v>
      </c>
      <c r="R31" s="766" t="s">
        <v>17</v>
      </c>
      <c r="S31" s="767" t="e">
        <f t="shared" si="12"/>
        <v>#N/A</v>
      </c>
      <c r="T31" s="766" t="s">
        <v>17</v>
      </c>
      <c r="U31" s="767" t="e">
        <f t="shared" si="13"/>
        <v>#N/A</v>
      </c>
      <c r="V31" s="766" t="s">
        <v>17</v>
      </c>
      <c r="W31" s="767" t="e">
        <f t="shared" si="14"/>
        <v>#N/A</v>
      </c>
      <c r="X31" s="768"/>
      <c r="Y31" s="3676"/>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76" t="s">
        <v>2568</v>
      </c>
      <c r="Q32" s="1806" t="str">
        <f t="shared" si="11"/>
        <v>车位类型</v>
      </c>
      <c r="R32" s="770" t="s">
        <v>17</v>
      </c>
      <c r="S32" s="771">
        <f t="shared" si="12"/>
        <v>100</v>
      </c>
      <c r="T32" s="770" t="s">
        <v>17</v>
      </c>
      <c r="U32" s="771">
        <f t="shared" si="13"/>
        <v>100</v>
      </c>
      <c r="V32" s="770" t="s">
        <v>17</v>
      </c>
      <c r="W32" s="771">
        <f t="shared" si="14"/>
        <v>100</v>
      </c>
      <c r="X32" s="1809"/>
      <c r="Y32" s="3676"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76"/>
      <c r="Q33" s="1806" t="str">
        <f t="shared" si="11"/>
        <v>是否直接入户</v>
      </c>
      <c r="R33" s="770" t="s">
        <v>17</v>
      </c>
      <c r="S33" s="771">
        <f t="shared" si="12"/>
        <v>100</v>
      </c>
      <c r="T33" s="770" t="s">
        <v>17</v>
      </c>
      <c r="U33" s="771">
        <f t="shared" si="13"/>
        <v>100</v>
      </c>
      <c r="V33" s="770" t="s">
        <v>17</v>
      </c>
      <c r="W33" s="771">
        <f t="shared" si="14"/>
        <v>100</v>
      </c>
      <c r="X33" s="1809"/>
      <c r="Y33" s="367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76"/>
      <c r="Q34" s="1806">
        <f t="shared" si="11"/>
        <v>111</v>
      </c>
      <c r="R34" s="770" t="s">
        <v>17</v>
      </c>
      <c r="S34" s="771">
        <f t="shared" si="12"/>
        <v>100</v>
      </c>
      <c r="T34" s="770" t="s">
        <v>17</v>
      </c>
      <c r="U34" s="771">
        <f t="shared" si="13"/>
        <v>100</v>
      </c>
      <c r="V34" s="770" t="s">
        <v>17</v>
      </c>
      <c r="W34" s="771">
        <f t="shared" si="14"/>
        <v>100</v>
      </c>
      <c r="X34" s="1809"/>
      <c r="Y34" s="367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76"/>
      <c r="Q35" s="772">
        <f t="shared" si="11"/>
        <v>111</v>
      </c>
      <c r="R35" s="773" t="s">
        <v>17</v>
      </c>
      <c r="S35" s="774">
        <f t="shared" si="12"/>
        <v>100</v>
      </c>
      <c r="T35" s="773" t="s">
        <v>17</v>
      </c>
      <c r="U35" s="774">
        <f t="shared" si="13"/>
        <v>100</v>
      </c>
      <c r="V35" s="773" t="s">
        <v>17</v>
      </c>
      <c r="W35" s="774">
        <f t="shared" si="14"/>
        <v>100</v>
      </c>
      <c r="X35" s="775"/>
      <c r="Y35" s="3676"/>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76"/>
      <c r="Q36" s="1806">
        <f t="shared" si="11"/>
        <v>111</v>
      </c>
      <c r="R36" s="770" t="s">
        <v>17</v>
      </c>
      <c r="S36" s="771">
        <f t="shared" si="12"/>
        <v>100</v>
      </c>
      <c r="T36" s="770" t="s">
        <v>17</v>
      </c>
      <c r="U36" s="771">
        <f t="shared" si="13"/>
        <v>100</v>
      </c>
      <c r="V36" s="770" t="s">
        <v>17</v>
      </c>
      <c r="W36" s="771">
        <f t="shared" si="14"/>
        <v>100</v>
      </c>
      <c r="X36" s="1809"/>
      <c r="Y36" s="3676"/>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69" t="str">
        <f>A37</f>
        <v>成交单价</v>
      </c>
      <c r="Q37" s="3669"/>
      <c r="R37" s="3670">
        <f>E37</f>
        <v>0</v>
      </c>
      <c r="S37" s="3670"/>
      <c r="T37" s="3670">
        <f>G37</f>
        <v>0</v>
      </c>
      <c r="U37" s="3670"/>
      <c r="V37" s="3670">
        <f>I37</f>
        <v>0</v>
      </c>
      <c r="W37" s="3670"/>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66" t="str">
        <f>A39</f>
        <v>估价对象XX用房的比较价值（楼面单价，元/平方米）</v>
      </c>
      <c r="Q39" s="3667"/>
      <c r="R39" s="3668" t="e">
        <f>IF(F1="售价",ROUND(AVERAGE(R38:V38),0),ROUND(AVERAGE(R38:V38),1))</f>
        <v>#DIV/0!</v>
      </c>
      <c r="S39" s="3668"/>
      <c r="T39" s="3668"/>
      <c r="U39" s="3668"/>
      <c r="V39" s="3668"/>
      <c r="W39" s="3668"/>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33" t="s">
        <v>2651</v>
      </c>
      <c r="AC4" s="3632" t="s">
        <v>2652</v>
      </c>
    </row>
    <row r="5" spans="1:29" ht="15">
      <c r="A5" s="403"/>
      <c r="B5" s="404"/>
      <c r="C5" s="3643" t="s">
        <v>2545</v>
      </c>
      <c r="D5" s="3644"/>
      <c r="E5" s="3786" t="s">
        <v>2546</v>
      </c>
      <c r="F5" s="3748"/>
      <c r="G5" s="3643" t="s">
        <v>2547</v>
      </c>
      <c r="H5" s="3644"/>
      <c r="I5" s="3643" t="s">
        <v>2548</v>
      </c>
      <c r="J5" s="3644"/>
      <c r="K5" s="609"/>
      <c r="L5" s="1126"/>
      <c r="M5" s="1127"/>
      <c r="N5" s="1127"/>
      <c r="O5" s="1127"/>
      <c r="P5" s="3658"/>
      <c r="Q5" s="3659"/>
      <c r="R5" s="3639"/>
      <c r="S5" s="3640"/>
      <c r="T5" s="3639"/>
      <c r="U5" s="3640"/>
      <c r="V5" s="3664"/>
      <c r="W5" s="3664"/>
      <c r="X5" s="1809"/>
      <c r="Y5" s="3639"/>
      <c r="Z5" s="3640"/>
      <c r="AA5" s="3633"/>
      <c r="AB5" s="3633"/>
      <c r="AC5" s="3633"/>
    </row>
    <row r="6" spans="1:29" ht="15.75" thickBot="1">
      <c r="A6" s="405"/>
      <c r="B6" s="406"/>
      <c r="C6" s="3645" t="s">
        <v>2549</v>
      </c>
      <c r="D6" s="3646"/>
      <c r="E6" s="3649" t="s">
        <v>2549</v>
      </c>
      <c r="F6" s="3650"/>
      <c r="G6" s="3645" t="s">
        <v>2549</v>
      </c>
      <c r="H6" s="3646"/>
      <c r="I6" s="3645" t="s">
        <v>2549</v>
      </c>
      <c r="J6" s="3646"/>
      <c r="K6" s="609" t="s">
        <v>2550</v>
      </c>
      <c r="L6" s="1126"/>
      <c r="M6" s="1127"/>
      <c r="N6" s="1127"/>
      <c r="O6" s="1127"/>
      <c r="P6" s="3660"/>
      <c r="Q6" s="3661"/>
      <c r="R6" s="3639"/>
      <c r="S6" s="3640"/>
      <c r="T6" s="3662"/>
      <c r="U6" s="3663"/>
      <c r="V6" s="3664"/>
      <c r="W6" s="3664"/>
      <c r="X6" s="1809"/>
      <c r="Y6" s="3662"/>
      <c r="Z6" s="3663"/>
      <c r="AA6" s="3634"/>
      <c r="AB6" s="3634"/>
      <c r="AC6" s="3634"/>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35" t="s">
        <v>2552</v>
      </c>
      <c r="Q7" s="3665"/>
      <c r="R7" s="766" t="s">
        <v>17</v>
      </c>
      <c r="S7" s="767">
        <f t="shared" ref="S7:S14" si="0">F7</f>
        <v>0</v>
      </c>
      <c r="T7" s="766" t="s">
        <v>17</v>
      </c>
      <c r="U7" s="767">
        <f t="shared" ref="U7:U14" si="1">H7</f>
        <v>0</v>
      </c>
      <c r="V7" s="766" t="s">
        <v>17</v>
      </c>
      <c r="W7" s="767">
        <f t="shared" ref="W7:W14" si="2">J7</f>
        <v>0</v>
      </c>
      <c r="X7" s="768"/>
      <c r="Y7" s="3635" t="s">
        <v>2552</v>
      </c>
      <c r="Z7" s="3636"/>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35" t="s">
        <v>2555</v>
      </c>
      <c r="Q8" s="3636"/>
      <c r="R8" s="766" t="s">
        <v>17</v>
      </c>
      <c r="S8" s="767">
        <f t="shared" si="0"/>
        <v>0</v>
      </c>
      <c r="T8" s="766" t="s">
        <v>17</v>
      </c>
      <c r="U8" s="767">
        <f t="shared" si="1"/>
        <v>0</v>
      </c>
      <c r="V8" s="766" t="s">
        <v>17</v>
      </c>
      <c r="W8" s="767">
        <f t="shared" si="2"/>
        <v>0</v>
      </c>
      <c r="X8" s="768"/>
      <c r="Y8" s="3635" t="s">
        <v>2555</v>
      </c>
      <c r="Z8" s="3636"/>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69" t="s">
        <v>2558</v>
      </c>
      <c r="Q9" s="1791" t="str">
        <f t="shared" ref="Q9:Q14" si="6">B9</f>
        <v>用途</v>
      </c>
      <c r="R9" s="766" t="s">
        <v>17</v>
      </c>
      <c r="S9" s="767">
        <f t="shared" si="0"/>
        <v>100</v>
      </c>
      <c r="T9" s="766" t="s">
        <v>17</v>
      </c>
      <c r="U9" s="767">
        <f t="shared" si="1"/>
        <v>100</v>
      </c>
      <c r="V9" s="766" t="s">
        <v>17</v>
      </c>
      <c r="W9" s="767">
        <f t="shared" si="2"/>
        <v>100</v>
      </c>
      <c r="X9" s="768"/>
      <c r="Y9" s="3512"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69"/>
      <c r="Q10" s="1791" t="str">
        <f t="shared" si="6"/>
        <v>土地使用年限（年）</v>
      </c>
      <c r="R10" s="766" t="s">
        <v>17</v>
      </c>
      <c r="S10" s="767">
        <f t="shared" si="0"/>
        <v>100</v>
      </c>
      <c r="T10" s="766" t="s">
        <v>17</v>
      </c>
      <c r="U10" s="767">
        <f t="shared" si="1"/>
        <v>100</v>
      </c>
      <c r="V10" s="766" t="s">
        <v>17</v>
      </c>
      <c r="W10" s="767">
        <f t="shared" si="2"/>
        <v>100</v>
      </c>
      <c r="X10" s="768"/>
      <c r="Y10" s="3512"/>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69"/>
      <c r="Q11" s="1791">
        <f t="shared" si="6"/>
        <v>111</v>
      </c>
      <c r="R11" s="766" t="s">
        <v>17</v>
      </c>
      <c r="S11" s="767">
        <f t="shared" si="0"/>
        <v>100</v>
      </c>
      <c r="T11" s="766" t="s">
        <v>17</v>
      </c>
      <c r="U11" s="767">
        <f t="shared" si="1"/>
        <v>100</v>
      </c>
      <c r="V11" s="766" t="s">
        <v>17</v>
      </c>
      <c r="W11" s="767">
        <f t="shared" si="2"/>
        <v>100</v>
      </c>
      <c r="X11" s="768"/>
      <c r="Y11" s="3512"/>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69"/>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69"/>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71" t="s">
        <v>2563</v>
      </c>
      <c r="Q14" s="1806" t="str">
        <f t="shared" si="6"/>
        <v>交通便捷度</v>
      </c>
      <c r="R14" s="770" t="s">
        <v>17</v>
      </c>
      <c r="S14" s="771">
        <f t="shared" si="0"/>
        <v>100</v>
      </c>
      <c r="T14" s="770" t="s">
        <v>17</v>
      </c>
      <c r="U14" s="771">
        <f t="shared" si="1"/>
        <v>100</v>
      </c>
      <c r="V14" s="770" t="s">
        <v>17</v>
      </c>
      <c r="W14" s="771">
        <f t="shared" si="2"/>
        <v>100</v>
      </c>
      <c r="X14" s="1809"/>
      <c r="Y14" s="3671"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72"/>
      <c r="Q15" s="1806"/>
      <c r="R15" s="770"/>
      <c r="S15" s="771"/>
      <c r="T15" s="770"/>
      <c r="U15" s="771"/>
      <c r="V15" s="770"/>
      <c r="W15" s="771"/>
      <c r="X15" s="1809"/>
      <c r="Y15" s="3672"/>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72"/>
      <c r="Q16" s="1806" t="str">
        <f>B16</f>
        <v>公共配套设施</v>
      </c>
      <c r="R16" s="770" t="s">
        <v>17</v>
      </c>
      <c r="S16" s="771">
        <f>F16</f>
        <v>100</v>
      </c>
      <c r="T16" s="770" t="s">
        <v>17</v>
      </c>
      <c r="U16" s="771">
        <f>H16</f>
        <v>100</v>
      </c>
      <c r="V16" s="770" t="s">
        <v>17</v>
      </c>
      <c r="W16" s="771">
        <f>J16</f>
        <v>100</v>
      </c>
      <c r="X16" s="1809"/>
      <c r="Y16" s="3672"/>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72"/>
      <c r="Q17" s="1806"/>
      <c r="R17" s="770"/>
      <c r="S17" s="771"/>
      <c r="T17" s="770"/>
      <c r="U17" s="771"/>
      <c r="V17" s="770"/>
      <c r="W17" s="771"/>
      <c r="X17" s="1809"/>
      <c r="Y17" s="3672"/>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72"/>
      <c r="Q18" s="1806" t="str">
        <f>B18</f>
        <v>基础设施水平</v>
      </c>
      <c r="R18" s="770" t="s">
        <v>17</v>
      </c>
      <c r="S18" s="771">
        <f>F18</f>
        <v>100</v>
      </c>
      <c r="T18" s="770" t="s">
        <v>17</v>
      </c>
      <c r="U18" s="771">
        <f>H18</f>
        <v>100</v>
      </c>
      <c r="V18" s="770" t="s">
        <v>17</v>
      </c>
      <c r="W18" s="771">
        <f>J18</f>
        <v>100</v>
      </c>
      <c r="X18" s="1809"/>
      <c r="Y18" s="3672"/>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72"/>
      <c r="Q19" s="1806"/>
      <c r="R19" s="770"/>
      <c r="S19" s="771"/>
      <c r="T19" s="770"/>
      <c r="U19" s="771"/>
      <c r="V19" s="770"/>
      <c r="W19" s="771"/>
      <c r="X19" s="1809"/>
      <c r="Y19" s="3672"/>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72"/>
      <c r="Q20" s="1806" t="str">
        <f>B20</f>
        <v>自然及人文环境</v>
      </c>
      <c r="R20" s="770" t="s">
        <v>17</v>
      </c>
      <c r="S20" s="771">
        <f>F20</f>
        <v>100</v>
      </c>
      <c r="T20" s="770" t="s">
        <v>17</v>
      </c>
      <c r="U20" s="771">
        <f>H20</f>
        <v>100</v>
      </c>
      <c r="V20" s="770" t="s">
        <v>17</v>
      </c>
      <c r="W20" s="771">
        <f>J20</f>
        <v>100</v>
      </c>
      <c r="X20" s="1809"/>
      <c r="Y20" s="367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72"/>
      <c r="Q21" s="1806"/>
      <c r="R21" s="770"/>
      <c r="S21" s="771"/>
      <c r="T21" s="770"/>
      <c r="U21" s="771"/>
      <c r="V21" s="770"/>
      <c r="W21" s="771"/>
      <c r="X21" s="1809"/>
      <c r="Y21" s="3672"/>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72"/>
      <c r="Q22" s="1806" t="str">
        <f>B22</f>
        <v>楼层</v>
      </c>
      <c r="R22" s="770" t="s">
        <v>17</v>
      </c>
      <c r="S22" s="771">
        <f>F22</f>
        <v>100</v>
      </c>
      <c r="T22" s="770" t="s">
        <v>17</v>
      </c>
      <c r="U22" s="771">
        <f>H22</f>
        <v>100</v>
      </c>
      <c r="V22" s="770" t="s">
        <v>17</v>
      </c>
      <c r="W22" s="771">
        <f>J22</f>
        <v>100</v>
      </c>
      <c r="X22" s="1809"/>
      <c r="Y22" s="3672"/>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72"/>
      <c r="Q23" s="1806">
        <f>B23</f>
        <v>111</v>
      </c>
      <c r="R23" s="770" t="s">
        <v>17</v>
      </c>
      <c r="S23" s="771">
        <f>F23</f>
        <v>100</v>
      </c>
      <c r="T23" s="770" t="s">
        <v>17</v>
      </c>
      <c r="U23" s="771">
        <f>H23</f>
        <v>100</v>
      </c>
      <c r="V23" s="770" t="s">
        <v>17</v>
      </c>
      <c r="W23" s="771">
        <f>J23</f>
        <v>100</v>
      </c>
      <c r="X23" s="1809"/>
      <c r="Y23" s="3672"/>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72"/>
      <c r="Q24" s="1806">
        <f t="shared" ref="Q24:Q34" si="11">B24</f>
        <v>111</v>
      </c>
      <c r="R24" s="770" t="s">
        <v>17</v>
      </c>
      <c r="S24" s="771">
        <f>F24</f>
        <v>100</v>
      </c>
      <c r="T24" s="770" t="s">
        <v>17</v>
      </c>
      <c r="U24" s="771">
        <f>H24</f>
        <v>100</v>
      </c>
      <c r="V24" s="770" t="s">
        <v>17</v>
      </c>
      <c r="W24" s="771">
        <f>J24</f>
        <v>100</v>
      </c>
      <c r="X24" s="1809"/>
      <c r="Y24" s="3672"/>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72"/>
      <c r="Q25" s="1791">
        <f t="shared" si="11"/>
        <v>111</v>
      </c>
      <c r="R25" s="766" t="s">
        <v>17</v>
      </c>
      <c r="S25" s="767">
        <f>F25</f>
        <v>100</v>
      </c>
      <c r="T25" s="766" t="s">
        <v>17</v>
      </c>
      <c r="U25" s="767">
        <f>H25</f>
        <v>100</v>
      </c>
      <c r="V25" s="766" t="s">
        <v>17</v>
      </c>
      <c r="W25" s="767">
        <f>J25</f>
        <v>100</v>
      </c>
      <c r="X25" s="768"/>
      <c r="Y25" s="3672"/>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799"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76"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76"/>
      <c r="Q27" s="772" t="str">
        <f t="shared" si="11"/>
        <v>成新率</v>
      </c>
      <c r="R27" s="773" t="s">
        <v>17</v>
      </c>
      <c r="S27" s="774" t="e">
        <f t="shared" si="12"/>
        <v>#N/A</v>
      </c>
      <c r="T27" s="773" t="s">
        <v>17</v>
      </c>
      <c r="U27" s="774" t="e">
        <f t="shared" si="13"/>
        <v>#N/A</v>
      </c>
      <c r="V27" s="773" t="s">
        <v>17</v>
      </c>
      <c r="W27" s="774" t="e">
        <f t="shared" si="14"/>
        <v>#N/A</v>
      </c>
      <c r="X27" s="775"/>
      <c r="Y27" s="3676"/>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76"/>
      <c r="Q28" s="1806" t="str">
        <f t="shared" si="11"/>
        <v>物业等级</v>
      </c>
      <c r="R28" s="770" t="s">
        <v>17</v>
      </c>
      <c r="S28" s="771">
        <f t="shared" si="12"/>
        <v>100</v>
      </c>
      <c r="T28" s="770" t="s">
        <v>17</v>
      </c>
      <c r="U28" s="771">
        <f t="shared" si="13"/>
        <v>100</v>
      </c>
      <c r="V28" s="770" t="s">
        <v>17</v>
      </c>
      <c r="W28" s="771">
        <f t="shared" si="14"/>
        <v>100</v>
      </c>
      <c r="X28" s="1809"/>
      <c r="Y28" s="3676"/>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76"/>
      <c r="Q29" s="1806" t="str">
        <f t="shared" si="11"/>
        <v>有无电梯</v>
      </c>
      <c r="R29" s="770" t="s">
        <v>17</v>
      </c>
      <c r="S29" s="771">
        <f t="shared" si="12"/>
        <v>100</v>
      </c>
      <c r="T29" s="770" t="s">
        <v>17</v>
      </c>
      <c r="U29" s="771">
        <f t="shared" si="13"/>
        <v>100</v>
      </c>
      <c r="V29" s="770" t="s">
        <v>17</v>
      </c>
      <c r="W29" s="771">
        <f t="shared" si="14"/>
        <v>100</v>
      </c>
      <c r="X29" s="1809"/>
      <c r="Y29" s="3676"/>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76"/>
      <c r="Q30" s="1806" t="str">
        <f t="shared" si="11"/>
        <v>建筑面积</v>
      </c>
      <c r="R30" s="770" t="s">
        <v>17</v>
      </c>
      <c r="S30" s="771" t="e">
        <f t="shared" si="12"/>
        <v>#N/A</v>
      </c>
      <c r="T30" s="770" t="s">
        <v>17</v>
      </c>
      <c r="U30" s="771" t="e">
        <f t="shared" si="13"/>
        <v>#N/A</v>
      </c>
      <c r="V30" s="770" t="s">
        <v>17</v>
      </c>
      <c r="W30" s="771" t="e">
        <f t="shared" si="14"/>
        <v>#N/A</v>
      </c>
      <c r="X30" s="1809"/>
      <c r="Y30" s="3676"/>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76"/>
      <c r="Q31" s="1791" t="str">
        <f t="shared" si="11"/>
        <v>是否封闭</v>
      </c>
      <c r="R31" s="766" t="s">
        <v>17</v>
      </c>
      <c r="S31" s="767">
        <f t="shared" si="12"/>
        <v>100</v>
      </c>
      <c r="T31" s="766" t="s">
        <v>17</v>
      </c>
      <c r="U31" s="767">
        <f t="shared" si="13"/>
        <v>100</v>
      </c>
      <c r="V31" s="766" t="s">
        <v>17</v>
      </c>
      <c r="W31" s="767">
        <f t="shared" si="14"/>
        <v>100</v>
      </c>
      <c r="X31" s="768"/>
      <c r="Y31" s="3676"/>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76" t="s">
        <v>2568</v>
      </c>
      <c r="Q32" s="1806">
        <f t="shared" si="11"/>
        <v>111</v>
      </c>
      <c r="R32" s="770" t="s">
        <v>17</v>
      </c>
      <c r="S32" s="771">
        <f t="shared" si="12"/>
        <v>100</v>
      </c>
      <c r="T32" s="770" t="s">
        <v>17</v>
      </c>
      <c r="U32" s="771">
        <f t="shared" si="13"/>
        <v>100</v>
      </c>
      <c r="V32" s="770" t="s">
        <v>17</v>
      </c>
      <c r="W32" s="771">
        <f t="shared" si="14"/>
        <v>100</v>
      </c>
      <c r="X32" s="1809"/>
      <c r="Y32" s="3676"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76"/>
      <c r="Q33" s="1806">
        <f t="shared" si="11"/>
        <v>111</v>
      </c>
      <c r="R33" s="770" t="s">
        <v>17</v>
      </c>
      <c r="S33" s="771">
        <f t="shared" si="12"/>
        <v>100</v>
      </c>
      <c r="T33" s="770" t="s">
        <v>17</v>
      </c>
      <c r="U33" s="771">
        <f t="shared" si="13"/>
        <v>100</v>
      </c>
      <c r="V33" s="770" t="s">
        <v>17</v>
      </c>
      <c r="W33" s="771">
        <f t="shared" si="14"/>
        <v>100</v>
      </c>
      <c r="X33" s="1809"/>
      <c r="Y33" s="3676"/>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76"/>
      <c r="Q34" s="1806">
        <f t="shared" si="11"/>
        <v>111</v>
      </c>
      <c r="R34" s="770" t="s">
        <v>17</v>
      </c>
      <c r="S34" s="771">
        <f t="shared" si="12"/>
        <v>100</v>
      </c>
      <c r="T34" s="770" t="s">
        <v>17</v>
      </c>
      <c r="U34" s="771">
        <f t="shared" si="13"/>
        <v>100</v>
      </c>
      <c r="V34" s="770" t="s">
        <v>17</v>
      </c>
      <c r="W34" s="771">
        <f t="shared" si="14"/>
        <v>100</v>
      </c>
      <c r="X34" s="1809"/>
      <c r="Y34" s="3676"/>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69" t="str">
        <f>A35</f>
        <v>成交单价（元/平方米）</v>
      </c>
      <c r="Q35" s="3669"/>
      <c r="R35" s="3670">
        <f>E35</f>
        <v>0</v>
      </c>
      <c r="S35" s="3670"/>
      <c r="T35" s="3670">
        <f>G35</f>
        <v>0</v>
      </c>
      <c r="U35" s="3670"/>
      <c r="V35" s="3670">
        <f>I35</f>
        <v>0</v>
      </c>
      <c r="W35" s="3670"/>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66" t="str">
        <f>A37</f>
        <v>估价对象XX用房的比较价值（楼面单价，元/平方米）</v>
      </c>
      <c r="Q37" s="3667"/>
      <c r="R37" s="3668" t="e">
        <f>IF(F1="售价",ROUND(AVERAGE(R36:V36),0),ROUND(AVERAGE(R36:V36),1))</f>
        <v>#DIV/0!</v>
      </c>
      <c r="S37" s="3668"/>
      <c r="T37" s="3668"/>
      <c r="U37" s="3668"/>
      <c r="V37" s="3668"/>
      <c r="W37" s="3668"/>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33" t="s">
        <v>2651</v>
      </c>
      <c r="AC4" s="3632" t="s">
        <v>2652</v>
      </c>
    </row>
    <row r="5" spans="1:30" ht="15">
      <c r="A5" s="403"/>
      <c r="B5" s="404"/>
      <c r="C5" s="3643" t="s">
        <v>2545</v>
      </c>
      <c r="D5" s="3644"/>
      <c r="E5" s="3786" t="s">
        <v>2546</v>
      </c>
      <c r="F5" s="3748"/>
      <c r="G5" s="3643" t="s">
        <v>2547</v>
      </c>
      <c r="H5" s="3644"/>
      <c r="I5" s="3643" t="s">
        <v>2548</v>
      </c>
      <c r="J5" s="3644"/>
      <c r="K5" s="609"/>
      <c r="L5" s="1126"/>
      <c r="M5" s="1127"/>
      <c r="N5" s="1127"/>
      <c r="O5" s="1127"/>
      <c r="P5" s="3658"/>
      <c r="Q5" s="3659"/>
      <c r="R5" s="3639"/>
      <c r="S5" s="3640"/>
      <c r="T5" s="3639"/>
      <c r="U5" s="3640"/>
      <c r="V5" s="3664"/>
      <c r="W5" s="3664"/>
      <c r="X5" s="1809"/>
      <c r="Y5" s="3639"/>
      <c r="Z5" s="3640"/>
      <c r="AA5" s="3633"/>
      <c r="AB5" s="3633"/>
      <c r="AC5" s="3633"/>
    </row>
    <row r="6" spans="1:30" ht="15.75" thickBot="1">
      <c r="A6" s="405"/>
      <c r="B6" s="406"/>
      <c r="C6" s="3645" t="s">
        <v>2549</v>
      </c>
      <c r="D6" s="3646"/>
      <c r="E6" s="3649" t="s">
        <v>2549</v>
      </c>
      <c r="F6" s="3650"/>
      <c r="G6" s="3645" t="s">
        <v>2549</v>
      </c>
      <c r="H6" s="3646"/>
      <c r="I6" s="3645" t="s">
        <v>2549</v>
      </c>
      <c r="J6" s="3646"/>
      <c r="K6" s="609" t="s">
        <v>2550</v>
      </c>
      <c r="L6" s="1126"/>
      <c r="M6" s="1127"/>
      <c r="N6" s="1127"/>
      <c r="O6" s="1127"/>
      <c r="P6" s="3660"/>
      <c r="Q6" s="3661"/>
      <c r="R6" s="3639"/>
      <c r="S6" s="3640"/>
      <c r="T6" s="3662"/>
      <c r="U6" s="3663"/>
      <c r="V6" s="3664"/>
      <c r="W6" s="3664"/>
      <c r="X6" s="1809"/>
      <c r="Y6" s="3662"/>
      <c r="Z6" s="3663"/>
      <c r="AA6" s="3634"/>
      <c r="AB6" s="3634"/>
      <c r="AC6" s="3634"/>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35" t="s">
        <v>2552</v>
      </c>
      <c r="Q7" s="3665"/>
      <c r="R7" s="766" t="s">
        <v>17</v>
      </c>
      <c r="S7" s="767">
        <f t="shared" ref="S7:S15" si="0">F7</f>
        <v>0</v>
      </c>
      <c r="T7" s="766" t="s">
        <v>17</v>
      </c>
      <c r="U7" s="767">
        <f t="shared" ref="U7:U15" si="1">H7</f>
        <v>0</v>
      </c>
      <c r="V7" s="766" t="s">
        <v>17</v>
      </c>
      <c r="W7" s="767">
        <f t="shared" ref="W7:W15" si="2">J7</f>
        <v>0</v>
      </c>
      <c r="X7" s="768"/>
      <c r="Y7" s="3635" t="s">
        <v>2552</v>
      </c>
      <c r="Z7" s="3636"/>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35" t="s">
        <v>2555</v>
      </c>
      <c r="Q8" s="3636"/>
      <c r="R8" s="766" t="s">
        <v>17</v>
      </c>
      <c r="S8" s="767">
        <f t="shared" si="0"/>
        <v>0</v>
      </c>
      <c r="T8" s="766" t="s">
        <v>17</v>
      </c>
      <c r="U8" s="767">
        <f t="shared" si="1"/>
        <v>0</v>
      </c>
      <c r="V8" s="766" t="s">
        <v>17</v>
      </c>
      <c r="W8" s="767">
        <f t="shared" si="2"/>
        <v>0</v>
      </c>
      <c r="X8" s="768"/>
      <c r="Y8" s="3635" t="s">
        <v>2555</v>
      </c>
      <c r="Z8" s="3636"/>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69"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107</v>
      </c>
      <c r="G10" s="462"/>
      <c r="H10" s="135">
        <f>ROUND(100/'数据-取费表'!G16,0)</f>
        <v>107</v>
      </c>
      <c r="I10" s="462"/>
      <c r="J10" s="135">
        <f>ROUND(100/'数据-取费表'!G16,0)</f>
        <v>107</v>
      </c>
      <c r="K10" s="671"/>
      <c r="L10" s="1131"/>
      <c r="M10" s="1132"/>
      <c r="N10" s="1132"/>
      <c r="O10" s="1133"/>
      <c r="P10" s="3669"/>
      <c r="Q10" s="1791" t="str">
        <f t="shared" si="6"/>
        <v>土地使用年限（年）</v>
      </c>
      <c r="R10" s="766" t="s">
        <v>17</v>
      </c>
      <c r="S10" s="767">
        <f t="shared" si="0"/>
        <v>107</v>
      </c>
      <c r="T10" s="766" t="s">
        <v>17</v>
      </c>
      <c r="U10" s="767">
        <f t="shared" si="1"/>
        <v>107</v>
      </c>
      <c r="V10" s="766" t="s">
        <v>17</v>
      </c>
      <c r="W10" s="767">
        <f t="shared" si="2"/>
        <v>107</v>
      </c>
      <c r="X10" s="768"/>
      <c r="Y10" s="3512"/>
      <c r="Z10" s="55" t="str">
        <f t="shared" si="7"/>
        <v>土地使用年限（年）</v>
      </c>
      <c r="AA10" s="769">
        <f t="shared" si="3"/>
        <v>0.93457943925233644</v>
      </c>
      <c r="AB10" s="769">
        <f t="shared" si="4"/>
        <v>0.93457943925233644</v>
      </c>
      <c r="AC10" s="769">
        <f t="shared" si="5"/>
        <v>0.93457943925233644</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69"/>
      <c r="Q11" s="1791" t="str">
        <f t="shared" si="6"/>
        <v>容积率</v>
      </c>
      <c r="R11" s="766" t="s">
        <v>17</v>
      </c>
      <c r="S11" s="767" t="e">
        <f t="shared" si="0"/>
        <v>#N/A</v>
      </c>
      <c r="T11" s="766" t="s">
        <v>17</v>
      </c>
      <c r="U11" s="767" t="e">
        <f t="shared" si="1"/>
        <v>#N/A</v>
      </c>
      <c r="V11" s="766" t="s">
        <v>17</v>
      </c>
      <c r="W11" s="767" t="e">
        <f t="shared" si="2"/>
        <v>#N/A</v>
      </c>
      <c r="X11" s="768"/>
      <c r="Y11" s="3512"/>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69"/>
      <c r="Q12" s="1791" t="str">
        <f t="shared" si="6"/>
        <v>配建</v>
      </c>
      <c r="R12" s="766" t="s">
        <v>17</v>
      </c>
      <c r="S12" s="767">
        <f t="shared" si="0"/>
        <v>100</v>
      </c>
      <c r="T12" s="766" t="s">
        <v>17</v>
      </c>
      <c r="U12" s="767">
        <f t="shared" si="1"/>
        <v>100</v>
      </c>
      <c r="V12" s="766" t="s">
        <v>17</v>
      </c>
      <c r="W12" s="767">
        <f t="shared" si="2"/>
        <v>100</v>
      </c>
      <c r="X12" s="768"/>
      <c r="Y12" s="3512"/>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69"/>
      <c r="Q13" s="1791">
        <f t="shared" si="6"/>
        <v>111</v>
      </c>
      <c r="R13" s="766" t="s">
        <v>17</v>
      </c>
      <c r="S13" s="767">
        <f t="shared" si="0"/>
        <v>100</v>
      </c>
      <c r="T13" s="766" t="s">
        <v>17</v>
      </c>
      <c r="U13" s="767">
        <f t="shared" si="1"/>
        <v>100</v>
      </c>
      <c r="V13" s="766" t="s">
        <v>17</v>
      </c>
      <c r="W13" s="767">
        <f t="shared" si="2"/>
        <v>100</v>
      </c>
      <c r="X13" s="768"/>
      <c r="Y13" s="3512"/>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69"/>
      <c r="Q14" s="1791">
        <f t="shared" si="6"/>
        <v>111</v>
      </c>
      <c r="R14" s="766" t="s">
        <v>17</v>
      </c>
      <c r="S14" s="767">
        <f t="shared" si="0"/>
        <v>100</v>
      </c>
      <c r="T14" s="766" t="s">
        <v>17</v>
      </c>
      <c r="U14" s="767">
        <f t="shared" si="1"/>
        <v>100</v>
      </c>
      <c r="V14" s="766" t="s">
        <v>17</v>
      </c>
      <c r="W14" s="767">
        <f t="shared" si="2"/>
        <v>100</v>
      </c>
      <c r="X14" s="768"/>
      <c r="Y14" s="3512"/>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71" t="s">
        <v>2563</v>
      </c>
      <c r="Q15" s="1806" t="str">
        <f t="shared" si="6"/>
        <v>居住社区成熟度</v>
      </c>
      <c r="R15" s="770" t="s">
        <v>17</v>
      </c>
      <c r="S15" s="771">
        <f t="shared" si="0"/>
        <v>100</v>
      </c>
      <c r="T15" s="770" t="s">
        <v>17</v>
      </c>
      <c r="U15" s="771">
        <f t="shared" si="1"/>
        <v>100</v>
      </c>
      <c r="V15" s="770" t="s">
        <v>17</v>
      </c>
      <c r="W15" s="771">
        <f t="shared" si="2"/>
        <v>100</v>
      </c>
      <c r="X15" s="1809"/>
      <c r="Y15" s="3671"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72"/>
      <c r="Q16" s="1806"/>
      <c r="R16" s="770"/>
      <c r="S16" s="771"/>
      <c r="T16" s="770"/>
      <c r="U16" s="771"/>
      <c r="V16" s="770"/>
      <c r="W16" s="771"/>
      <c r="X16" s="1809"/>
      <c r="Y16" s="3672"/>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72"/>
      <c r="Q17" s="1806" t="str">
        <f>B17</f>
        <v>商业繁华度</v>
      </c>
      <c r="R17" s="770" t="s">
        <v>17</v>
      </c>
      <c r="S17" s="771">
        <f>F17</f>
        <v>100</v>
      </c>
      <c r="T17" s="770" t="s">
        <v>17</v>
      </c>
      <c r="U17" s="771">
        <f>H17</f>
        <v>100</v>
      </c>
      <c r="V17" s="770" t="s">
        <v>17</v>
      </c>
      <c r="W17" s="771">
        <f>J17</f>
        <v>100</v>
      </c>
      <c r="X17" s="1809"/>
      <c r="Y17" s="3672"/>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72"/>
      <c r="Q18" s="1806"/>
      <c r="R18" s="770"/>
      <c r="S18" s="771"/>
      <c r="T18" s="770"/>
      <c r="U18" s="771"/>
      <c r="V18" s="770"/>
      <c r="W18" s="771"/>
      <c r="X18" s="1809"/>
      <c r="Y18" s="3672"/>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72"/>
      <c r="Q19" s="1806" t="str">
        <f>B19</f>
        <v>办公集聚程度</v>
      </c>
      <c r="R19" s="770" t="s">
        <v>17</v>
      </c>
      <c r="S19" s="771">
        <f>F19</f>
        <v>100</v>
      </c>
      <c r="T19" s="770" t="s">
        <v>17</v>
      </c>
      <c r="U19" s="771">
        <f>H19</f>
        <v>100</v>
      </c>
      <c r="V19" s="770" t="s">
        <v>17</v>
      </c>
      <c r="W19" s="771">
        <f>J19</f>
        <v>100</v>
      </c>
      <c r="X19" s="1809"/>
      <c r="Y19" s="3672"/>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72"/>
      <c r="Q20" s="1806"/>
      <c r="R20" s="770"/>
      <c r="S20" s="771"/>
      <c r="T20" s="770"/>
      <c r="U20" s="771"/>
      <c r="V20" s="770"/>
      <c r="W20" s="771"/>
      <c r="X20" s="1809"/>
      <c r="Y20" s="3672"/>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72"/>
      <c r="Q21" s="1806" t="str">
        <f>B21</f>
        <v>交通便捷度</v>
      </c>
      <c r="R21" s="770" t="s">
        <v>17</v>
      </c>
      <c r="S21" s="771">
        <f>F21</f>
        <v>100</v>
      </c>
      <c r="T21" s="770" t="s">
        <v>17</v>
      </c>
      <c r="U21" s="771">
        <f>H21</f>
        <v>100</v>
      </c>
      <c r="V21" s="770" t="s">
        <v>17</v>
      </c>
      <c r="W21" s="771">
        <f>J21</f>
        <v>100</v>
      </c>
      <c r="X21" s="1809"/>
      <c r="Y21" s="3672"/>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72"/>
      <c r="Q22" s="1806"/>
      <c r="R22" s="770"/>
      <c r="S22" s="771"/>
      <c r="T22" s="770"/>
      <c r="U22" s="771"/>
      <c r="V22" s="770"/>
      <c r="W22" s="771"/>
      <c r="X22" s="1809"/>
      <c r="Y22" s="3672"/>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72"/>
      <c r="Q23" s="1806" t="str">
        <f t="shared" ref="Q23:Q37" si="8">B23</f>
        <v>区域土地利用方向</v>
      </c>
      <c r="R23" s="770" t="s">
        <v>17</v>
      </c>
      <c r="S23" s="771">
        <f>F23</f>
        <v>100</v>
      </c>
      <c r="T23" s="770" t="s">
        <v>17</v>
      </c>
      <c r="U23" s="771">
        <f>H23</f>
        <v>100</v>
      </c>
      <c r="V23" s="770" t="s">
        <v>17</v>
      </c>
      <c r="W23" s="771">
        <f>J23</f>
        <v>100</v>
      </c>
      <c r="X23" s="1809"/>
      <c r="Y23" s="3672"/>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72"/>
      <c r="Q24" s="1806"/>
      <c r="R24" s="770"/>
      <c r="S24" s="771"/>
      <c r="T24" s="770"/>
      <c r="U24" s="771"/>
      <c r="V24" s="770"/>
      <c r="W24" s="771"/>
      <c r="X24" s="1809"/>
      <c r="Y24" s="3672"/>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72"/>
      <c r="Q25" s="1806" t="str">
        <f t="shared" si="8"/>
        <v>自然及人文环境状况</v>
      </c>
      <c r="R25" s="770" t="s">
        <v>17</v>
      </c>
      <c r="S25" s="771">
        <f>F25</f>
        <v>100</v>
      </c>
      <c r="T25" s="770" t="s">
        <v>17</v>
      </c>
      <c r="U25" s="771">
        <f>H25</f>
        <v>100</v>
      </c>
      <c r="V25" s="770" t="s">
        <v>17</v>
      </c>
      <c r="W25" s="771">
        <f>J25</f>
        <v>100</v>
      </c>
      <c r="X25" s="1809"/>
      <c r="Y25" s="3672"/>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72"/>
      <c r="Q26" s="1806"/>
      <c r="R26" s="770"/>
      <c r="S26" s="771"/>
      <c r="T26" s="770"/>
      <c r="U26" s="771"/>
      <c r="V26" s="770"/>
      <c r="W26" s="771"/>
      <c r="X26" s="1809"/>
      <c r="Y26" s="3672"/>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72"/>
      <c r="Q27" s="1791" t="str">
        <f t="shared" si="8"/>
        <v>公共配套设施</v>
      </c>
      <c r="R27" s="766" t="s">
        <v>17</v>
      </c>
      <c r="S27" s="767">
        <f>F27</f>
        <v>100</v>
      </c>
      <c r="T27" s="766" t="s">
        <v>17</v>
      </c>
      <c r="U27" s="767">
        <f>H27</f>
        <v>100</v>
      </c>
      <c r="V27" s="766" t="s">
        <v>17</v>
      </c>
      <c r="W27" s="767">
        <f>J27</f>
        <v>100</v>
      </c>
      <c r="X27" s="768"/>
      <c r="Y27" s="3672"/>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72"/>
      <c r="Q28" s="1791"/>
      <c r="R28" s="766"/>
      <c r="S28" s="767"/>
      <c r="T28" s="766"/>
      <c r="U28" s="767"/>
      <c r="V28" s="766"/>
      <c r="W28" s="767"/>
      <c r="X28" s="768"/>
      <c r="Y28" s="3672"/>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72"/>
      <c r="Q29" s="1791" t="str">
        <f t="shared" ref="Q29" si="9">B29</f>
        <v>基础设施水平</v>
      </c>
      <c r="R29" s="766" t="s">
        <v>17</v>
      </c>
      <c r="S29" s="767">
        <f>F29</f>
        <v>100</v>
      </c>
      <c r="T29" s="766" t="s">
        <v>17</v>
      </c>
      <c r="U29" s="767">
        <f>H29</f>
        <v>100</v>
      </c>
      <c r="V29" s="766" t="s">
        <v>17</v>
      </c>
      <c r="W29" s="767">
        <f>J29</f>
        <v>100</v>
      </c>
      <c r="X29" s="768"/>
      <c r="Y29" s="3672"/>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72"/>
      <c r="Q30" s="1791"/>
      <c r="R30" s="766"/>
      <c r="S30" s="767"/>
      <c r="T30" s="766"/>
      <c r="U30" s="767"/>
      <c r="V30" s="766"/>
      <c r="W30" s="767"/>
      <c r="X30" s="768"/>
      <c r="Y30" s="3672"/>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72"/>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72"/>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72"/>
      <c r="Q32" s="1806" t="str">
        <f t="shared" si="8"/>
        <v>毗邻道路的类型与等级</v>
      </c>
      <c r="R32" s="770" t="s">
        <v>17</v>
      </c>
      <c r="S32" s="771">
        <f t="shared" si="10"/>
        <v>100</v>
      </c>
      <c r="T32" s="770" t="s">
        <v>17</v>
      </c>
      <c r="U32" s="771">
        <f t="shared" si="11"/>
        <v>100</v>
      </c>
      <c r="V32" s="770" t="s">
        <v>17</v>
      </c>
      <c r="W32" s="771">
        <f t="shared" si="12"/>
        <v>100</v>
      </c>
      <c r="X32" s="1809"/>
      <c r="Y32" s="3672"/>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72"/>
      <c r="Q33" s="1806"/>
      <c r="R33" s="770"/>
      <c r="S33" s="771"/>
      <c r="T33" s="770"/>
      <c r="U33" s="771"/>
      <c r="V33" s="770"/>
      <c r="W33" s="771"/>
      <c r="X33" s="1809"/>
      <c r="Y33" s="3672"/>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72"/>
      <c r="Q34" s="1806" t="str">
        <f t="shared" si="8"/>
        <v>土地级别</v>
      </c>
      <c r="R34" s="770" t="s">
        <v>17</v>
      </c>
      <c r="S34" s="771">
        <f t="shared" si="10"/>
        <v>100</v>
      </c>
      <c r="T34" s="770" t="s">
        <v>17</v>
      </c>
      <c r="U34" s="771">
        <f t="shared" si="11"/>
        <v>100</v>
      </c>
      <c r="V34" s="770" t="s">
        <v>17</v>
      </c>
      <c r="W34" s="771">
        <f t="shared" si="12"/>
        <v>100</v>
      </c>
      <c r="X34" s="1809"/>
      <c r="Y34" s="367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72"/>
      <c r="Q35" s="1806">
        <f t="shared" si="8"/>
        <v>111</v>
      </c>
      <c r="R35" s="770" t="s">
        <v>17</v>
      </c>
      <c r="S35" s="771">
        <f t="shared" si="10"/>
        <v>100</v>
      </c>
      <c r="T35" s="770" t="s">
        <v>17</v>
      </c>
      <c r="U35" s="771">
        <f t="shared" si="11"/>
        <v>100</v>
      </c>
      <c r="V35" s="770" t="s">
        <v>17</v>
      </c>
      <c r="W35" s="771">
        <f t="shared" si="12"/>
        <v>100</v>
      </c>
      <c r="X35" s="1809"/>
      <c r="Y35" s="367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799" t="s">
        <v>2568</v>
      </c>
      <c r="Q36" s="1806">
        <f t="shared" si="8"/>
        <v>111</v>
      </c>
      <c r="R36" s="770" t="s">
        <v>17</v>
      </c>
      <c r="S36" s="771">
        <f t="shared" si="10"/>
        <v>100</v>
      </c>
      <c r="T36" s="770" t="s">
        <v>17</v>
      </c>
      <c r="U36" s="771">
        <f t="shared" si="11"/>
        <v>100</v>
      </c>
      <c r="V36" s="770" t="s">
        <v>17</v>
      </c>
      <c r="W36" s="771">
        <f t="shared" si="12"/>
        <v>100</v>
      </c>
      <c r="X36" s="1809"/>
      <c r="Y36" s="3676"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76"/>
      <c r="Q37" s="1806">
        <f t="shared" si="8"/>
        <v>111</v>
      </c>
      <c r="R37" s="773" t="s">
        <v>17</v>
      </c>
      <c r="S37" s="774">
        <f t="shared" si="10"/>
        <v>100</v>
      </c>
      <c r="T37" s="773" t="s">
        <v>17</v>
      </c>
      <c r="U37" s="774">
        <f t="shared" si="11"/>
        <v>100</v>
      </c>
      <c r="V37" s="773" t="s">
        <v>17</v>
      </c>
      <c r="W37" s="774">
        <f t="shared" si="12"/>
        <v>100</v>
      </c>
      <c r="X37" s="775"/>
      <c r="Y37" s="3676"/>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76"/>
      <c r="Q38" s="1806" t="str">
        <f>B38</f>
        <v>宗地面积</v>
      </c>
      <c r="R38" s="770" t="s">
        <v>17</v>
      </c>
      <c r="S38" s="771" t="e">
        <f t="shared" si="10"/>
        <v>#N/A</v>
      </c>
      <c r="T38" s="770" t="s">
        <v>17</v>
      </c>
      <c r="U38" s="771" t="e">
        <f t="shared" si="11"/>
        <v>#N/A</v>
      </c>
      <c r="V38" s="770" t="s">
        <v>17</v>
      </c>
      <c r="W38" s="771" t="e">
        <f t="shared" si="12"/>
        <v>#N/A</v>
      </c>
      <c r="X38" s="1809"/>
      <c r="Y38" s="3676"/>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76"/>
      <c r="Q39" s="1806" t="str">
        <f t="shared" ref="Q39:Q45" si="14">B39</f>
        <v>宗地形状</v>
      </c>
      <c r="R39" s="770" t="s">
        <v>17</v>
      </c>
      <c r="S39" s="771">
        <f t="shared" si="10"/>
        <v>100</v>
      </c>
      <c r="T39" s="770" t="s">
        <v>17</v>
      </c>
      <c r="U39" s="771">
        <f t="shared" si="11"/>
        <v>100</v>
      </c>
      <c r="V39" s="770" t="s">
        <v>17</v>
      </c>
      <c r="W39" s="771">
        <f t="shared" si="12"/>
        <v>100</v>
      </c>
      <c r="X39" s="1809"/>
      <c r="Y39" s="3676"/>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76"/>
      <c r="Q40" s="1806" t="str">
        <f t="shared" si="14"/>
        <v>临街宽度及深度</v>
      </c>
      <c r="R40" s="770" t="s">
        <v>17</v>
      </c>
      <c r="S40" s="771">
        <f t="shared" si="10"/>
        <v>100</v>
      </c>
      <c r="T40" s="770" t="s">
        <v>17</v>
      </c>
      <c r="U40" s="771">
        <f t="shared" si="11"/>
        <v>100</v>
      </c>
      <c r="V40" s="770" t="s">
        <v>17</v>
      </c>
      <c r="W40" s="771">
        <f t="shared" si="12"/>
        <v>100</v>
      </c>
      <c r="X40" s="1809"/>
      <c r="Y40" s="3676"/>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76"/>
      <c r="Q41" s="1806" t="str">
        <f t="shared" si="14"/>
        <v>宗地开发程度</v>
      </c>
      <c r="R41" s="766" t="s">
        <v>17</v>
      </c>
      <c r="S41" s="767">
        <f t="shared" si="10"/>
        <v>100</v>
      </c>
      <c r="T41" s="766" t="s">
        <v>17</v>
      </c>
      <c r="U41" s="767">
        <f t="shared" si="11"/>
        <v>100</v>
      </c>
      <c r="V41" s="766" t="s">
        <v>17</v>
      </c>
      <c r="W41" s="767">
        <f t="shared" si="12"/>
        <v>100</v>
      </c>
      <c r="X41" s="768"/>
      <c r="Y41" s="3676"/>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76" t="s">
        <v>2568</v>
      </c>
      <c r="Q42" s="1806" t="str">
        <f t="shared" si="14"/>
        <v>工程地质条件</v>
      </c>
      <c r="R42" s="770" t="s">
        <v>17</v>
      </c>
      <c r="S42" s="771">
        <f t="shared" si="10"/>
        <v>100</v>
      </c>
      <c r="T42" s="770" t="s">
        <v>17</v>
      </c>
      <c r="U42" s="771">
        <f t="shared" si="11"/>
        <v>100</v>
      </c>
      <c r="V42" s="770" t="s">
        <v>17</v>
      </c>
      <c r="W42" s="771">
        <f t="shared" si="12"/>
        <v>100</v>
      </c>
      <c r="X42" s="1809"/>
      <c r="Y42" s="3676"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76"/>
      <c r="Q43" s="1806">
        <f t="shared" si="14"/>
        <v>111</v>
      </c>
      <c r="R43" s="770" t="s">
        <v>17</v>
      </c>
      <c r="S43" s="771">
        <f t="shared" si="10"/>
        <v>100</v>
      </c>
      <c r="T43" s="770" t="s">
        <v>17</v>
      </c>
      <c r="U43" s="771">
        <f t="shared" si="11"/>
        <v>100</v>
      </c>
      <c r="V43" s="770" t="s">
        <v>17</v>
      </c>
      <c r="W43" s="771">
        <f t="shared" si="12"/>
        <v>100</v>
      </c>
      <c r="X43" s="1809"/>
      <c r="Y43" s="367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76"/>
      <c r="Q44" s="1806">
        <f t="shared" si="14"/>
        <v>111</v>
      </c>
      <c r="R44" s="770" t="s">
        <v>17</v>
      </c>
      <c r="S44" s="771">
        <f t="shared" si="10"/>
        <v>100</v>
      </c>
      <c r="T44" s="770" t="s">
        <v>17</v>
      </c>
      <c r="U44" s="771">
        <f t="shared" si="11"/>
        <v>100</v>
      </c>
      <c r="V44" s="770" t="s">
        <v>17</v>
      </c>
      <c r="W44" s="771">
        <f t="shared" si="12"/>
        <v>100</v>
      </c>
      <c r="X44" s="1809"/>
      <c r="Y44" s="3676"/>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76"/>
      <c r="Q45" s="1806">
        <f t="shared" si="14"/>
        <v>111</v>
      </c>
      <c r="R45" s="773" t="s">
        <v>17</v>
      </c>
      <c r="S45" s="774">
        <f t="shared" si="10"/>
        <v>100</v>
      </c>
      <c r="T45" s="773" t="s">
        <v>17</v>
      </c>
      <c r="U45" s="774">
        <f t="shared" si="11"/>
        <v>100</v>
      </c>
      <c r="V45" s="773" t="s">
        <v>17</v>
      </c>
      <c r="W45" s="774">
        <f t="shared" si="12"/>
        <v>100</v>
      </c>
      <c r="X45" s="775"/>
      <c r="Y45" s="3676"/>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69" t="str">
        <f>A46</f>
        <v>成交单价</v>
      </c>
      <c r="Q46" s="3669"/>
      <c r="R46" s="3664">
        <f>E46</f>
        <v>0</v>
      </c>
      <c r="S46" s="3664"/>
      <c r="T46" s="3664">
        <f>G46</f>
        <v>0</v>
      </c>
      <c r="U46" s="3664"/>
      <c r="V46" s="3664">
        <f>I46</f>
        <v>0</v>
      </c>
      <c r="W46" s="3664"/>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69" t="str">
        <f>A47</f>
        <v>比较价值（元/平方米）</v>
      </c>
      <c r="Q47" s="3669"/>
      <c r="R47" s="3800" t="e">
        <f>ROUND(PRODUCT(R46,AA7:AA45),0)</f>
        <v>#DIV/0!</v>
      </c>
      <c r="S47" s="3800"/>
      <c r="T47" s="3800" t="e">
        <f>ROUND(PRODUCT(T46,AB7:AB45),0)</f>
        <v>#DIV/0!</v>
      </c>
      <c r="U47" s="3800"/>
      <c r="V47" s="3800" t="e">
        <f>ROUND(PRODUCT(V46,AC7:AC45),0)</f>
        <v>#DIV/0!</v>
      </c>
      <c r="W47" s="3800"/>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66" t="str">
        <f>A48</f>
        <v>估价对象XX用房的比较价值（楼面单价，元/平方米）</v>
      </c>
      <c r="Q48" s="3667"/>
      <c r="R48" s="3801" t="e">
        <f>ROUND(AVERAGE(R47:V47),0)</f>
        <v>#DIV/0!</v>
      </c>
      <c r="S48" s="3801"/>
      <c r="T48" s="3801"/>
      <c r="U48" s="3801"/>
      <c r="V48" s="3801"/>
      <c r="W48" s="3801"/>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52" t="s">
        <v>2767</v>
      </c>
      <c r="H55" s="3802"/>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14161.990000000002</v>
      </c>
      <c r="F56" s="1099" t="e">
        <f t="shared" ref="F56:F65" si="15">ROUND(B56*E56/10000,0)</f>
        <v>#DIV/0!</v>
      </c>
      <c r="G56" s="3651"/>
      <c r="H56" s="3669"/>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03"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03"/>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03"/>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03"/>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14161.990000000002</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52" t="s">
        <v>2649</v>
      </c>
      <c r="D4" s="3653"/>
      <c r="E4" s="3654" t="s">
        <v>2650</v>
      </c>
      <c r="F4" s="3655"/>
      <c r="G4" s="3652" t="s">
        <v>2651</v>
      </c>
      <c r="H4" s="3653"/>
      <c r="I4" s="3652" t="s">
        <v>2652</v>
      </c>
      <c r="J4" s="3653"/>
      <c r="K4" s="609" t="s">
        <v>2653</v>
      </c>
      <c r="L4" s="1126"/>
      <c r="M4" s="1127"/>
      <c r="N4" s="1127"/>
      <c r="O4" s="1127"/>
      <c r="P4" s="3656" t="s">
        <v>2654</v>
      </c>
      <c r="Q4" s="3657"/>
      <c r="R4" s="3637" t="s">
        <v>2650</v>
      </c>
      <c r="S4" s="3638"/>
      <c r="T4" s="3637" t="s">
        <v>2651</v>
      </c>
      <c r="U4" s="3638"/>
      <c r="V4" s="3664" t="s">
        <v>2652</v>
      </c>
      <c r="W4" s="3664"/>
      <c r="X4" s="1809"/>
      <c r="Y4" s="3637" t="s">
        <v>2654</v>
      </c>
      <c r="Z4" s="3638"/>
      <c r="AA4" s="3632" t="s">
        <v>2650</v>
      </c>
      <c r="AB4" s="3633" t="s">
        <v>2651</v>
      </c>
      <c r="AC4" s="3632" t="s">
        <v>2652</v>
      </c>
    </row>
    <row r="5" spans="1:29" ht="15">
      <c r="A5" s="403"/>
      <c r="B5" s="404"/>
      <c r="C5" s="3643" t="s">
        <v>2545</v>
      </c>
      <c r="D5" s="3644"/>
      <c r="E5" s="3786" t="s">
        <v>2546</v>
      </c>
      <c r="F5" s="3748"/>
      <c r="G5" s="3643" t="s">
        <v>2547</v>
      </c>
      <c r="H5" s="3644"/>
      <c r="I5" s="3643" t="s">
        <v>2548</v>
      </c>
      <c r="J5" s="3644"/>
      <c r="K5" s="609"/>
      <c r="L5" s="1126"/>
      <c r="M5" s="1127"/>
      <c r="N5" s="1127"/>
      <c r="O5" s="1127"/>
      <c r="P5" s="3658"/>
      <c r="Q5" s="3659"/>
      <c r="R5" s="3639"/>
      <c r="S5" s="3640"/>
      <c r="T5" s="3639"/>
      <c r="U5" s="3640"/>
      <c r="V5" s="3664"/>
      <c r="W5" s="3664"/>
      <c r="X5" s="1809"/>
      <c r="Y5" s="3639"/>
      <c r="Z5" s="3640"/>
      <c r="AA5" s="3633"/>
      <c r="AB5" s="3633"/>
      <c r="AC5" s="3633"/>
    </row>
    <row r="6" spans="1:29" ht="15.75" thickBot="1">
      <c r="A6" s="405"/>
      <c r="B6" s="406"/>
      <c r="C6" s="3804" t="s">
        <v>2800</v>
      </c>
      <c r="D6" s="3805"/>
      <c r="E6" s="3806" t="s">
        <v>2800</v>
      </c>
      <c r="F6" s="3807"/>
      <c r="G6" s="3804" t="s">
        <v>2800</v>
      </c>
      <c r="H6" s="3805"/>
      <c r="I6" s="3804" t="s">
        <v>2800</v>
      </c>
      <c r="J6" s="3805"/>
      <c r="K6" s="609" t="s">
        <v>2550</v>
      </c>
      <c r="L6" s="1126"/>
      <c r="M6" s="1127"/>
      <c r="N6" s="1127"/>
      <c r="O6" s="1127"/>
      <c r="P6" s="3660"/>
      <c r="Q6" s="3661"/>
      <c r="R6" s="3639"/>
      <c r="S6" s="3640"/>
      <c r="T6" s="3662"/>
      <c r="U6" s="3663"/>
      <c r="V6" s="3664"/>
      <c r="W6" s="3664"/>
      <c r="X6" s="1809"/>
      <c r="Y6" s="3662"/>
      <c r="Z6" s="3663"/>
      <c r="AA6" s="3634"/>
      <c r="AB6" s="3634"/>
      <c r="AC6" s="3634"/>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35" t="s">
        <v>2552</v>
      </c>
      <c r="Q7" s="3665"/>
      <c r="R7" s="766" t="s">
        <v>17</v>
      </c>
      <c r="S7" s="767">
        <f t="shared" ref="S7:S15" si="0">F7</f>
        <v>0</v>
      </c>
      <c r="T7" s="766" t="s">
        <v>17</v>
      </c>
      <c r="U7" s="767">
        <f t="shared" ref="U7:U15" si="1">H7</f>
        <v>0</v>
      </c>
      <c r="V7" s="766" t="s">
        <v>17</v>
      </c>
      <c r="W7" s="767">
        <f t="shared" ref="W7:W15" si="2">J7</f>
        <v>0</v>
      </c>
      <c r="X7" s="768"/>
      <c r="Y7" s="3635" t="s">
        <v>2552</v>
      </c>
      <c r="Z7" s="3636"/>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35" t="s">
        <v>2555</v>
      </c>
      <c r="Q8" s="3636"/>
      <c r="R8" s="766" t="s">
        <v>17</v>
      </c>
      <c r="S8" s="767">
        <f t="shared" si="0"/>
        <v>0</v>
      </c>
      <c r="T8" s="766" t="s">
        <v>17</v>
      </c>
      <c r="U8" s="767">
        <f t="shared" si="1"/>
        <v>0</v>
      </c>
      <c r="V8" s="766" t="s">
        <v>17</v>
      </c>
      <c r="W8" s="767">
        <f t="shared" si="2"/>
        <v>0</v>
      </c>
      <c r="X8" s="768"/>
      <c r="Y8" s="3635" t="s">
        <v>2555</v>
      </c>
      <c r="Z8" s="3636"/>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69" t="s">
        <v>2558</v>
      </c>
      <c r="Q9" s="1791" t="str">
        <f t="shared" ref="Q9:Q15" si="6">B9</f>
        <v>用途</v>
      </c>
      <c r="R9" s="766" t="s">
        <v>17</v>
      </c>
      <c r="S9" s="767">
        <f t="shared" si="0"/>
        <v>100</v>
      </c>
      <c r="T9" s="766" t="s">
        <v>17</v>
      </c>
      <c r="U9" s="767">
        <f t="shared" si="1"/>
        <v>100</v>
      </c>
      <c r="V9" s="766" t="s">
        <v>17</v>
      </c>
      <c r="W9" s="767">
        <f t="shared" si="2"/>
        <v>100</v>
      </c>
      <c r="X9" s="768"/>
      <c r="Y9" s="3512"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107</v>
      </c>
      <c r="G10" s="431"/>
      <c r="H10" s="135">
        <f>ROUND(100/'数据-取费表'!G16,0)</f>
        <v>107</v>
      </c>
      <c r="I10" s="431"/>
      <c r="J10" s="135">
        <f>ROUND(100/'数据-取费表'!G16,0)</f>
        <v>107</v>
      </c>
      <c r="K10" s="671"/>
      <c r="L10" s="1131"/>
      <c r="M10" s="1132"/>
      <c r="N10" s="1132"/>
      <c r="O10" s="1133"/>
      <c r="P10" s="3669"/>
      <c r="Q10" s="1791" t="str">
        <f t="shared" si="6"/>
        <v>土地使用年限（年）</v>
      </c>
      <c r="R10" s="766" t="s">
        <v>17</v>
      </c>
      <c r="S10" s="767">
        <f t="shared" si="0"/>
        <v>107</v>
      </c>
      <c r="T10" s="766" t="s">
        <v>17</v>
      </c>
      <c r="U10" s="767">
        <f t="shared" si="1"/>
        <v>107</v>
      </c>
      <c r="V10" s="766" t="s">
        <v>17</v>
      </c>
      <c r="W10" s="767">
        <f t="shared" si="2"/>
        <v>107</v>
      </c>
      <c r="X10" s="768"/>
      <c r="Y10" s="3512"/>
      <c r="Z10" s="55" t="str">
        <f t="shared" si="7"/>
        <v>土地使用年限（年）</v>
      </c>
      <c r="AA10" s="769">
        <f t="shared" si="3"/>
        <v>0.93457943925233644</v>
      </c>
      <c r="AB10" s="769">
        <f t="shared" si="4"/>
        <v>0.93457943925233644</v>
      </c>
      <c r="AC10" s="769">
        <f t="shared" si="5"/>
        <v>0.93457943925233644</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69"/>
      <c r="Q11" s="1791" t="str">
        <f t="shared" si="6"/>
        <v>容积率</v>
      </c>
      <c r="R11" s="766" t="s">
        <v>17</v>
      </c>
      <c r="S11" s="767" t="e">
        <f t="shared" si="0"/>
        <v>#N/A</v>
      </c>
      <c r="T11" s="766" t="s">
        <v>17</v>
      </c>
      <c r="U11" s="767" t="e">
        <f t="shared" si="1"/>
        <v>#N/A</v>
      </c>
      <c r="V11" s="766" t="s">
        <v>17</v>
      </c>
      <c r="W11" s="767" t="e">
        <f t="shared" si="2"/>
        <v>#N/A</v>
      </c>
      <c r="X11" s="768"/>
      <c r="Y11" s="3512"/>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69"/>
      <c r="Q12" s="1791">
        <f t="shared" si="6"/>
        <v>111</v>
      </c>
      <c r="R12" s="766" t="s">
        <v>17</v>
      </c>
      <c r="S12" s="767">
        <f t="shared" si="0"/>
        <v>100</v>
      </c>
      <c r="T12" s="766" t="s">
        <v>17</v>
      </c>
      <c r="U12" s="767">
        <f t="shared" si="1"/>
        <v>100</v>
      </c>
      <c r="V12" s="766" t="s">
        <v>17</v>
      </c>
      <c r="W12" s="767">
        <f t="shared" si="2"/>
        <v>100</v>
      </c>
      <c r="X12" s="768"/>
      <c r="Y12" s="3512"/>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69"/>
      <c r="Q13" s="1791">
        <f t="shared" si="6"/>
        <v>111</v>
      </c>
      <c r="R13" s="766" t="s">
        <v>17</v>
      </c>
      <c r="S13" s="767">
        <f t="shared" si="0"/>
        <v>100</v>
      </c>
      <c r="T13" s="766" t="s">
        <v>17</v>
      </c>
      <c r="U13" s="767">
        <f t="shared" si="1"/>
        <v>100</v>
      </c>
      <c r="V13" s="766" t="s">
        <v>17</v>
      </c>
      <c r="W13" s="767">
        <f t="shared" si="2"/>
        <v>100</v>
      </c>
      <c r="X13" s="768"/>
      <c r="Y13" s="3512"/>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69"/>
      <c r="Q14" s="1791">
        <f t="shared" si="6"/>
        <v>111</v>
      </c>
      <c r="R14" s="766" t="s">
        <v>17</v>
      </c>
      <c r="S14" s="767">
        <f t="shared" si="0"/>
        <v>100</v>
      </c>
      <c r="T14" s="766" t="s">
        <v>17</v>
      </c>
      <c r="U14" s="767">
        <f t="shared" si="1"/>
        <v>100</v>
      </c>
      <c r="V14" s="766" t="s">
        <v>17</v>
      </c>
      <c r="W14" s="767">
        <f t="shared" si="2"/>
        <v>100</v>
      </c>
      <c r="X14" s="768"/>
      <c r="Y14" s="3512"/>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71" t="s">
        <v>2563</v>
      </c>
      <c r="Q15" s="1806" t="str">
        <f t="shared" si="6"/>
        <v>产业集聚程度</v>
      </c>
      <c r="R15" s="770" t="s">
        <v>17</v>
      </c>
      <c r="S15" s="771">
        <f t="shared" si="0"/>
        <v>100</v>
      </c>
      <c r="T15" s="770" t="s">
        <v>17</v>
      </c>
      <c r="U15" s="771">
        <f t="shared" si="1"/>
        <v>100</v>
      </c>
      <c r="V15" s="770" t="s">
        <v>17</v>
      </c>
      <c r="W15" s="771">
        <f t="shared" si="2"/>
        <v>100</v>
      </c>
      <c r="X15" s="1809"/>
      <c r="Y15" s="3671"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72"/>
      <c r="Q16" s="1806"/>
      <c r="R16" s="770"/>
      <c r="S16" s="771"/>
      <c r="T16" s="770"/>
      <c r="U16" s="771"/>
      <c r="V16" s="770"/>
      <c r="W16" s="771"/>
      <c r="X16" s="1809"/>
      <c r="Y16" s="3672"/>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72"/>
      <c r="Q17" s="1806" t="str">
        <f>B17</f>
        <v>交通便捷度</v>
      </c>
      <c r="R17" s="770" t="s">
        <v>17</v>
      </c>
      <c r="S17" s="771">
        <f>F17</f>
        <v>100</v>
      </c>
      <c r="T17" s="770" t="s">
        <v>17</v>
      </c>
      <c r="U17" s="771">
        <f>H17</f>
        <v>100</v>
      </c>
      <c r="V17" s="770" t="s">
        <v>17</v>
      </c>
      <c r="W17" s="771">
        <f>J17</f>
        <v>100</v>
      </c>
      <c r="X17" s="1809"/>
      <c r="Y17" s="3672"/>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72"/>
      <c r="Q18" s="1806"/>
      <c r="R18" s="770"/>
      <c r="S18" s="771"/>
      <c r="T18" s="770"/>
      <c r="U18" s="771"/>
      <c r="V18" s="770"/>
      <c r="W18" s="771"/>
      <c r="X18" s="1809"/>
      <c r="Y18" s="3672"/>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72"/>
      <c r="Q19" s="1806" t="str">
        <f t="shared" ref="Q19:Q33" si="8">B19</f>
        <v>区域土地利用方向</v>
      </c>
      <c r="R19" s="770" t="s">
        <v>17</v>
      </c>
      <c r="S19" s="771">
        <f>F19</f>
        <v>100</v>
      </c>
      <c r="T19" s="770" t="s">
        <v>17</v>
      </c>
      <c r="U19" s="771">
        <f>H19</f>
        <v>100</v>
      </c>
      <c r="V19" s="770" t="s">
        <v>17</v>
      </c>
      <c r="W19" s="771">
        <f>J19</f>
        <v>100</v>
      </c>
      <c r="X19" s="1809"/>
      <c r="Y19" s="3672"/>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72"/>
      <c r="Q20" s="1806"/>
      <c r="R20" s="770"/>
      <c r="S20" s="771"/>
      <c r="T20" s="770"/>
      <c r="U20" s="771"/>
      <c r="V20" s="770"/>
      <c r="W20" s="771"/>
      <c r="X20" s="1809"/>
      <c r="Y20" s="3672"/>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72"/>
      <c r="Q21" s="1806" t="str">
        <f t="shared" si="8"/>
        <v>环境状况</v>
      </c>
      <c r="R21" s="770" t="s">
        <v>17</v>
      </c>
      <c r="S21" s="771">
        <f>F21</f>
        <v>100</v>
      </c>
      <c r="T21" s="770" t="s">
        <v>17</v>
      </c>
      <c r="U21" s="771">
        <f>H21</f>
        <v>100</v>
      </c>
      <c r="V21" s="770" t="s">
        <v>17</v>
      </c>
      <c r="W21" s="771">
        <f>J21</f>
        <v>100</v>
      </c>
      <c r="X21" s="1809"/>
      <c r="Y21" s="3672"/>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72"/>
      <c r="Q22" s="1806"/>
      <c r="R22" s="770"/>
      <c r="S22" s="771"/>
      <c r="T22" s="770"/>
      <c r="U22" s="771"/>
      <c r="V22" s="770"/>
      <c r="W22" s="771"/>
      <c r="X22" s="1809"/>
      <c r="Y22" s="3672"/>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72"/>
      <c r="Q23" s="1791" t="str">
        <f t="shared" si="8"/>
        <v>公共配套设施</v>
      </c>
      <c r="R23" s="766" t="s">
        <v>17</v>
      </c>
      <c r="S23" s="767">
        <f>F23</f>
        <v>100</v>
      </c>
      <c r="T23" s="766" t="s">
        <v>17</v>
      </c>
      <c r="U23" s="767">
        <f>H23</f>
        <v>100</v>
      </c>
      <c r="V23" s="766" t="s">
        <v>17</v>
      </c>
      <c r="W23" s="767">
        <f>J23</f>
        <v>100</v>
      </c>
      <c r="X23" s="768"/>
      <c r="Y23" s="3672"/>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72"/>
      <c r="Q24" s="1791"/>
      <c r="R24" s="766"/>
      <c r="S24" s="767"/>
      <c r="T24" s="766"/>
      <c r="U24" s="767"/>
      <c r="V24" s="766"/>
      <c r="W24" s="767"/>
      <c r="X24" s="768"/>
      <c r="Y24" s="3672"/>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72"/>
      <c r="Q25" s="1791" t="str">
        <f t="shared" ref="Q25" si="9">B25</f>
        <v>基础设施水平</v>
      </c>
      <c r="R25" s="766" t="s">
        <v>17</v>
      </c>
      <c r="S25" s="767">
        <f>F25</f>
        <v>100</v>
      </c>
      <c r="T25" s="766" t="s">
        <v>17</v>
      </c>
      <c r="U25" s="767">
        <f>H25</f>
        <v>100</v>
      </c>
      <c r="V25" s="766" t="s">
        <v>17</v>
      </c>
      <c r="W25" s="767">
        <f>J25</f>
        <v>100</v>
      </c>
      <c r="X25" s="768"/>
      <c r="Y25" s="3672"/>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72"/>
      <c r="Q26" s="1791"/>
      <c r="R26" s="766"/>
      <c r="S26" s="767"/>
      <c r="T26" s="766"/>
      <c r="U26" s="767"/>
      <c r="V26" s="766"/>
      <c r="W26" s="767"/>
      <c r="X26" s="768"/>
      <c r="Y26" s="3672"/>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72"/>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72"/>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72"/>
      <c r="Q28" s="1806" t="str">
        <f t="shared" si="8"/>
        <v>毗邻道路的类型与等级</v>
      </c>
      <c r="R28" s="770" t="s">
        <v>17</v>
      </c>
      <c r="S28" s="771">
        <f t="shared" si="10"/>
        <v>100</v>
      </c>
      <c r="T28" s="770" t="s">
        <v>17</v>
      </c>
      <c r="U28" s="771">
        <f t="shared" si="11"/>
        <v>100</v>
      </c>
      <c r="V28" s="770" t="s">
        <v>17</v>
      </c>
      <c r="W28" s="771">
        <f t="shared" si="12"/>
        <v>100</v>
      </c>
      <c r="X28" s="1809"/>
      <c r="Y28" s="3672"/>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72"/>
      <c r="Q29" s="1806"/>
      <c r="R29" s="770"/>
      <c r="S29" s="771"/>
      <c r="T29" s="770"/>
      <c r="U29" s="771"/>
      <c r="V29" s="770"/>
      <c r="W29" s="771"/>
      <c r="X29" s="1809"/>
      <c r="Y29" s="3672"/>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72"/>
      <c r="Q30" s="1806" t="str">
        <f t="shared" si="8"/>
        <v>土地级别</v>
      </c>
      <c r="R30" s="770" t="s">
        <v>17</v>
      </c>
      <c r="S30" s="771">
        <f t="shared" si="10"/>
        <v>100</v>
      </c>
      <c r="T30" s="770" t="s">
        <v>17</v>
      </c>
      <c r="U30" s="771">
        <f t="shared" si="11"/>
        <v>100</v>
      </c>
      <c r="V30" s="770" t="s">
        <v>17</v>
      </c>
      <c r="W30" s="771">
        <f t="shared" si="12"/>
        <v>100</v>
      </c>
      <c r="X30" s="1809"/>
      <c r="Y30" s="3672"/>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72"/>
      <c r="Q31" s="1806">
        <f t="shared" si="8"/>
        <v>111</v>
      </c>
      <c r="R31" s="770" t="s">
        <v>17</v>
      </c>
      <c r="S31" s="771">
        <f t="shared" si="10"/>
        <v>100</v>
      </c>
      <c r="T31" s="770" t="s">
        <v>17</v>
      </c>
      <c r="U31" s="771">
        <f t="shared" si="11"/>
        <v>100</v>
      </c>
      <c r="V31" s="770" t="s">
        <v>17</v>
      </c>
      <c r="W31" s="771">
        <f t="shared" si="12"/>
        <v>100</v>
      </c>
      <c r="X31" s="1809"/>
      <c r="Y31" s="3672"/>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799" t="s">
        <v>2568</v>
      </c>
      <c r="Q32" s="1806">
        <f t="shared" si="8"/>
        <v>111</v>
      </c>
      <c r="R32" s="770" t="s">
        <v>17</v>
      </c>
      <c r="S32" s="771">
        <f t="shared" si="10"/>
        <v>100</v>
      </c>
      <c r="T32" s="770" t="s">
        <v>17</v>
      </c>
      <c r="U32" s="771">
        <f t="shared" si="11"/>
        <v>100</v>
      </c>
      <c r="V32" s="770" t="s">
        <v>17</v>
      </c>
      <c r="W32" s="771">
        <f t="shared" si="12"/>
        <v>100</v>
      </c>
      <c r="X32" s="1809"/>
      <c r="Y32" s="3676"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76"/>
      <c r="Q33" s="1806">
        <f t="shared" si="8"/>
        <v>111</v>
      </c>
      <c r="R33" s="773" t="s">
        <v>17</v>
      </c>
      <c r="S33" s="774">
        <f t="shared" si="10"/>
        <v>100</v>
      </c>
      <c r="T33" s="773" t="s">
        <v>17</v>
      </c>
      <c r="U33" s="774">
        <f t="shared" si="11"/>
        <v>100</v>
      </c>
      <c r="V33" s="773" t="s">
        <v>17</v>
      </c>
      <c r="W33" s="774">
        <f t="shared" si="12"/>
        <v>100</v>
      </c>
      <c r="X33" s="775"/>
      <c r="Y33" s="3676"/>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76"/>
      <c r="Q34" s="1806" t="str">
        <f>B34</f>
        <v>宗地面积</v>
      </c>
      <c r="R34" s="770" t="s">
        <v>17</v>
      </c>
      <c r="S34" s="771" t="e">
        <f t="shared" si="10"/>
        <v>#N/A</v>
      </c>
      <c r="T34" s="770" t="s">
        <v>17</v>
      </c>
      <c r="U34" s="771" t="e">
        <f t="shared" si="11"/>
        <v>#N/A</v>
      </c>
      <c r="V34" s="770" t="s">
        <v>17</v>
      </c>
      <c r="W34" s="771" t="e">
        <f t="shared" si="12"/>
        <v>#N/A</v>
      </c>
      <c r="X34" s="1809"/>
      <c r="Y34" s="3676"/>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76"/>
      <c r="Q35" s="1806" t="str">
        <f t="shared" ref="Q35:Q40" si="14">B35</f>
        <v>宗地形状</v>
      </c>
      <c r="R35" s="770" t="s">
        <v>17</v>
      </c>
      <c r="S35" s="771">
        <f t="shared" si="10"/>
        <v>100</v>
      </c>
      <c r="T35" s="770" t="s">
        <v>17</v>
      </c>
      <c r="U35" s="771">
        <f t="shared" si="11"/>
        <v>100</v>
      </c>
      <c r="V35" s="770" t="s">
        <v>17</v>
      </c>
      <c r="W35" s="771">
        <f t="shared" si="12"/>
        <v>100</v>
      </c>
      <c r="X35" s="1809"/>
      <c r="Y35" s="3676"/>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76"/>
      <c r="Q36" s="1806" t="str">
        <f t="shared" si="14"/>
        <v>宗地开发程度</v>
      </c>
      <c r="R36" s="766" t="s">
        <v>17</v>
      </c>
      <c r="S36" s="767">
        <f t="shared" si="10"/>
        <v>100</v>
      </c>
      <c r="T36" s="766" t="s">
        <v>17</v>
      </c>
      <c r="U36" s="767">
        <f t="shared" si="11"/>
        <v>100</v>
      </c>
      <c r="V36" s="766" t="s">
        <v>17</v>
      </c>
      <c r="W36" s="767">
        <f t="shared" si="12"/>
        <v>100</v>
      </c>
      <c r="X36" s="768"/>
      <c r="Y36" s="3676"/>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76" t="s">
        <v>2568</v>
      </c>
      <c r="Q37" s="1806" t="str">
        <f t="shared" si="14"/>
        <v>工程地质条件</v>
      </c>
      <c r="R37" s="770" t="s">
        <v>17</v>
      </c>
      <c r="S37" s="771">
        <f t="shared" si="10"/>
        <v>100</v>
      </c>
      <c r="T37" s="770" t="s">
        <v>17</v>
      </c>
      <c r="U37" s="771">
        <f t="shared" si="11"/>
        <v>100</v>
      </c>
      <c r="V37" s="770" t="s">
        <v>17</v>
      </c>
      <c r="W37" s="771">
        <f t="shared" si="12"/>
        <v>100</v>
      </c>
      <c r="X37" s="1809"/>
      <c r="Y37" s="3676"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76"/>
      <c r="Q38" s="1806">
        <f t="shared" si="14"/>
        <v>111</v>
      </c>
      <c r="R38" s="770" t="s">
        <v>17</v>
      </c>
      <c r="S38" s="771">
        <f t="shared" si="10"/>
        <v>100</v>
      </c>
      <c r="T38" s="770" t="s">
        <v>17</v>
      </c>
      <c r="U38" s="771">
        <f t="shared" si="11"/>
        <v>100</v>
      </c>
      <c r="V38" s="770" t="s">
        <v>17</v>
      </c>
      <c r="W38" s="771">
        <f t="shared" si="12"/>
        <v>100</v>
      </c>
      <c r="X38" s="1809"/>
      <c r="Y38" s="367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76"/>
      <c r="Q39" s="1806">
        <f t="shared" si="14"/>
        <v>111</v>
      </c>
      <c r="R39" s="770" t="s">
        <v>17</v>
      </c>
      <c r="S39" s="771">
        <f t="shared" si="10"/>
        <v>100</v>
      </c>
      <c r="T39" s="770" t="s">
        <v>17</v>
      </c>
      <c r="U39" s="771">
        <f t="shared" si="11"/>
        <v>100</v>
      </c>
      <c r="V39" s="770" t="s">
        <v>17</v>
      </c>
      <c r="W39" s="771">
        <f t="shared" si="12"/>
        <v>100</v>
      </c>
      <c r="X39" s="1809"/>
      <c r="Y39" s="3676"/>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76"/>
      <c r="Q40" s="1806">
        <f t="shared" si="14"/>
        <v>111</v>
      </c>
      <c r="R40" s="773" t="s">
        <v>17</v>
      </c>
      <c r="S40" s="774">
        <f t="shared" si="10"/>
        <v>100</v>
      </c>
      <c r="T40" s="773" t="s">
        <v>17</v>
      </c>
      <c r="U40" s="774">
        <f t="shared" si="11"/>
        <v>100</v>
      </c>
      <c r="V40" s="773" t="s">
        <v>17</v>
      </c>
      <c r="W40" s="774">
        <f t="shared" si="12"/>
        <v>100</v>
      </c>
      <c r="X40" s="775"/>
      <c r="Y40" s="3676"/>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69" t="str">
        <f>A41</f>
        <v>成交单价</v>
      </c>
      <c r="Q41" s="3669"/>
      <c r="R41" s="3664">
        <f>E41</f>
        <v>0</v>
      </c>
      <c r="S41" s="3664"/>
      <c r="T41" s="3664">
        <f>G41</f>
        <v>0</v>
      </c>
      <c r="U41" s="3664"/>
      <c r="V41" s="3664">
        <f>I41</f>
        <v>0</v>
      </c>
      <c r="W41" s="3664"/>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69" t="str">
        <f>A42</f>
        <v>比较价值（元/平方米）</v>
      </c>
      <c r="Q42" s="3669"/>
      <c r="R42" s="3800" t="e">
        <f>ROUND(PRODUCT(R41,AA7:AA40),0)</f>
        <v>#DIV/0!</v>
      </c>
      <c r="S42" s="3800"/>
      <c r="T42" s="3800" t="e">
        <f>ROUND(PRODUCT(T41,AB7:AB40),0)</f>
        <v>#DIV/0!</v>
      </c>
      <c r="U42" s="3800"/>
      <c r="V42" s="3800" t="e">
        <f>ROUND(PRODUCT(V41,AC7:AC40),0)</f>
        <v>#DIV/0!</v>
      </c>
      <c r="W42" s="3800"/>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66" t="str">
        <f>A43</f>
        <v>估价对象XX用房的比较价值（楼面单价，元/平方米）</v>
      </c>
      <c r="Q43" s="3667"/>
      <c r="R43" s="3801" t="e">
        <f>ROUND(AVERAGE(R42:V42),0)</f>
        <v>#DIV/0!</v>
      </c>
      <c r="S43" s="3801"/>
      <c r="T43" s="3801"/>
      <c r="U43" s="3801"/>
      <c r="V43" s="3801"/>
      <c r="W43" s="3801"/>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52" t="s">
        <v>2767</v>
      </c>
      <c r="H50" s="3802"/>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14161.990000000002</v>
      </c>
      <c r="F51" s="690" t="e">
        <f t="shared" ref="F51:F60" si="15">ROUND(B51*E51/10000,0)</f>
        <v>#DIV/0!</v>
      </c>
      <c r="G51" s="3651"/>
      <c r="H51" s="3669"/>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03"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03"/>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03"/>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03"/>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957"/>
      <c r="B4" s="3450" t="s">
        <v>1629</v>
      </c>
      <c r="C4" s="3450"/>
      <c r="D4" s="3450"/>
      <c r="E4" s="1957"/>
    </row>
    <row r="5" spans="1:5" ht="16.5" thickTop="1">
      <c r="A5" s="1955"/>
      <c r="B5" s="3448" t="s">
        <v>1621</v>
      </c>
      <c r="C5" s="1958" t="s">
        <v>1622</v>
      </c>
      <c r="D5" s="1036">
        <f ca="1">结果表住宅!H101</f>
        <v>32438</v>
      </c>
      <c r="E5" s="1955"/>
    </row>
    <row r="6" spans="1:5" ht="15.75">
      <c r="A6" s="1955"/>
      <c r="B6" s="3448"/>
      <c r="C6" s="1958" t="s">
        <v>1623</v>
      </c>
      <c r="D6" s="1036" t="str">
        <f ca="1">NUMBERSTRING(INT(D5*10000),2)&amp;"元整"</f>
        <v>叁亿贰仟肆佰叁拾捌万元整</v>
      </c>
      <c r="E6" s="1955"/>
    </row>
    <row r="7" spans="1:5" ht="15.75">
      <c r="A7" s="1955"/>
      <c r="B7" s="3453"/>
      <c r="C7" s="1959" t="s">
        <v>1624</v>
      </c>
      <c r="D7" s="1037">
        <f ca="1">结果表住宅!H102</f>
        <v>61118</v>
      </c>
      <c r="E7" s="1955"/>
    </row>
    <row r="8" spans="1:5" ht="15.75">
      <c r="A8" s="1955"/>
      <c r="B8" s="3454" t="str">
        <f>结果表住宅!E103</f>
        <v>2.估价师知悉的法定优先受偿款</v>
      </c>
      <c r="C8" s="1960" t="s">
        <v>1625</v>
      </c>
      <c r="D8" s="1037">
        <f>结果表住宅!H103</f>
        <v>0</v>
      </c>
      <c r="E8" s="1955"/>
    </row>
    <row r="9" spans="1:5" ht="15.75">
      <c r="A9" s="1955"/>
      <c r="B9" s="3456"/>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47" t="str">
        <f>结果表住宅!E107</f>
        <v>3.房地产抵押价值</v>
      </c>
      <c r="C13" s="1963" t="s">
        <v>1622</v>
      </c>
      <c r="D13" s="1039">
        <f ca="1">结果表住宅!H107</f>
        <v>32438</v>
      </c>
      <c r="E13" s="1955"/>
    </row>
    <row r="14" spans="1:5" ht="15.75">
      <c r="A14" s="1955"/>
      <c r="B14" s="3448"/>
      <c r="C14" s="1958" t="s">
        <v>1623</v>
      </c>
      <c r="D14" s="1036" t="str">
        <f ca="1">NUMBERSTRING(INT(D13*10000),2)&amp;"元整"</f>
        <v>叁亿贰仟肆佰叁拾捌万元整</v>
      </c>
      <c r="E14" s="1955"/>
    </row>
    <row r="15" spans="1:5" ht="15">
      <c r="A15" s="1955"/>
      <c r="B15" s="3453"/>
      <c r="C15" s="1959" t="s">
        <v>1633</v>
      </c>
      <c r="D15" s="1048">
        <f ca="1">结果表住宅!H108</f>
        <v>22053</v>
      </c>
      <c r="E15" s="1955"/>
    </row>
    <row r="16" spans="1:5" ht="15">
      <c r="A16" s="1955"/>
      <c r="B16" s="3454" t="str">
        <f>结果表住宅!E109</f>
        <v>——</v>
      </c>
      <c r="C16" s="1963" t="s">
        <v>1634</v>
      </c>
      <c r="D16" s="1964" t="str">
        <f>结果表住宅!H109</f>
        <v>——</v>
      </c>
      <c r="E16" s="1955"/>
    </row>
    <row r="17" spans="1:5" ht="15.75">
      <c r="A17" s="1955"/>
      <c r="B17" s="3455"/>
      <c r="C17" s="1958" t="s">
        <v>1635</v>
      </c>
      <c r="D17" s="1036" t="e">
        <f>NUMBERSTRING(INT(D16*10000),2)&amp;"元整"</f>
        <v>#VALUE!</v>
      </c>
      <c r="E17" s="1955"/>
    </row>
    <row r="18" spans="1:5" ht="15">
      <c r="A18" s="1955"/>
      <c r="B18" s="3456"/>
      <c r="C18" s="1959" t="s">
        <v>1624</v>
      </c>
      <c r="D18" s="1048" t="str">
        <f>结果表住宅!H110</f>
        <v>——</v>
      </c>
      <c r="E18" s="1955"/>
    </row>
    <row r="19" spans="1:5" ht="15.75">
      <c r="A19" s="1955"/>
      <c r="B19" s="3447" t="str">
        <f>结果表住宅!E111</f>
        <v>——</v>
      </c>
      <c r="C19" s="1963" t="s">
        <v>1622</v>
      </c>
      <c r="D19" s="1037" t="str">
        <f>结果表住宅!H111</f>
        <v>——</v>
      </c>
      <c r="E19" s="1955"/>
    </row>
    <row r="20" spans="1:5" ht="15.75">
      <c r="A20" s="1955"/>
      <c r="B20" s="3448"/>
      <c r="C20" s="1958" t="s">
        <v>1635</v>
      </c>
      <c r="D20" s="1036" t="e">
        <f>NUMBERSTRING(INT(D19*10000),2)&amp;"元整"</f>
        <v>#VALUE!</v>
      </c>
      <c r="E20" s="1955"/>
    </row>
    <row r="21" spans="1:5" ht="15.75" thickBot="1">
      <c r="A21" s="1955"/>
      <c r="B21" s="3449"/>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08" t="s">
        <v>183</v>
      </c>
      <c r="B18" s="875" t="s">
        <v>560</v>
      </c>
      <c r="C18" s="876" t="s">
        <v>561</v>
      </c>
      <c r="D18" s="877"/>
      <c r="E18" s="875">
        <v>1</v>
      </c>
      <c r="F18" s="878" t="s">
        <v>562</v>
      </c>
      <c r="G18" s="879"/>
      <c r="H18" s="871"/>
      <c r="I18" s="871"/>
    </row>
    <row r="19" spans="1:9" s="880" customFormat="1" ht="19.5" customHeight="1">
      <c r="A19" s="3808"/>
      <c r="B19" s="3808" t="s">
        <v>563</v>
      </c>
      <c r="C19" s="876" t="s">
        <v>564</v>
      </c>
      <c r="D19" s="877"/>
      <c r="E19" s="875">
        <v>0.9</v>
      </c>
      <c r="F19" s="878" t="s">
        <v>565</v>
      </c>
      <c r="G19" s="879"/>
      <c r="H19" s="871"/>
      <c r="I19" s="871"/>
    </row>
    <row r="20" spans="1:9" s="880" customFormat="1" ht="19.5" customHeight="1">
      <c r="A20" s="3808"/>
      <c r="B20" s="3808"/>
      <c r="C20" s="876" t="s">
        <v>566</v>
      </c>
      <c r="D20" s="877"/>
      <c r="E20" s="875">
        <v>1.1000000000000001</v>
      </c>
      <c r="F20" s="878" t="s">
        <v>567</v>
      </c>
      <c r="G20" s="879"/>
      <c r="H20" s="871"/>
      <c r="I20" s="871"/>
    </row>
    <row r="21" spans="1:9" s="880" customFormat="1" ht="19.5" customHeight="1">
      <c r="A21" s="3808"/>
      <c r="B21" s="3808"/>
      <c r="C21" s="876" t="s">
        <v>568</v>
      </c>
      <c r="D21" s="877"/>
      <c r="E21" s="875">
        <v>0.8</v>
      </c>
      <c r="F21" s="878" t="s">
        <v>569</v>
      </c>
      <c r="G21" s="879"/>
      <c r="H21" s="871"/>
      <c r="I21" s="871"/>
    </row>
    <row r="22" spans="1:9" s="880" customFormat="1" ht="19.5" customHeight="1">
      <c r="A22" s="3808"/>
      <c r="B22" s="3808"/>
      <c r="C22" s="876" t="s">
        <v>570</v>
      </c>
      <c r="D22" s="877"/>
      <c r="E22" s="875">
        <v>0.5</v>
      </c>
      <c r="F22" s="878"/>
      <c r="G22" s="879"/>
      <c r="H22" s="871"/>
      <c r="I22" s="871"/>
    </row>
    <row r="23" spans="1:9" s="880" customFormat="1" ht="19.5" customHeight="1">
      <c r="A23" s="3808" t="s">
        <v>184</v>
      </c>
      <c r="B23" s="875" t="s">
        <v>560</v>
      </c>
      <c r="C23" s="876" t="s">
        <v>571</v>
      </c>
      <c r="D23" s="877"/>
      <c r="E23" s="875">
        <v>1</v>
      </c>
      <c r="F23" s="878" t="s">
        <v>572</v>
      </c>
      <c r="G23" s="879"/>
      <c r="H23" s="871"/>
      <c r="I23" s="871"/>
    </row>
    <row r="24" spans="1:9" s="880" customFormat="1" ht="19.5" customHeight="1">
      <c r="A24" s="3808"/>
      <c r="B24" s="3808" t="s">
        <v>563</v>
      </c>
      <c r="C24" s="876" t="s">
        <v>573</v>
      </c>
      <c r="D24" s="877"/>
      <c r="E24" s="875">
        <v>0.5</v>
      </c>
      <c r="F24" s="878"/>
      <c r="G24" s="879"/>
      <c r="H24" s="871"/>
      <c r="I24" s="871"/>
    </row>
    <row r="25" spans="1:9" s="880" customFormat="1" ht="19.5" customHeight="1">
      <c r="A25" s="3808"/>
      <c r="B25" s="3808"/>
      <c r="C25" s="876" t="s">
        <v>574</v>
      </c>
      <c r="D25" s="877"/>
      <c r="E25" s="875">
        <v>1.1000000000000001</v>
      </c>
      <c r="F25" s="878"/>
      <c r="G25" s="879"/>
      <c r="H25" s="871"/>
      <c r="I25" s="871"/>
    </row>
    <row r="26" spans="1:9" s="880" customFormat="1" ht="19.5" customHeight="1">
      <c r="A26" s="3808"/>
      <c r="B26" s="3808"/>
      <c r="C26" s="876" t="s">
        <v>575</v>
      </c>
      <c r="D26" s="877"/>
      <c r="E26" s="875">
        <v>1.1000000000000001</v>
      </c>
      <c r="F26" s="878"/>
      <c r="G26" s="879"/>
      <c r="H26" s="871"/>
      <c r="I26" s="871"/>
    </row>
    <row r="27" spans="1:9" s="880" customFormat="1" ht="19.5" customHeight="1">
      <c r="A27" s="3808"/>
      <c r="B27" s="3808"/>
      <c r="C27" s="876" t="s">
        <v>576</v>
      </c>
      <c r="D27" s="877"/>
      <c r="E27" s="875">
        <v>0.9</v>
      </c>
      <c r="F27" s="878" t="s">
        <v>577</v>
      </c>
      <c r="G27" s="879"/>
      <c r="H27" s="871"/>
      <c r="I27" s="871"/>
    </row>
    <row r="28" spans="1:9" s="880" customFormat="1" ht="19.5" customHeight="1">
      <c r="A28" s="3808"/>
      <c r="B28" s="3808"/>
      <c r="C28" s="876" t="s">
        <v>578</v>
      </c>
      <c r="D28" s="877"/>
      <c r="E28" s="875">
        <v>0.9</v>
      </c>
      <c r="F28" s="878" t="s">
        <v>579</v>
      </c>
      <c r="G28" s="879"/>
      <c r="H28" s="871"/>
      <c r="I28" s="871"/>
    </row>
    <row r="29" spans="1:9" s="880" customFormat="1" ht="19.5" customHeight="1">
      <c r="A29" s="3808"/>
      <c r="B29" s="3808"/>
      <c r="C29" s="876" t="s">
        <v>580</v>
      </c>
      <c r="D29" s="877"/>
      <c r="E29" s="875">
        <v>0.9</v>
      </c>
      <c r="F29" s="878" t="s">
        <v>581</v>
      </c>
      <c r="G29" s="879"/>
      <c r="H29" s="871"/>
      <c r="I29" s="871"/>
    </row>
    <row r="30" spans="1:9" s="880" customFormat="1" ht="19.5" customHeight="1">
      <c r="A30" s="3808"/>
      <c r="B30" s="3808"/>
      <c r="C30" s="876" t="s">
        <v>582</v>
      </c>
      <c r="D30" s="877"/>
      <c r="E30" s="875">
        <v>0.9</v>
      </c>
      <c r="F30" s="878" t="s">
        <v>583</v>
      </c>
      <c r="G30" s="879"/>
      <c r="H30" s="871"/>
      <c r="I30" s="871"/>
    </row>
    <row r="31" spans="1:9" s="880" customFormat="1" ht="19.5" customHeight="1">
      <c r="A31" s="3808"/>
      <c r="B31" s="3808"/>
      <c r="C31" s="876" t="s">
        <v>584</v>
      </c>
      <c r="D31" s="877"/>
      <c r="E31" s="875">
        <v>0.8</v>
      </c>
      <c r="F31" s="878" t="s">
        <v>585</v>
      </c>
      <c r="G31" s="879"/>
      <c r="H31" s="871"/>
      <c r="I31" s="871"/>
    </row>
    <row r="32" spans="1:9" s="880" customFormat="1" ht="19.5" customHeight="1">
      <c r="A32" s="3808"/>
      <c r="B32" s="3808"/>
      <c r="C32" s="876" t="s">
        <v>586</v>
      </c>
      <c r="D32" s="877"/>
      <c r="E32" s="875">
        <v>0.8</v>
      </c>
      <c r="F32" s="878" t="s">
        <v>587</v>
      </c>
      <c r="G32" s="879"/>
      <c r="H32" s="871"/>
      <c r="I32" s="871"/>
    </row>
    <row r="33" spans="1:9" s="880" customFormat="1" ht="19.5" customHeight="1">
      <c r="A33" s="3808" t="s">
        <v>185</v>
      </c>
      <c r="B33" s="875" t="s">
        <v>560</v>
      </c>
      <c r="C33" s="876" t="s">
        <v>588</v>
      </c>
      <c r="D33" s="877"/>
      <c r="E33" s="875">
        <v>1</v>
      </c>
      <c r="F33" s="878" t="s">
        <v>589</v>
      </c>
      <c r="G33" s="879"/>
      <c r="H33" s="871"/>
      <c r="I33" s="871"/>
    </row>
    <row r="34" spans="1:9" s="880" customFormat="1" ht="19.5" customHeight="1">
      <c r="A34" s="3808"/>
      <c r="B34" s="875" t="s">
        <v>563</v>
      </c>
      <c r="C34" s="876" t="s">
        <v>590</v>
      </c>
      <c r="D34" s="877"/>
      <c r="E34" s="875">
        <v>1.5</v>
      </c>
      <c r="F34" s="878" t="s">
        <v>591</v>
      </c>
      <c r="G34" s="879"/>
      <c r="H34" s="871"/>
      <c r="I34" s="871"/>
    </row>
    <row r="35" spans="1:9" s="880" customFormat="1" ht="19.5" customHeight="1">
      <c r="A35" s="3808" t="s">
        <v>186</v>
      </c>
      <c r="B35" s="875" t="s">
        <v>560</v>
      </c>
      <c r="C35" s="876" t="s">
        <v>592</v>
      </c>
      <c r="D35" s="877"/>
      <c r="E35" s="875">
        <v>1</v>
      </c>
      <c r="F35" s="878" t="s">
        <v>593</v>
      </c>
      <c r="G35" s="879"/>
      <c r="H35" s="871"/>
      <c r="I35" s="871"/>
    </row>
    <row r="36" spans="1:9" s="880" customFormat="1" ht="19.5" customHeight="1">
      <c r="A36" s="3808"/>
      <c r="B36" s="3808" t="s">
        <v>563</v>
      </c>
      <c r="C36" s="876" t="s">
        <v>594</v>
      </c>
      <c r="D36" s="877"/>
      <c r="E36" s="875">
        <v>1</v>
      </c>
      <c r="F36" s="878" t="s">
        <v>595</v>
      </c>
      <c r="G36" s="879"/>
      <c r="H36" s="871"/>
      <c r="I36" s="871"/>
    </row>
    <row r="37" spans="1:9" s="880" customFormat="1" ht="19.5" customHeight="1">
      <c r="A37" s="3808"/>
      <c r="B37" s="3808"/>
      <c r="C37" s="876" t="s">
        <v>596</v>
      </c>
      <c r="D37" s="877"/>
      <c r="E37" s="875">
        <v>1.5</v>
      </c>
      <c r="F37" s="878" t="s">
        <v>597</v>
      </c>
      <c r="G37" s="879"/>
      <c r="H37" s="871"/>
      <c r="I37" s="871"/>
    </row>
    <row r="38" spans="1:9" s="880" customFormat="1" ht="19.5" customHeight="1">
      <c r="A38" s="3808"/>
      <c r="B38" s="3808"/>
      <c r="C38" s="876" t="s">
        <v>598</v>
      </c>
      <c r="D38" s="877"/>
      <c r="E38" s="875">
        <v>1</v>
      </c>
      <c r="F38" s="878" t="s">
        <v>599</v>
      </c>
      <c r="G38" s="879"/>
      <c r="H38" s="871"/>
      <c r="I38" s="871"/>
    </row>
    <row r="39" spans="1:9" s="880" customFormat="1" ht="19.5" customHeight="1">
      <c r="A39" s="3808"/>
      <c r="B39" s="380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08" t="s">
        <v>614</v>
      </c>
      <c r="C61" s="811" t="s">
        <v>615</v>
      </c>
      <c r="D61" s="811" t="s">
        <v>616</v>
      </c>
      <c r="E61" s="888">
        <v>0.5</v>
      </c>
      <c r="F61" s="875">
        <v>80</v>
      </c>
    </row>
    <row r="62" spans="1:8" s="871" customFormat="1" ht="24">
      <c r="A62" s="875">
        <v>2</v>
      </c>
      <c r="B62" s="3808"/>
      <c r="C62" s="811" t="s">
        <v>617</v>
      </c>
      <c r="D62" s="811" t="s">
        <v>618</v>
      </c>
      <c r="E62" s="888">
        <v>0.5</v>
      </c>
      <c r="F62" s="875">
        <v>80</v>
      </c>
    </row>
    <row r="63" spans="1:8" s="871" customFormat="1" ht="36">
      <c r="A63" s="875">
        <v>3</v>
      </c>
      <c r="B63" s="3808"/>
      <c r="C63" s="811" t="s">
        <v>619</v>
      </c>
      <c r="D63" s="811" t="s">
        <v>620</v>
      </c>
      <c r="E63" s="888">
        <v>0.5</v>
      </c>
      <c r="F63" s="875">
        <v>80</v>
      </c>
    </row>
    <row r="64" spans="1:8" s="871" customFormat="1" ht="36">
      <c r="A64" s="875">
        <v>4</v>
      </c>
      <c r="B64" s="3808"/>
      <c r="C64" s="811" t="s">
        <v>621</v>
      </c>
      <c r="D64" s="811" t="s">
        <v>622</v>
      </c>
      <c r="E64" s="888">
        <v>0.4</v>
      </c>
      <c r="F64" s="875">
        <v>60</v>
      </c>
    </row>
    <row r="65" spans="1:6" s="871" customFormat="1" ht="36">
      <c r="A65" s="875">
        <v>5</v>
      </c>
      <c r="B65" s="3808"/>
      <c r="C65" s="811" t="s">
        <v>623</v>
      </c>
      <c r="D65" s="811" t="s">
        <v>624</v>
      </c>
      <c r="E65" s="888">
        <v>0.2</v>
      </c>
      <c r="F65" s="875">
        <v>30</v>
      </c>
    </row>
    <row r="66" spans="1:6" s="871" customFormat="1" ht="36">
      <c r="A66" s="875">
        <v>6</v>
      </c>
      <c r="B66" s="3808"/>
      <c r="C66" s="811" t="s">
        <v>625</v>
      </c>
      <c r="D66" s="811" t="s">
        <v>626</v>
      </c>
      <c r="E66" s="888">
        <v>0.3</v>
      </c>
      <c r="F66" s="875">
        <v>50</v>
      </c>
    </row>
    <row r="67" spans="1:6" s="871" customFormat="1" ht="36">
      <c r="A67" s="875">
        <v>7</v>
      </c>
      <c r="B67" s="3808"/>
      <c r="C67" s="811" t="s">
        <v>627</v>
      </c>
      <c r="D67" s="811" t="s">
        <v>628</v>
      </c>
      <c r="E67" s="888">
        <v>0.2</v>
      </c>
      <c r="F67" s="875">
        <v>30</v>
      </c>
    </row>
    <row r="68" spans="1:6" s="871" customFormat="1" ht="36">
      <c r="A68" s="875">
        <v>8</v>
      </c>
      <c r="B68" s="3808"/>
      <c r="C68" s="811" t="s">
        <v>629</v>
      </c>
      <c r="D68" s="811" t="s">
        <v>630</v>
      </c>
      <c r="E68" s="888">
        <v>0.2</v>
      </c>
      <c r="F68" s="875">
        <v>30</v>
      </c>
    </row>
    <row r="69" spans="1:6" s="871" customFormat="1" ht="36">
      <c r="A69" s="875">
        <v>9</v>
      </c>
      <c r="B69" s="3808"/>
      <c r="C69" s="811" t="s">
        <v>631</v>
      </c>
      <c r="D69" s="811" t="s">
        <v>632</v>
      </c>
      <c r="E69" s="888">
        <v>0.2</v>
      </c>
      <c r="F69" s="875">
        <v>30</v>
      </c>
    </row>
    <row r="70" spans="1:6" s="871" customFormat="1" ht="48">
      <c r="A70" s="875">
        <v>10</v>
      </c>
      <c r="B70" s="3808"/>
      <c r="C70" s="811" t="s">
        <v>633</v>
      </c>
      <c r="D70" s="811" t="s">
        <v>634</v>
      </c>
      <c r="E70" s="888">
        <v>0.2</v>
      </c>
      <c r="F70" s="875">
        <v>30</v>
      </c>
    </row>
    <row r="71" spans="1:6" s="871" customFormat="1" ht="48">
      <c r="A71" s="875">
        <v>11</v>
      </c>
      <c r="B71" s="3808"/>
      <c r="C71" s="811" t="s">
        <v>635</v>
      </c>
      <c r="D71" s="811" t="s">
        <v>636</v>
      </c>
      <c r="E71" s="888">
        <v>0.2</v>
      </c>
      <c r="F71" s="875">
        <v>30</v>
      </c>
    </row>
    <row r="72" spans="1:6" s="871" customFormat="1" ht="36">
      <c r="A72" s="875">
        <v>12</v>
      </c>
      <c r="B72" s="3808"/>
      <c r="C72" s="811" t="s">
        <v>637</v>
      </c>
      <c r="D72" s="811" t="s">
        <v>638</v>
      </c>
      <c r="E72" s="888">
        <v>0.5</v>
      </c>
      <c r="F72" s="875">
        <v>80</v>
      </c>
    </row>
    <row r="73" spans="1:6" s="871" customFormat="1" ht="24">
      <c r="A73" s="875">
        <v>13</v>
      </c>
      <c r="B73" s="3808"/>
      <c r="C73" s="811" t="s">
        <v>639</v>
      </c>
      <c r="D73" s="811" t="s">
        <v>640</v>
      </c>
      <c r="E73" s="888">
        <v>0.4</v>
      </c>
      <c r="F73" s="875">
        <v>60</v>
      </c>
    </row>
    <row r="74" spans="1:6" s="871" customFormat="1" ht="24">
      <c r="A74" s="875">
        <v>14</v>
      </c>
      <c r="B74" s="3808"/>
      <c r="C74" s="811" t="s">
        <v>641</v>
      </c>
      <c r="D74" s="811" t="s">
        <v>642</v>
      </c>
      <c r="E74" s="888">
        <v>0.2</v>
      </c>
      <c r="F74" s="875">
        <v>30</v>
      </c>
    </row>
    <row r="75" spans="1:6" s="871" customFormat="1" ht="24">
      <c r="A75" s="875">
        <v>15</v>
      </c>
      <c r="B75" s="3808"/>
      <c r="C75" s="811" t="s">
        <v>643</v>
      </c>
      <c r="D75" s="811" t="s">
        <v>644</v>
      </c>
      <c r="E75" s="888">
        <v>0.2</v>
      </c>
      <c r="F75" s="875">
        <v>30</v>
      </c>
    </row>
    <row r="76" spans="1:6" s="871" customFormat="1" ht="24">
      <c r="A76" s="875">
        <v>16</v>
      </c>
      <c r="B76" s="3808" t="s">
        <v>645</v>
      </c>
      <c r="C76" s="811" t="s">
        <v>646</v>
      </c>
      <c r="D76" s="811" t="s">
        <v>647</v>
      </c>
      <c r="E76" s="888">
        <v>0.5</v>
      </c>
      <c r="F76" s="875">
        <v>80</v>
      </c>
    </row>
    <row r="77" spans="1:6" s="871" customFormat="1" ht="24">
      <c r="A77" s="875">
        <v>17</v>
      </c>
      <c r="B77" s="3808"/>
      <c r="C77" s="811" t="s">
        <v>648</v>
      </c>
      <c r="D77" s="811" t="s">
        <v>649</v>
      </c>
      <c r="E77" s="888">
        <v>0.5</v>
      </c>
      <c r="F77" s="875">
        <v>80</v>
      </c>
    </row>
    <row r="78" spans="1:6" s="871" customFormat="1" ht="24">
      <c r="A78" s="875">
        <v>18</v>
      </c>
      <c r="B78" s="3808"/>
      <c r="C78" s="811" t="s">
        <v>650</v>
      </c>
      <c r="D78" s="811" t="s">
        <v>651</v>
      </c>
      <c r="E78" s="888">
        <v>0.2</v>
      </c>
      <c r="F78" s="875">
        <v>30</v>
      </c>
    </row>
    <row r="79" spans="1:6" s="871" customFormat="1" ht="24">
      <c r="A79" s="875">
        <v>19</v>
      </c>
      <c r="B79" s="3808"/>
      <c r="C79" s="811" t="s">
        <v>652</v>
      </c>
      <c r="D79" s="811" t="s">
        <v>653</v>
      </c>
      <c r="E79" s="888">
        <v>0.5</v>
      </c>
      <c r="F79" s="875">
        <v>80</v>
      </c>
    </row>
    <row r="80" spans="1:6" s="871" customFormat="1" ht="36">
      <c r="A80" s="875">
        <v>20</v>
      </c>
      <c r="B80" s="3808"/>
      <c r="C80" s="811" t="s">
        <v>654</v>
      </c>
      <c r="D80" s="811" t="s">
        <v>655</v>
      </c>
      <c r="E80" s="888">
        <v>0.2</v>
      </c>
      <c r="F80" s="875">
        <v>30</v>
      </c>
    </row>
    <row r="81" spans="1:6" s="871" customFormat="1" ht="36">
      <c r="A81" s="875">
        <v>21</v>
      </c>
      <c r="B81" s="3808"/>
      <c r="C81" s="811" t="s">
        <v>656</v>
      </c>
      <c r="D81" s="811" t="s">
        <v>657</v>
      </c>
      <c r="E81" s="888">
        <v>0.2</v>
      </c>
      <c r="F81" s="875">
        <v>30</v>
      </c>
    </row>
    <row r="82" spans="1:6" s="871" customFormat="1" ht="48">
      <c r="A82" s="875">
        <v>22</v>
      </c>
      <c r="B82" s="3808"/>
      <c r="C82" s="811" t="s">
        <v>658</v>
      </c>
      <c r="D82" s="811" t="s">
        <v>659</v>
      </c>
      <c r="E82" s="888">
        <v>0.2</v>
      </c>
      <c r="F82" s="875">
        <v>30</v>
      </c>
    </row>
    <row r="83" spans="1:6" s="871" customFormat="1" ht="48">
      <c r="A83" s="875">
        <v>23</v>
      </c>
      <c r="B83" s="3808"/>
      <c r="C83" s="811" t="s">
        <v>660</v>
      </c>
      <c r="D83" s="811" t="s">
        <v>661</v>
      </c>
      <c r="E83" s="888">
        <v>0.2</v>
      </c>
      <c r="F83" s="875">
        <v>30</v>
      </c>
    </row>
    <row r="84" spans="1:6" s="871" customFormat="1" ht="36">
      <c r="A84" s="875">
        <v>24</v>
      </c>
      <c r="B84" s="3808"/>
      <c r="C84" s="811" t="s">
        <v>662</v>
      </c>
      <c r="D84" s="811" t="s">
        <v>663</v>
      </c>
      <c r="E84" s="888">
        <v>0.2</v>
      </c>
      <c r="F84" s="875">
        <v>30</v>
      </c>
    </row>
    <row r="85" spans="1:6" s="871" customFormat="1" ht="36">
      <c r="A85" s="875">
        <v>25</v>
      </c>
      <c r="B85" s="3808"/>
      <c r="C85" s="811" t="s">
        <v>664</v>
      </c>
      <c r="D85" s="811" t="s">
        <v>665</v>
      </c>
      <c r="E85" s="888">
        <v>0.5</v>
      </c>
      <c r="F85" s="875">
        <v>80</v>
      </c>
    </row>
    <row r="86" spans="1:6" s="871" customFormat="1" ht="36">
      <c r="A86" s="875">
        <v>26</v>
      </c>
      <c r="B86" s="3808"/>
      <c r="C86" s="811" t="s">
        <v>666</v>
      </c>
      <c r="D86" s="811" t="s">
        <v>667</v>
      </c>
      <c r="E86" s="888">
        <v>0.2</v>
      </c>
      <c r="F86" s="875">
        <v>30</v>
      </c>
    </row>
    <row r="87" spans="1:6" s="871" customFormat="1" ht="36">
      <c r="A87" s="875">
        <v>27</v>
      </c>
      <c r="B87" s="3808"/>
      <c r="C87" s="811" t="s">
        <v>668</v>
      </c>
      <c r="D87" s="811" t="s">
        <v>669</v>
      </c>
      <c r="E87" s="888">
        <v>0.2</v>
      </c>
      <c r="F87" s="875">
        <v>30</v>
      </c>
    </row>
    <row r="88" spans="1:6" s="871" customFormat="1" ht="36">
      <c r="A88" s="875">
        <v>28</v>
      </c>
      <c r="B88" s="3808"/>
      <c r="C88" s="811" t="s">
        <v>670</v>
      </c>
      <c r="D88" s="811" t="s">
        <v>671</v>
      </c>
      <c r="E88" s="888">
        <v>0.2</v>
      </c>
      <c r="F88" s="875">
        <v>30</v>
      </c>
    </row>
    <row r="89" spans="1:6" s="871" customFormat="1" ht="24">
      <c r="A89" s="875">
        <v>29</v>
      </c>
      <c r="B89" s="3808"/>
      <c r="C89" s="811" t="s">
        <v>672</v>
      </c>
      <c r="D89" s="811" t="s">
        <v>673</v>
      </c>
      <c r="E89" s="888">
        <v>0.2</v>
      </c>
      <c r="F89" s="875">
        <v>30</v>
      </c>
    </row>
    <row r="90" spans="1:6" s="871" customFormat="1" ht="24">
      <c r="A90" s="875">
        <v>30</v>
      </c>
      <c r="B90" s="3808"/>
      <c r="C90" s="811" t="s">
        <v>674</v>
      </c>
      <c r="D90" s="811" t="s">
        <v>675</v>
      </c>
      <c r="E90" s="888">
        <v>0.2</v>
      </c>
      <c r="F90" s="875">
        <v>30</v>
      </c>
    </row>
    <row r="91" spans="1:6" s="871" customFormat="1" ht="36">
      <c r="A91" s="875">
        <v>31</v>
      </c>
      <c r="B91" s="3808"/>
      <c r="C91" s="811" t="s">
        <v>676</v>
      </c>
      <c r="D91" s="811" t="s">
        <v>677</v>
      </c>
      <c r="E91" s="888">
        <v>0.2</v>
      </c>
      <c r="F91" s="875">
        <v>30</v>
      </c>
    </row>
    <row r="92" spans="1:6" s="871" customFormat="1" ht="24">
      <c r="A92" s="875">
        <v>32</v>
      </c>
      <c r="B92" s="3808" t="s">
        <v>678</v>
      </c>
      <c r="C92" s="875" t="s">
        <v>679</v>
      </c>
      <c r="D92" s="811" t="s">
        <v>680</v>
      </c>
      <c r="E92" s="888">
        <v>0.2</v>
      </c>
      <c r="F92" s="875">
        <v>30</v>
      </c>
    </row>
    <row r="93" spans="1:6" s="871" customFormat="1" ht="36">
      <c r="A93" s="875">
        <v>33</v>
      </c>
      <c r="B93" s="3808"/>
      <c r="C93" s="875" t="s">
        <v>681</v>
      </c>
      <c r="D93" s="811" t="s">
        <v>682</v>
      </c>
      <c r="E93" s="888">
        <v>0.2</v>
      </c>
      <c r="F93" s="875">
        <v>30</v>
      </c>
    </row>
    <row r="94" spans="1:6" s="871" customFormat="1" ht="48">
      <c r="A94" s="875">
        <v>34</v>
      </c>
      <c r="B94" s="3808"/>
      <c r="C94" s="875" t="s">
        <v>683</v>
      </c>
      <c r="D94" s="811" t="s">
        <v>684</v>
      </c>
      <c r="E94" s="888">
        <v>0.2</v>
      </c>
      <c r="F94" s="875">
        <v>30</v>
      </c>
    </row>
    <row r="95" spans="1:6" s="871" customFormat="1" ht="36">
      <c r="A95" s="875">
        <v>35</v>
      </c>
      <c r="B95" s="3808"/>
      <c r="C95" s="875" t="s">
        <v>685</v>
      </c>
      <c r="D95" s="811" t="s">
        <v>686</v>
      </c>
      <c r="E95" s="888">
        <v>0.2</v>
      </c>
      <c r="F95" s="875">
        <v>30</v>
      </c>
    </row>
    <row r="96" spans="1:6" s="871" customFormat="1" ht="48">
      <c r="A96" s="875">
        <v>36</v>
      </c>
      <c r="B96" s="3808"/>
      <c r="C96" s="811" t="s">
        <v>687</v>
      </c>
      <c r="D96" s="811" t="s">
        <v>688</v>
      </c>
      <c r="E96" s="888">
        <v>0.2</v>
      </c>
      <c r="F96" s="875">
        <v>30</v>
      </c>
    </row>
    <row r="97" spans="1:6" s="871" customFormat="1" ht="36">
      <c r="A97" s="875">
        <v>37</v>
      </c>
      <c r="B97" s="3808"/>
      <c r="C97" s="875" t="s">
        <v>689</v>
      </c>
      <c r="D97" s="811" t="s">
        <v>690</v>
      </c>
      <c r="E97" s="888">
        <v>0.2</v>
      </c>
      <c r="F97" s="875">
        <v>30</v>
      </c>
    </row>
    <row r="98" spans="1:6" s="871" customFormat="1" ht="36">
      <c r="A98" s="875">
        <v>38</v>
      </c>
      <c r="B98" s="3808"/>
      <c r="C98" s="875" t="s">
        <v>691</v>
      </c>
      <c r="D98" s="811" t="s">
        <v>692</v>
      </c>
      <c r="E98" s="888">
        <v>0.2</v>
      </c>
      <c r="F98" s="875">
        <v>30</v>
      </c>
    </row>
    <row r="99" spans="1:6" s="871" customFormat="1" ht="36">
      <c r="A99" s="875">
        <v>39</v>
      </c>
      <c r="B99" s="3808" t="s">
        <v>693</v>
      </c>
      <c r="C99" s="875" t="s">
        <v>694</v>
      </c>
      <c r="D99" s="811" t="s">
        <v>695</v>
      </c>
      <c r="E99" s="888">
        <v>0.3</v>
      </c>
      <c r="F99" s="875">
        <v>50</v>
      </c>
    </row>
    <row r="100" spans="1:6" s="871" customFormat="1" ht="24">
      <c r="A100" s="875">
        <v>40</v>
      </c>
      <c r="B100" s="3808"/>
      <c r="C100" s="875" t="s">
        <v>696</v>
      </c>
      <c r="D100" s="811" t="s">
        <v>697</v>
      </c>
      <c r="E100" s="888">
        <v>0.2</v>
      </c>
      <c r="F100" s="875">
        <v>30</v>
      </c>
    </row>
    <row r="101" spans="1:6" s="871" customFormat="1" ht="36">
      <c r="A101" s="875">
        <v>41</v>
      </c>
      <c r="B101" s="380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08" t="s">
        <v>708</v>
      </c>
      <c r="C105" s="875" t="s">
        <v>709</v>
      </c>
      <c r="D105" s="811" t="s">
        <v>710</v>
      </c>
      <c r="E105" s="888">
        <v>0.2</v>
      </c>
      <c r="F105" s="875">
        <v>30</v>
      </c>
    </row>
    <row r="106" spans="1:6" s="871" customFormat="1" ht="36">
      <c r="A106" s="875">
        <v>46</v>
      </c>
      <c r="B106" s="3808"/>
      <c r="C106" s="875" t="s">
        <v>711</v>
      </c>
      <c r="D106" s="811" t="s">
        <v>712</v>
      </c>
      <c r="E106" s="888">
        <v>0.2</v>
      </c>
      <c r="F106" s="875">
        <v>30</v>
      </c>
    </row>
    <row r="107" spans="1:6" s="871" customFormat="1" ht="36">
      <c r="A107" s="875">
        <v>47</v>
      </c>
      <c r="B107" s="3808" t="s">
        <v>713</v>
      </c>
      <c r="C107" s="875" t="s">
        <v>714</v>
      </c>
      <c r="D107" s="811" t="s">
        <v>715</v>
      </c>
      <c r="E107" s="888">
        <v>0.3</v>
      </c>
      <c r="F107" s="875">
        <v>50</v>
      </c>
    </row>
    <row r="108" spans="1:6" s="871" customFormat="1" ht="36">
      <c r="A108" s="875">
        <v>48</v>
      </c>
      <c r="B108" s="380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08" t="s">
        <v>724</v>
      </c>
      <c r="C111" s="875" t="s">
        <v>725</v>
      </c>
      <c r="D111" s="811" t="s">
        <v>726</v>
      </c>
      <c r="E111" s="888">
        <v>0.2</v>
      </c>
      <c r="F111" s="875">
        <v>30</v>
      </c>
    </row>
    <row r="112" spans="1:6" s="871" customFormat="1" ht="24">
      <c r="A112" s="875">
        <v>52</v>
      </c>
      <c r="B112" s="3808"/>
      <c r="C112" s="875" t="s">
        <v>727</v>
      </c>
      <c r="D112" s="811" t="s">
        <v>728</v>
      </c>
      <c r="E112" s="888">
        <v>0.2</v>
      </c>
      <c r="F112" s="875">
        <v>30</v>
      </c>
    </row>
    <row r="113" spans="1:6" s="871" customFormat="1" ht="24">
      <c r="A113" s="875">
        <v>53</v>
      </c>
      <c r="B113" s="380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08" t="s">
        <v>737</v>
      </c>
      <c r="C116" s="875" t="s">
        <v>738</v>
      </c>
      <c r="D116" s="811" t="s">
        <v>739</v>
      </c>
      <c r="E116" s="888">
        <v>0.2</v>
      </c>
      <c r="F116" s="875">
        <v>30</v>
      </c>
    </row>
    <row r="117" spans="1:6" ht="36">
      <c r="A117" s="875">
        <v>57</v>
      </c>
      <c r="B117" s="380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14" t="s">
        <v>1149</v>
      </c>
      <c r="C1" s="3814"/>
      <c r="D1" s="3814"/>
      <c r="E1" s="3814"/>
      <c r="F1" s="3814"/>
      <c r="G1" s="3810" t="s">
        <v>1150</v>
      </c>
      <c r="H1" s="3810"/>
      <c r="I1" s="3810"/>
      <c r="J1" s="3810"/>
      <c r="K1" s="3810"/>
      <c r="L1" s="3810"/>
      <c r="N1" s="3810" t="s">
        <v>1151</v>
      </c>
      <c r="O1" s="3810"/>
      <c r="P1" s="3810"/>
      <c r="Q1" s="3810"/>
      <c r="R1" s="1442"/>
      <c r="S1" s="3810" t="s">
        <v>1152</v>
      </c>
      <c r="T1" s="3810"/>
      <c r="U1" s="3810"/>
      <c r="V1" s="3810"/>
      <c r="X1" s="3809" t="s">
        <v>1153</v>
      </c>
      <c r="Y1" s="3810"/>
      <c r="Z1" s="3810"/>
      <c r="AA1" s="3810"/>
      <c r="AB1" s="3810"/>
      <c r="AD1" s="3809" t="s">
        <v>1154</v>
      </c>
      <c r="AE1" s="3810"/>
      <c r="AF1" s="3810"/>
      <c r="AG1" s="3810"/>
      <c r="AH1" s="3810"/>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15">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1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1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1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1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1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1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1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1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1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1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1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16">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17"/>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17"/>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18"/>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1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1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1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1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1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1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1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1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1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1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1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1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1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1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1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1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1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1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1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1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1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1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1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1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1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1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1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1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1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1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1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1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1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1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1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1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11">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12">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12">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13">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11">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12">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12">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1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44434</v>
      </c>
      <c r="C2" s="2" t="s">
        <v>133</v>
      </c>
      <c r="D2" s="242"/>
      <c r="E2" s="242"/>
      <c r="F2" s="242"/>
      <c r="G2" s="242"/>
    </row>
    <row r="3" spans="1:7" s="243" customFormat="1" ht="18" customHeight="1" thickBot="1">
      <c r="A3" s="246" t="s">
        <v>85</v>
      </c>
      <c r="B3" s="247">
        <f ca="1">ROUND(B2*10000/'数据-汇总表'!E3,0)</f>
        <v>30209</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85</v>
      </c>
      <c r="D9" s="1028">
        <f>'数据-汇总表'!E5</f>
        <v>5307.46</v>
      </c>
      <c r="E9" s="268">
        <f>'数据-取费表'!B27</f>
        <v>160</v>
      </c>
      <c r="F9" s="264"/>
      <c r="G9" s="269"/>
    </row>
    <row r="10" spans="1:7" s="257" customFormat="1" ht="13.5" customHeight="1">
      <c r="A10" s="946" t="s">
        <v>800</v>
      </c>
      <c r="B10" s="267" t="s">
        <v>94</v>
      </c>
      <c r="C10" s="268">
        <f>ROUND(D10*E10/10000,0)</f>
        <v>188</v>
      </c>
      <c r="D10" s="1028">
        <f>'数据-汇总表'!E6</f>
        <v>9401.5500000000029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294</v>
      </c>
      <c r="D19" s="1032">
        <f>'数据-汇总表'!E3</f>
        <v>14709.010000000002</v>
      </c>
      <c r="E19" s="254">
        <f>'数据-取费表'!B31</f>
        <v>200</v>
      </c>
      <c r="F19" s="274"/>
      <c r="G19" s="1" t="s">
        <v>1073</v>
      </c>
    </row>
    <row r="20" spans="1:7" s="257" customFormat="1" ht="13.5" customHeight="1">
      <c r="A20" s="944" t="s">
        <v>1056</v>
      </c>
      <c r="B20" s="253" t="s">
        <v>104</v>
      </c>
      <c r="C20" s="275">
        <f>ROUND((C5+C19)*F20,0)</f>
        <v>627</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2063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29</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7536</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7536</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34370</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6665</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6005</v>
      </c>
      <c r="D34" s="260"/>
      <c r="E34" s="263"/>
      <c r="F34" s="300">
        <f>IF('数据-取费表'!B24=0,1,'数据-取费表'!N16)</f>
        <v>1</v>
      </c>
      <c r="G34" s="262" t="s">
        <v>116</v>
      </c>
    </row>
    <row r="35" spans="1:7" ht="13.5" customHeight="1">
      <c r="A35" s="947" t="s">
        <v>795</v>
      </c>
      <c r="B35" s="258" t="s">
        <v>60</v>
      </c>
      <c r="C35" s="263">
        <f>ROUND(C34*F35,0)</f>
        <v>180</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96</v>
      </c>
      <c r="D36" s="263"/>
      <c r="E36" s="263"/>
      <c r="F36" s="302">
        <f>'数据-取费表'!B34</f>
        <v>0.03</v>
      </c>
      <c r="G36" s="303" t="s">
        <v>62</v>
      </c>
    </row>
    <row r="37" spans="1:7" s="301" customFormat="1" ht="13.5" customHeight="1">
      <c r="A37" s="947" t="s">
        <v>797</v>
      </c>
      <c r="B37" s="258" t="s">
        <v>118</v>
      </c>
      <c r="C37" s="292">
        <f>ROUND(E37*D37*F34/10000,0)</f>
        <v>294</v>
      </c>
      <c r="D37" s="260">
        <f>'数据-汇总表'!E3</f>
        <v>14709.010000000002</v>
      </c>
      <c r="E37" s="292">
        <f>'数据-取费表'!B35</f>
        <v>200</v>
      </c>
      <c r="F37" s="302"/>
      <c r="G37" s="304" t="s">
        <v>119</v>
      </c>
    </row>
    <row r="38" spans="1:7" ht="13.5" customHeight="1">
      <c r="A38" s="947" t="s">
        <v>798</v>
      </c>
      <c r="B38" s="258" t="s">
        <v>63</v>
      </c>
      <c r="C38" s="263">
        <f>ROUND(C34*F38,0)</f>
        <v>90</v>
      </c>
      <c r="D38" s="263"/>
      <c r="E38" s="263"/>
      <c r="F38" s="302">
        <f>'数据-取费表'!B36</f>
        <v>1.4999999999999999E-2</v>
      </c>
      <c r="G38" s="262" t="s">
        <v>117</v>
      </c>
    </row>
    <row r="39" spans="1:7" s="257" customFormat="1" ht="13.5" customHeight="1">
      <c r="A39" s="944" t="s">
        <v>782</v>
      </c>
      <c r="B39" s="253" t="s">
        <v>104</v>
      </c>
      <c r="C39" s="275">
        <f>ROUND(C33*F20,0)</f>
        <v>200</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327</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317</v>
      </c>
      <c r="D42" s="281"/>
      <c r="E42" s="281"/>
      <c r="F42" s="282"/>
      <c r="G42" s="3680" t="s">
        <v>121</v>
      </c>
    </row>
    <row r="43" spans="1:7" ht="13.5" customHeight="1">
      <c r="A43" s="947" t="s">
        <v>791</v>
      </c>
      <c r="B43" s="258" t="s">
        <v>1063</v>
      </c>
      <c r="C43" s="281">
        <f ca="1">ROUND(IF('数据-取费表'!B22&lt;=1,C39*F22*'数据-取费表'!B21/2,C39*(POWER((1+F22),'数据-取费表'!B21/2)-1)),0)</f>
        <v>10</v>
      </c>
      <c r="D43" s="281"/>
      <c r="E43" s="281"/>
      <c r="F43" s="282"/>
      <c r="G43" s="3681"/>
    </row>
    <row r="44" spans="1:7" ht="13.5" customHeight="1">
      <c r="A44" s="947" t="s">
        <v>792</v>
      </c>
      <c r="B44" s="258" t="s">
        <v>1065</v>
      </c>
      <c r="C44" s="281">
        <f ca="1">ROUND(IF('数据-取费表'!B22&lt;=1,C40*F22*'数据-取费表'!B21/2,C40*(POWER((1+F22),'数据-取费表'!B21/2)-1)),4)</f>
        <v>1.4E-3</v>
      </c>
      <c r="D44" s="281"/>
      <c r="E44" s="281"/>
      <c r="F44" s="282"/>
      <c r="G44" s="3682"/>
    </row>
    <row r="45" spans="1:7" s="257" customFormat="1" ht="13.5" customHeight="1">
      <c r="A45" s="944" t="s">
        <v>785</v>
      </c>
      <c r="B45" s="287" t="s">
        <v>112</v>
      </c>
      <c r="C45" s="288">
        <f>C46</f>
        <v>2403</v>
      </c>
      <c r="D45" s="278">
        <f>C47</f>
        <v>1.0500000000000001E-2</v>
      </c>
      <c r="E45" s="279" t="s">
        <v>129</v>
      </c>
      <c r="F45" s="289"/>
      <c r="G45" s="290" t="s">
        <v>1071</v>
      </c>
    </row>
    <row r="46" spans="1:7" s="257" customFormat="1" ht="13.5" customHeight="1">
      <c r="A46" s="947" t="s">
        <v>793</v>
      </c>
      <c r="B46" s="291" t="s">
        <v>1064</v>
      </c>
      <c r="C46" s="292">
        <f>ROUND((C33+C39)*F27,0)</f>
        <v>2403</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10594</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10064</v>
      </c>
      <c r="D51" s="275"/>
      <c r="E51" s="275"/>
      <c r="F51" s="307"/>
      <c r="G51" s="277" t="s">
        <v>64</v>
      </c>
    </row>
    <row r="52" spans="1:7" s="251" customFormat="1" ht="16.5" thickBot="1">
      <c r="A52" s="308" t="s">
        <v>65</v>
      </c>
      <c r="B52" s="309"/>
      <c r="C52" s="310">
        <f ca="1">C31+C51</f>
        <v>44434</v>
      </c>
      <c r="D52" s="309"/>
      <c r="E52" s="309"/>
      <c r="F52" s="309"/>
      <c r="G52" s="311"/>
    </row>
    <row r="55" spans="1:7" ht="15">
      <c r="B55" s="313" t="s">
        <v>66</v>
      </c>
      <c r="C55" s="314"/>
    </row>
    <row r="56" spans="1:7">
      <c r="B56" s="316" t="s">
        <v>67</v>
      </c>
      <c r="C56" s="317">
        <f ca="1">ROUND(C51/C52,3)</f>
        <v>0.22600000000000001</v>
      </c>
    </row>
    <row r="57" spans="1:7">
      <c r="B57" s="316" t="s">
        <v>68</v>
      </c>
      <c r="C57" s="318">
        <f ca="1">1-C56</f>
        <v>0.77400000000000002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19" t="s">
        <v>156</v>
      </c>
      <c r="B1" s="3819"/>
      <c r="C1" s="3819"/>
      <c r="D1" s="3819"/>
      <c r="E1" s="3819"/>
      <c r="F1" s="381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20" t="s">
        <v>169</v>
      </c>
      <c r="B2" s="3820"/>
      <c r="C2" s="3820"/>
      <c r="D2" s="3820"/>
      <c r="E2" s="3820"/>
      <c r="F2" s="382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2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2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19" t="s">
        <v>870</v>
      </c>
      <c r="B1" s="3819"/>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9</v>
      </c>
    </row>
    <row r="2" spans="1:9" s="243" customFormat="1" ht="18" customHeight="1">
      <c r="A2" s="244" t="s">
        <v>1393</v>
      </c>
      <c r="B2" s="245">
        <f ca="1">IF(D2="——",C52,C52-E2)</f>
        <v>11337</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t="e">
        <f ca="1">ROUND(B2*10000/(IF(B1="",'数据-汇总表'!E3,INDIRECT("'数据-取费表'!k"&amp;$G$1))),0)</f>
        <v>#DIV/0!</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9203</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0</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0</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908</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895</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0</v>
      </c>
      <c r="D27" s="278">
        <f ca="1">C29</f>
        <v>0</v>
      </c>
      <c r="E27" s="279" t="s">
        <v>2366</v>
      </c>
      <c r="F27" s="289">
        <f ca="1">IF(B1="",'数据-取费表'!Q16,INDIRECT("'数据-取费表'!q"&amp;$G$1))</f>
        <v>0</v>
      </c>
      <c r="G27" s="290" t="s">
        <v>2383</v>
      </c>
    </row>
    <row r="28" spans="1:7" s="257" customFormat="1" ht="13.5" customHeight="1">
      <c r="A28" s="947" t="s">
        <v>790</v>
      </c>
      <c r="B28" s="291" t="s">
        <v>2384</v>
      </c>
      <c r="C28" s="292">
        <f ca="1">ROUND((C5+C19+C20)*F27*'数据-取费表'!B21/'数据-取费表'!B20,0)</f>
        <v>0</v>
      </c>
      <c r="D28" s="278"/>
      <c r="E28" s="279"/>
      <c r="F28" s="289"/>
      <c r="G28" s="290"/>
    </row>
    <row r="29" spans="1:7" s="257" customFormat="1" ht="13.5" customHeight="1">
      <c r="A29" s="947" t="s">
        <v>791</v>
      </c>
      <c r="B29" s="291" t="s">
        <v>2385</v>
      </c>
      <c r="C29" s="281">
        <f ca="1">ROUND(C21*F27*'数据-取费表'!B21/'数据-取费表'!B20,4)</f>
        <v>0</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11337</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0</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1</v>
      </c>
      <c r="G34" s="262" t="s">
        <v>2394</v>
      </c>
    </row>
    <row r="35" spans="1:7" ht="13.5" customHeight="1">
      <c r="A35" s="947" t="s">
        <v>795</v>
      </c>
      <c r="B35" s="258" t="s">
        <v>2395</v>
      </c>
      <c r="C35" s="263">
        <f ca="1">ROUND(C34*F35,0)</f>
        <v>0</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0</v>
      </c>
      <c r="D37" s="260">
        <f ca="1">D19</f>
        <v>0</v>
      </c>
      <c r="E37" s="292">
        <f>'数据-取费表'!B35</f>
        <v>200</v>
      </c>
      <c r="F37" s="302"/>
      <c r="G37" s="304" t="s">
        <v>2400</v>
      </c>
    </row>
    <row r="38" spans="1:7" ht="13.5" customHeight="1">
      <c r="A38" s="947" t="s">
        <v>798</v>
      </c>
      <c r="B38" s="258" t="s">
        <v>2401</v>
      </c>
      <c r="C38" s="263">
        <f ca="1">ROUND(C34*F38,0)</f>
        <v>0</v>
      </c>
      <c r="D38" s="263"/>
      <c r="E38" s="263"/>
      <c r="F38" s="302">
        <f>'数据-取费表'!B36</f>
        <v>1.4999999999999999E-2</v>
      </c>
      <c r="G38" s="262" t="s">
        <v>2396</v>
      </c>
    </row>
    <row r="39" spans="1:7" s="257" customFormat="1" ht="13.5" customHeight="1">
      <c r="A39" s="298" t="s">
        <v>2359</v>
      </c>
      <c r="B39" s="253" t="s">
        <v>2362</v>
      </c>
      <c r="C39" s="275">
        <f ca="1">ROUND(C33*F20,0)</f>
        <v>0</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0</v>
      </c>
      <c r="D42" s="281"/>
      <c r="E42" s="281"/>
      <c r="F42" s="282"/>
      <c r="G42" s="3680" t="s">
        <v>2412</v>
      </c>
    </row>
    <row r="43" spans="1:7" ht="13.5" customHeight="1">
      <c r="A43" s="947" t="s">
        <v>791</v>
      </c>
      <c r="B43" s="258" t="s">
        <v>2374</v>
      </c>
      <c r="C43" s="281">
        <f ca="1">ROUND(IF('数据-取费表'!B22&lt;=1,C39*F22*'数据-取费表'!B21/2,C39*(POWER((1+F22),'数据-取费表'!B21/2)-1)),0)</f>
        <v>0</v>
      </c>
      <c r="D43" s="281"/>
      <c r="E43" s="281"/>
      <c r="F43" s="282"/>
      <c r="G43" s="3681"/>
    </row>
    <row r="44" spans="1:7" ht="13.5" customHeight="1">
      <c r="A44" s="947" t="s">
        <v>792</v>
      </c>
      <c r="B44" s="258" t="s">
        <v>2377</v>
      </c>
      <c r="C44" s="281">
        <f ca="1">ROUND(IF('数据-取费表'!B22&lt;=1,C40*F22*'数据-取费表'!B21/2,C40*(POWER((1+F22),'数据-取费表'!B21/2)-1)),4)</f>
        <v>1.4E-3</v>
      </c>
      <c r="D44" s="281"/>
      <c r="E44" s="281"/>
      <c r="F44" s="282"/>
      <c r="G44" s="3682"/>
    </row>
    <row r="45" spans="1:7" s="257" customFormat="1" ht="13.5" customHeight="1">
      <c r="A45" s="298" t="s">
        <v>2368</v>
      </c>
      <c r="B45" s="287" t="s">
        <v>2381</v>
      </c>
      <c r="C45" s="288">
        <f ca="1">C46</f>
        <v>0</v>
      </c>
      <c r="D45" s="278">
        <f ca="1">C47</f>
        <v>0</v>
      </c>
      <c r="E45" s="279" t="s">
        <v>2407</v>
      </c>
      <c r="F45" s="289"/>
      <c r="G45" s="290" t="s">
        <v>2416</v>
      </c>
    </row>
    <row r="46" spans="1:7" s="257" customFormat="1" ht="13.5" customHeight="1">
      <c r="A46" s="947" t="s">
        <v>790</v>
      </c>
      <c r="B46" s="291" t="s">
        <v>2417</v>
      </c>
      <c r="C46" s="292">
        <f ca="1">ROUND((C33+C39)*F27,0)</f>
        <v>0</v>
      </c>
      <c r="D46" s="306"/>
      <c r="E46" s="279"/>
      <c r="F46" s="289"/>
      <c r="G46" s="290"/>
    </row>
    <row r="47" spans="1:7" s="257" customFormat="1" ht="13.5" customHeight="1">
      <c r="A47" s="947" t="s">
        <v>791</v>
      </c>
      <c r="B47" s="291" t="s">
        <v>2418</v>
      </c>
      <c r="C47" s="281">
        <f ca="1">ROUND(C40*F27,4)</f>
        <v>0</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0</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0</v>
      </c>
      <c r="D51" s="275"/>
      <c r="E51" s="275"/>
      <c r="F51" s="307"/>
      <c r="G51" s="277" t="s">
        <v>2428</v>
      </c>
    </row>
    <row r="52" spans="1:7" s="251" customFormat="1" ht="16.5" thickBot="1">
      <c r="A52" s="308" t="s">
        <v>2429</v>
      </c>
      <c r="B52" s="309"/>
      <c r="C52" s="310">
        <f ca="1">C31+C51</f>
        <v>11337</v>
      </c>
      <c r="D52" s="309"/>
      <c r="E52" s="309"/>
      <c r="F52" s="309"/>
      <c r="G52" s="311"/>
    </row>
    <row r="55" spans="1:7" ht="15">
      <c r="B55" s="313" t="s">
        <v>2430</v>
      </c>
      <c r="C55" s="314"/>
    </row>
    <row r="56" spans="1:7">
      <c r="B56" s="316" t="s">
        <v>1512</v>
      </c>
      <c r="C56" s="318">
        <f ca="1">1-C57</f>
        <v>1</v>
      </c>
    </row>
    <row r="57" spans="1:7">
      <c r="B57" s="316" t="s">
        <v>1513</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1640</v>
      </c>
      <c r="B2" s="3458" t="s">
        <v>1641</v>
      </c>
      <c r="C2" s="3458" t="s">
        <v>1642</v>
      </c>
      <c r="D2" s="3458" t="str">
        <f>结果表住宅!D116</f>
        <v>出让国有建设用地使用权价值</v>
      </c>
      <c r="E2" s="3458"/>
      <c r="F2" s="3458" t="str">
        <f>结果表住宅!F116</f>
        <v>在建建筑物价值</v>
      </c>
      <c r="G2" s="3458"/>
      <c r="H2" s="3458" t="str">
        <f>IF(项目基本情况!B9="房地产市场价值","房地产市场价值","房地产价值")</f>
        <v>房地产价值</v>
      </c>
      <c r="I2" s="3458"/>
    </row>
    <row r="3" spans="1:9" ht="15">
      <c r="A3" s="3459"/>
      <c r="B3" s="3459"/>
      <c r="C3" s="3459"/>
      <c r="D3" s="1040" t="s">
        <v>1637</v>
      </c>
      <c r="E3" s="1040" t="s">
        <v>1643</v>
      </c>
      <c r="F3" s="1040" t="s">
        <v>1637</v>
      </c>
      <c r="G3" s="1040" t="s">
        <v>1638</v>
      </c>
      <c r="H3" s="1040" t="s">
        <v>1637</v>
      </c>
      <c r="I3" s="1040" t="s">
        <v>1638</v>
      </c>
    </row>
    <row r="4" spans="1:9" ht="15">
      <c r="A4" s="1969" t="str">
        <f>项目基本情况!S2</f>
        <v>北京市房地产</v>
      </c>
      <c r="B4" s="1040">
        <f>项目基本情况!C17</f>
        <v>14709.010000000002</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32438</v>
      </c>
      <c r="I4" s="1040">
        <f ca="1">结果表住宅!I118</f>
        <v>61118</v>
      </c>
    </row>
    <row r="5" spans="1:9" ht="30" customHeight="1">
      <c r="A5" s="3459" t="s">
        <v>1639</v>
      </c>
      <c r="B5" s="3459"/>
      <c r="C5" s="3459"/>
      <c r="D5" s="3460" t="e">
        <f ca="1">结果表住宅!D119</f>
        <v>#REF!</v>
      </c>
      <c r="E5" s="3460"/>
      <c r="F5" s="3460" t="e">
        <f ca="1">结果表住宅!F119</f>
        <v>#REF!</v>
      </c>
      <c r="G5" s="3460"/>
      <c r="H5" s="3460" t="str">
        <f ca="1">结果表住宅!H119</f>
        <v>叁亿贰仟肆佰叁拾捌万元整</v>
      </c>
      <c r="I5" s="3460"/>
    </row>
    <row r="6" spans="1:9" ht="15.75">
      <c r="A6" s="3461" t="str">
        <f>结果表住宅!A120</f>
        <v>估价师知悉的法定优先受偿款</v>
      </c>
      <c r="B6" s="3461"/>
      <c r="C6" s="3461"/>
      <c r="D6" s="3461">
        <f>结果表住宅!D120</f>
        <v>0</v>
      </c>
      <c r="E6" s="3461"/>
      <c r="F6" s="3461"/>
      <c r="G6" s="3461"/>
      <c r="H6" s="3461"/>
      <c r="I6" s="3461"/>
    </row>
    <row r="7" spans="1:9" ht="15">
      <c r="A7" s="3459" t="s">
        <v>1639</v>
      </c>
      <c r="B7" s="3459"/>
      <c r="C7" s="3459"/>
      <c r="D7" s="3462" t="str">
        <f>结果表住宅!D121</f>
        <v>零元整</v>
      </c>
      <c r="E7" s="3463"/>
      <c r="F7" s="3463"/>
      <c r="G7" s="3463"/>
      <c r="H7" s="3463"/>
      <c r="I7" s="3464"/>
    </row>
    <row r="8" spans="1:9" ht="15.75">
      <c r="A8" s="3461" t="str">
        <f>结果表住宅!A122</f>
        <v>房地产抵押价值</v>
      </c>
      <c r="B8" s="3461"/>
      <c r="C8" s="3461"/>
      <c r="D8" s="3461">
        <f ca="1">结果表住宅!D122</f>
        <v>32438</v>
      </c>
      <c r="E8" s="3461"/>
      <c r="F8" s="3461"/>
      <c r="G8" s="3461"/>
      <c r="H8" s="3461"/>
      <c r="I8" s="3461"/>
    </row>
    <row r="9" spans="1:9" ht="15">
      <c r="A9" s="3459" t="s">
        <v>1639</v>
      </c>
      <c r="B9" s="3459"/>
      <c r="C9" s="3459"/>
      <c r="D9" s="3460" t="str">
        <f ca="1">结果表住宅!D123</f>
        <v>叁亿贰仟肆佰叁拾捌万元整</v>
      </c>
      <c r="E9" s="3460"/>
      <c r="F9" s="3460"/>
      <c r="G9" s="3460"/>
      <c r="H9" s="3460"/>
      <c r="I9" s="3460"/>
    </row>
    <row r="10" spans="1:9" ht="15.75">
      <c r="A10" s="3461" t="str">
        <f>结果表住宅!A124</f>
        <v/>
      </c>
      <c r="B10" s="3461"/>
      <c r="C10" s="3461"/>
      <c r="D10" s="3461" t="str">
        <f>结果表住宅!D124</f>
        <v>——</v>
      </c>
      <c r="E10" s="3461"/>
      <c r="F10" s="3461"/>
      <c r="G10" s="3461"/>
      <c r="H10" s="3461"/>
      <c r="I10" s="3461"/>
    </row>
    <row r="11" spans="1:9" ht="15">
      <c r="A11" s="3459" t="s">
        <v>1639</v>
      </c>
      <c r="B11" s="3459"/>
      <c r="C11" s="3459"/>
      <c r="D11" s="3460" t="e">
        <f>结果表住宅!D125</f>
        <v>#VALUE!</v>
      </c>
      <c r="E11" s="3460"/>
      <c r="F11" s="3460"/>
      <c r="G11" s="3460"/>
      <c r="H11" s="3460"/>
      <c r="I11" s="3460"/>
    </row>
    <row r="12" spans="1:9" ht="15.75">
      <c r="A12" s="3461" t="str">
        <f>结果表住宅!A126</f>
        <v/>
      </c>
      <c r="B12" s="3461"/>
      <c r="C12" s="3461"/>
      <c r="D12" s="3461" t="str">
        <f>结果表住宅!D126</f>
        <v>——</v>
      </c>
      <c r="E12" s="3461"/>
      <c r="F12" s="3461"/>
      <c r="G12" s="3461"/>
      <c r="H12" s="3461"/>
      <c r="I12" s="3461"/>
    </row>
    <row r="13" spans="1:9" ht="15.75" thickBot="1">
      <c r="A13" s="3465" t="s">
        <v>1639</v>
      </c>
      <c r="B13" s="3465"/>
      <c r="C13" s="3465"/>
      <c r="D13" s="3466" t="e">
        <f>结果表住宅!D127</f>
        <v>#VALUE!</v>
      </c>
      <c r="E13" s="3466"/>
      <c r="F13" s="3466"/>
      <c r="G13" s="3466"/>
      <c r="H13" s="3466"/>
      <c r="I13" s="3466"/>
    </row>
    <row r="14" spans="1:9" ht="15" thickTop="1">
      <c r="A14" s="3467" t="s">
        <v>1644</v>
      </c>
      <c r="B14" s="3467"/>
      <c r="C14" s="3467"/>
      <c r="D14" s="3467"/>
      <c r="E14" s="3467"/>
      <c r="F14" s="3467"/>
      <c r="G14" s="3467"/>
      <c r="H14" s="3467"/>
      <c r="I14" s="3467"/>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41"/>
      <c r="B4" s="3742"/>
      <c r="C4" s="3742"/>
      <c r="D4" s="3743"/>
      <c r="E4" s="3743"/>
      <c r="F4" s="3743"/>
      <c r="G4" s="3743"/>
      <c r="H4" s="3743"/>
      <c r="I4" s="3743"/>
      <c r="J4" s="3744"/>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27"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28"/>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38" t="s">
        <v>2842</v>
      </c>
      <c r="X8" s="3739"/>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28"/>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40"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28"/>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4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28"/>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40"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27"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40"/>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45"/>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40"/>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45"/>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46"/>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27"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28"/>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35"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36"/>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36"/>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37"/>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29" t="s">
        <v>2974</v>
      </c>
      <c r="B90" s="3729"/>
      <c r="C90" s="3729"/>
      <c r="D90" s="3729"/>
      <c r="E90" s="3729"/>
      <c r="F90" s="3729"/>
      <c r="G90" s="3729"/>
      <c r="H90" s="3729"/>
      <c r="I90" s="3729"/>
      <c r="J90" s="3729"/>
      <c r="K90" s="2931"/>
      <c r="L90" s="2931"/>
      <c r="M90" s="2931"/>
      <c r="N90" s="2931"/>
    </row>
    <row r="91" spans="1:37">
      <c r="A91" s="3731" t="s">
        <v>2975</v>
      </c>
      <c r="B91" s="3731" t="s">
        <v>2976</v>
      </c>
      <c r="C91" s="2845" t="s">
        <v>2977</v>
      </c>
      <c r="D91" s="2846"/>
      <c r="E91" s="2846"/>
      <c r="F91" s="2846"/>
      <c r="G91" s="2846"/>
      <c r="H91" s="2846"/>
      <c r="I91" s="2846"/>
      <c r="J91" s="2892"/>
      <c r="K91" s="2893"/>
      <c r="L91" s="2893"/>
      <c r="M91" s="2893"/>
      <c r="N91" s="2893"/>
    </row>
    <row r="92" spans="1:37">
      <c r="A92" s="3731"/>
      <c r="B92" s="3731"/>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32"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3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3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3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3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3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33"/>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3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32"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33"/>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33"/>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33"/>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33"/>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33"/>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33"/>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33"/>
      <c r="B108" s="3566"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34"/>
      <c r="B109" s="3567"/>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30" t="s">
        <v>2982</v>
      </c>
      <c r="B110" s="3730"/>
      <c r="C110" s="3730"/>
      <c r="D110" s="3730"/>
      <c r="E110" s="3730"/>
      <c r="F110" s="3730"/>
      <c r="G110" s="3730"/>
      <c r="H110" s="3730"/>
      <c r="I110" s="3730"/>
      <c r="J110" s="3730"/>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workbookViewId="0">
      <selection activeCell="E11" sqref="E11"/>
    </sheetView>
  </sheetViews>
  <sheetFormatPr defaultRowHeight="13.5"/>
  <cols>
    <col min="1" max="1" width="12.125" customWidth="1"/>
    <col min="3" max="4" width="20" customWidth="1"/>
    <col min="6" max="6" width="13.625" customWidth="1"/>
    <col min="7" max="7" width="17.125" customWidth="1"/>
    <col min="8" max="8" width="11.375" customWidth="1"/>
    <col min="9" max="9" width="12.5" customWidth="1"/>
    <col min="19" max="19" width="11.5" customWidth="1"/>
    <col min="20" max="20" width="12.625" customWidth="1"/>
  </cols>
  <sheetData>
    <row r="1" spans="1:22">
      <c r="A1" s="3828" t="s">
        <v>3321</v>
      </c>
      <c r="B1" s="3829"/>
      <c r="C1" s="3829"/>
      <c r="D1" s="3829"/>
      <c r="E1" s="3829"/>
      <c r="F1" s="3829"/>
      <c r="G1" s="3829"/>
      <c r="H1" s="3829"/>
      <c r="I1" s="3829"/>
      <c r="J1" s="3363"/>
      <c r="K1" s="3363"/>
      <c r="L1" s="3354"/>
      <c r="M1" s="3355" t="s">
        <v>3277</v>
      </c>
      <c r="N1" s="3355" t="s">
        <v>3278</v>
      </c>
      <c r="O1" s="3355" t="s">
        <v>3279</v>
      </c>
      <c r="P1" s="3355" t="s">
        <v>3280</v>
      </c>
      <c r="Q1" s="3355" t="s">
        <v>3281</v>
      </c>
      <c r="S1" s="3355" t="s">
        <v>3304</v>
      </c>
      <c r="T1" s="3355" t="s">
        <v>3305</v>
      </c>
      <c r="U1" s="3355" t="s">
        <v>3306</v>
      </c>
      <c r="V1" s="3355" t="s">
        <v>3307</v>
      </c>
    </row>
    <row r="2" spans="1:22">
      <c r="A2" s="3361" t="s">
        <v>3269</v>
      </c>
      <c r="B2" s="3361" t="s">
        <v>3271</v>
      </c>
      <c r="C2" s="3361" t="s">
        <v>3397</v>
      </c>
      <c r="D2" s="3361" t="s">
        <v>3399</v>
      </c>
      <c r="E2" s="3361" t="s">
        <v>3271</v>
      </c>
      <c r="F2" s="3361" t="s">
        <v>3272</v>
      </c>
      <c r="G2" s="3361" t="s">
        <v>3271</v>
      </c>
      <c r="H2" s="3361" t="s">
        <v>3374</v>
      </c>
      <c r="I2" s="3361" t="s">
        <v>3320</v>
      </c>
      <c r="J2" s="3364"/>
      <c r="K2" s="3364"/>
      <c r="M2" s="3830" t="s">
        <v>3282</v>
      </c>
      <c r="N2" s="3355">
        <v>-103</v>
      </c>
      <c r="O2" s="3355">
        <v>70.56</v>
      </c>
      <c r="P2" s="3355" t="s">
        <v>3283</v>
      </c>
      <c r="Q2" s="3355" t="s">
        <v>3284</v>
      </c>
      <c r="S2" s="3355" t="s">
        <v>3308</v>
      </c>
      <c r="T2" s="3355">
        <f>70.56+70.56</f>
        <v>141.12</v>
      </c>
      <c r="U2" s="3355">
        <f>356.83+656.26+80.42*2+744.05+361.96</f>
        <v>2279.9399999999996</v>
      </c>
      <c r="V2" s="3355">
        <f>80.42+77.94</f>
        <v>158.36000000000001</v>
      </c>
    </row>
    <row r="3" spans="1:22">
      <c r="A3" s="3361" t="s">
        <v>3270</v>
      </c>
      <c r="B3" s="3361">
        <v>1</v>
      </c>
      <c r="C3" s="3361">
        <f>U6-O7-O9-O16-O18-O19-O20</f>
        <v>6343.3399999999992</v>
      </c>
      <c r="D3" s="3361">
        <f>O7+O9+O16+O18+O19+O20</f>
        <v>1901.15</v>
      </c>
      <c r="E3" s="3356">
        <v>1</v>
      </c>
      <c r="F3" s="3361" t="s">
        <v>3274</v>
      </c>
      <c r="G3" s="3356">
        <v>1</v>
      </c>
      <c r="H3" s="3375">
        <f>'比较法-商业 (租金)'!C49</f>
        <v>7.4</v>
      </c>
      <c r="I3" s="3356">
        <f>ROUND(H3*B3*E3*G3,1)</f>
        <v>7.4</v>
      </c>
      <c r="J3" s="3363"/>
      <c r="K3" s="3363"/>
      <c r="M3" s="3830"/>
      <c r="N3" s="3376">
        <v>-104</v>
      </c>
      <c r="O3" s="3376">
        <v>70.56</v>
      </c>
      <c r="P3" s="3376" t="s">
        <v>3283</v>
      </c>
      <c r="Q3" s="3376" t="s">
        <v>3284</v>
      </c>
      <c r="S3" s="3355" t="s">
        <v>3309</v>
      </c>
      <c r="T3" s="3355">
        <f>65.99*2</f>
        <v>131.97999999999999</v>
      </c>
      <c r="U3" s="3355">
        <f>306.71+538.85+74.86*2+538.35+306.71</f>
        <v>1840.3400000000001</v>
      </c>
      <c r="V3" s="3355">
        <f>73.33*2</f>
        <v>146.66</v>
      </c>
    </row>
    <row r="4" spans="1:22">
      <c r="A4" s="3361" t="s">
        <v>3268</v>
      </c>
      <c r="B4" s="3356">
        <f>典型户型修正!D18/100</f>
        <v>0.65</v>
      </c>
      <c r="C4" s="3356">
        <f>V6-O11-O22</f>
        <v>458.76999999999992</v>
      </c>
      <c r="D4" s="3441">
        <f>O11+O22</f>
        <v>151.26999999999998</v>
      </c>
      <c r="E4" s="3356">
        <v>1</v>
      </c>
      <c r="F4" s="3361" t="s">
        <v>3275</v>
      </c>
      <c r="G4" s="3356">
        <v>0.98</v>
      </c>
      <c r="H4" s="3361" t="s">
        <v>3401</v>
      </c>
      <c r="I4" s="3356">
        <f>ROUND(H3*B4*E4*G4,1)</f>
        <v>4.7</v>
      </c>
      <c r="J4" s="3363"/>
      <c r="K4" s="3363"/>
      <c r="M4" s="3830"/>
      <c r="N4" s="3355">
        <v>101</v>
      </c>
      <c r="O4" s="3355">
        <v>356.83</v>
      </c>
      <c r="P4" s="3355" t="s">
        <v>3283</v>
      </c>
      <c r="Q4" s="3355" t="s">
        <v>3285</v>
      </c>
      <c r="S4" s="3355" t="s">
        <v>3310</v>
      </c>
      <c r="T4" s="3355">
        <f>66.39*2</f>
        <v>132.78</v>
      </c>
      <c r="U4" s="3355">
        <f>306.67+539.1+539.1+306.67+74.85+74.85</f>
        <v>1841.2399999999998</v>
      </c>
      <c r="V4" s="3359">
        <f>73.32*2</f>
        <v>146.63999999999999</v>
      </c>
    </row>
    <row r="5" spans="1:22">
      <c r="A5" s="3361" t="s">
        <v>3273</v>
      </c>
      <c r="B5" s="3356">
        <f>典型户型修正!E18/100</f>
        <v>0.5</v>
      </c>
      <c r="C5" s="3356">
        <f>T6-O3-O14</f>
        <v>410.46999999999997</v>
      </c>
      <c r="D5" s="3441">
        <f>O3+O14</f>
        <v>136.55000000000001</v>
      </c>
      <c r="E5" s="3356">
        <v>1</v>
      </c>
      <c r="F5" s="3361" t="s">
        <v>3276</v>
      </c>
      <c r="G5" s="3356">
        <v>0.96</v>
      </c>
      <c r="H5" s="3361" t="s">
        <v>3401</v>
      </c>
      <c r="I5" s="3356">
        <f>ROUND(H3*B5*E5*G5,1)</f>
        <v>3.6</v>
      </c>
      <c r="J5" s="3363"/>
      <c r="K5" s="3363"/>
      <c r="M5" s="3830"/>
      <c r="N5" s="3355">
        <v>102</v>
      </c>
      <c r="O5" s="3355">
        <v>656.26</v>
      </c>
      <c r="P5" s="3355" t="s">
        <v>3283</v>
      </c>
      <c r="Q5" s="3355" t="s">
        <v>3285</v>
      </c>
      <c r="S5" s="3355" t="s">
        <v>3311</v>
      </c>
      <c r="T5" s="3355">
        <f>70.57*2</f>
        <v>141.13999999999999</v>
      </c>
      <c r="U5" s="3355">
        <f>362.03+744.31+655.83+359.94+80.43+80.43</f>
        <v>2282.9699999999998</v>
      </c>
      <c r="V5" s="3355">
        <f>77.95+80.43</f>
        <v>158.38</v>
      </c>
    </row>
    <row r="6" spans="1:22">
      <c r="A6" s="3831" t="s">
        <v>3375</v>
      </c>
      <c r="B6" s="3832"/>
      <c r="C6" s="3360">
        <f>SUM(C3:C5)</f>
        <v>7212.579999999999</v>
      </c>
      <c r="D6" s="3360">
        <f>D3+D4+D5</f>
        <v>2188.9700000000003</v>
      </c>
      <c r="E6" s="3835" t="s">
        <v>3401</v>
      </c>
      <c r="F6" s="3836"/>
      <c r="G6" s="3833" t="s">
        <v>3398</v>
      </c>
      <c r="H6" s="3834"/>
      <c r="I6" s="3362">
        <f>ROUND((I3*C3+I4*C4+I5*C5)/C6,2)</f>
        <v>7.01</v>
      </c>
      <c r="J6" s="3365"/>
      <c r="K6" s="3365"/>
      <c r="M6" s="3830"/>
      <c r="N6" s="3355">
        <v>103</v>
      </c>
      <c r="O6" s="3355">
        <v>80.42</v>
      </c>
      <c r="P6" s="3355" t="s">
        <v>3283</v>
      </c>
      <c r="Q6" s="3355" t="s">
        <v>3285</v>
      </c>
      <c r="S6" s="3360" t="s">
        <v>3312</v>
      </c>
      <c r="T6" s="3360">
        <f>SUM(T2:T5)</f>
        <v>547.02</v>
      </c>
      <c r="U6" s="3360">
        <f>SUM(U2:U5)</f>
        <v>8244.49</v>
      </c>
      <c r="V6" s="3360">
        <f>SUM(V2:V5)</f>
        <v>610.04</v>
      </c>
    </row>
    <row r="7" spans="1:22">
      <c r="G7" s="3833" t="s">
        <v>3400</v>
      </c>
      <c r="H7" s="3834"/>
      <c r="I7" s="3362">
        <f>ROUND((I3*D3+I4*D4+I5*D5)/D6,2)</f>
        <v>6.98</v>
      </c>
      <c r="M7" s="3830"/>
      <c r="N7" s="3376">
        <v>104</v>
      </c>
      <c r="O7" s="3376">
        <v>80.42</v>
      </c>
      <c r="P7" s="3376" t="s">
        <v>3283</v>
      </c>
      <c r="Q7" s="3376" t="s">
        <v>3285</v>
      </c>
      <c r="S7" s="3825"/>
      <c r="T7" s="3826"/>
      <c r="U7" s="3826"/>
      <c r="V7" s="3827"/>
    </row>
    <row r="8" spans="1:22">
      <c r="M8" s="3830"/>
      <c r="N8" s="3355">
        <v>105</v>
      </c>
      <c r="O8" s="3355">
        <v>744.05</v>
      </c>
      <c r="P8" s="3355" t="s">
        <v>3283</v>
      </c>
      <c r="Q8" s="3355" t="s">
        <v>3285</v>
      </c>
      <c r="S8" s="3360" t="s">
        <v>3313</v>
      </c>
      <c r="T8" s="3360">
        <v>55000</v>
      </c>
      <c r="U8" s="3355" t="s">
        <v>3314</v>
      </c>
      <c r="V8" s="3355"/>
    </row>
    <row r="9" spans="1:22">
      <c r="M9" s="3830"/>
      <c r="N9" s="3376">
        <v>106</v>
      </c>
      <c r="O9" s="3376">
        <v>361.96</v>
      </c>
      <c r="P9" s="3376" t="s">
        <v>3283</v>
      </c>
      <c r="Q9" s="3376" t="s">
        <v>3285</v>
      </c>
      <c r="S9" s="3360" t="s">
        <v>3315</v>
      </c>
      <c r="T9" s="3360">
        <f>ROUND(T8*U9,0)</f>
        <v>35750</v>
      </c>
      <c r="U9" s="3355">
        <v>0.65</v>
      </c>
      <c r="V9" s="3355"/>
    </row>
    <row r="10" spans="1:22">
      <c r="M10" s="3830"/>
      <c r="N10" s="3355">
        <v>203</v>
      </c>
      <c r="O10" s="3355">
        <v>80.42</v>
      </c>
      <c r="P10" s="3355" t="s">
        <v>3283</v>
      </c>
      <c r="Q10" s="3355" t="s">
        <v>3286</v>
      </c>
      <c r="S10" s="3360" t="s">
        <v>3316</v>
      </c>
      <c r="T10" s="3360">
        <f>ROUND(T8*U10,0)</f>
        <v>27500</v>
      </c>
      <c r="U10" s="3355">
        <v>0.5</v>
      </c>
      <c r="V10" s="3355"/>
    </row>
    <row r="11" spans="1:22">
      <c r="M11" s="3830"/>
      <c r="N11" s="3376">
        <v>204</v>
      </c>
      <c r="O11" s="3376">
        <v>77.94</v>
      </c>
      <c r="P11" s="3376" t="s">
        <v>3283</v>
      </c>
      <c r="Q11" s="3376" t="s">
        <v>3286</v>
      </c>
      <c r="S11" s="3825"/>
      <c r="T11" s="3826"/>
      <c r="U11" s="3826"/>
      <c r="V11" s="3827"/>
    </row>
    <row r="12" spans="1:22">
      <c r="M12" s="3830"/>
      <c r="N12" s="3357" t="s">
        <v>3287</v>
      </c>
      <c r="O12" s="3357">
        <f>SUM(O2:O11)</f>
        <v>2579.4200000000005</v>
      </c>
      <c r="P12" s="3357" t="s">
        <v>3288</v>
      </c>
      <c r="Q12" s="3357" t="s">
        <v>3288</v>
      </c>
      <c r="S12" s="3360" t="s">
        <v>3317</v>
      </c>
      <c r="T12" s="3360">
        <f>ROUND(T8*U6/10000,0)</f>
        <v>45345</v>
      </c>
      <c r="U12" s="3355"/>
      <c r="V12" s="3355"/>
    </row>
    <row r="13" spans="1:22">
      <c r="M13" s="3830" t="s">
        <v>3289</v>
      </c>
      <c r="N13" s="3355">
        <v>-103</v>
      </c>
      <c r="O13" s="3355">
        <v>65.989999999999995</v>
      </c>
      <c r="P13" s="3355" t="s">
        <v>3290</v>
      </c>
      <c r="Q13" s="3355" t="s">
        <v>3291</v>
      </c>
      <c r="S13" s="3360" t="s">
        <v>3318</v>
      </c>
      <c r="T13" s="3360">
        <f>ROUND(T9*V6/10000,0)</f>
        <v>2181</v>
      </c>
      <c r="U13" s="3355"/>
      <c r="V13" s="3355"/>
    </row>
    <row r="14" spans="1:22">
      <c r="M14" s="3830"/>
      <c r="N14" s="3376">
        <v>-104</v>
      </c>
      <c r="O14" s="3376">
        <v>65.989999999999995</v>
      </c>
      <c r="P14" s="3376" t="s">
        <v>3290</v>
      </c>
      <c r="Q14" s="3376" t="s">
        <v>3291</v>
      </c>
      <c r="S14" s="3360" t="s">
        <v>3319</v>
      </c>
      <c r="T14" s="3360">
        <f>ROUND(T10*T6/10000,0)</f>
        <v>1504</v>
      </c>
      <c r="U14" s="3355"/>
      <c r="V14" s="3355"/>
    </row>
    <row r="15" spans="1:22">
      <c r="M15" s="3830"/>
      <c r="N15" s="3355">
        <v>101</v>
      </c>
      <c r="O15" s="3355">
        <v>306.70999999999998</v>
      </c>
      <c r="P15" s="3355" t="s">
        <v>3290</v>
      </c>
      <c r="Q15" s="3355" t="s">
        <v>3292</v>
      </c>
      <c r="S15" s="3360" t="s">
        <v>3312</v>
      </c>
      <c r="T15" s="3360">
        <f>T14+T13+T12</f>
        <v>49030</v>
      </c>
    </row>
    <row r="16" spans="1:22">
      <c r="M16" s="3830"/>
      <c r="N16" s="3425">
        <v>102</v>
      </c>
      <c r="O16" s="3425">
        <v>538.85</v>
      </c>
      <c r="P16" s="3425" t="s">
        <v>3290</v>
      </c>
      <c r="Q16" s="3425" t="s">
        <v>3292</v>
      </c>
    </row>
    <row r="17" spans="13:20">
      <c r="M17" s="3830"/>
      <c r="N17" s="3355">
        <v>103</v>
      </c>
      <c r="O17" s="3355">
        <v>74.86</v>
      </c>
      <c r="P17" s="3355" t="s">
        <v>3290</v>
      </c>
      <c r="Q17" s="3355" t="s">
        <v>3292</v>
      </c>
    </row>
    <row r="18" spans="13:20">
      <c r="M18" s="3830"/>
      <c r="N18" s="3376">
        <v>104</v>
      </c>
      <c r="O18" s="3376">
        <v>74.86</v>
      </c>
      <c r="P18" s="3376" t="s">
        <v>3290</v>
      </c>
      <c r="Q18" s="3376" t="s">
        <v>3292</v>
      </c>
      <c r="S18" s="3426" t="s">
        <v>3372</v>
      </c>
      <c r="T18" s="3427" t="s">
        <v>3373</v>
      </c>
    </row>
    <row r="19" spans="13:20">
      <c r="M19" s="3830"/>
      <c r="N19" s="3376">
        <v>105</v>
      </c>
      <c r="O19" s="3376">
        <v>538.35</v>
      </c>
      <c r="P19" s="3376" t="s">
        <v>3290</v>
      </c>
      <c r="Q19" s="3376" t="s">
        <v>3292</v>
      </c>
      <c r="S19">
        <f>O7+O9+O11+O18+O19+O20+O22+O16</f>
        <v>2052.42</v>
      </c>
      <c r="T19">
        <f>O3+O14</f>
        <v>136.55000000000001</v>
      </c>
    </row>
    <row r="20" spans="13:20">
      <c r="M20" s="3830"/>
      <c r="N20" s="3376">
        <v>106</v>
      </c>
      <c r="O20" s="3376">
        <v>306.70999999999998</v>
      </c>
      <c r="P20" s="3376" t="s">
        <v>3290</v>
      </c>
      <c r="Q20" s="3376" t="s">
        <v>3292</v>
      </c>
      <c r="S20">
        <f>O14+O18+O19+O20+O22</f>
        <v>1059.24</v>
      </c>
    </row>
    <row r="21" spans="13:20">
      <c r="M21" s="3830"/>
      <c r="N21" s="3355">
        <v>203</v>
      </c>
      <c r="O21" s="3355">
        <v>73.33</v>
      </c>
      <c r="P21" s="3355" t="s">
        <v>3290</v>
      </c>
      <c r="Q21" s="3355" t="s">
        <v>3293</v>
      </c>
    </row>
    <row r="22" spans="13:20">
      <c r="M22" s="3830"/>
      <c r="N22" s="3376">
        <v>204</v>
      </c>
      <c r="O22" s="3376">
        <v>73.33</v>
      </c>
      <c r="P22" s="3376" t="s">
        <v>3290</v>
      </c>
      <c r="Q22" s="3376" t="s">
        <v>3293</v>
      </c>
    </row>
    <row r="23" spans="13:20">
      <c r="M23" s="3830"/>
      <c r="N23" s="3357" t="s">
        <v>3294</v>
      </c>
      <c r="O23" s="3357">
        <f>SUM(O13:O22)</f>
        <v>2118.9799999999996</v>
      </c>
      <c r="P23" s="3357" t="s">
        <v>3295</v>
      </c>
      <c r="Q23" s="3357" t="s">
        <v>3295</v>
      </c>
    </row>
    <row r="24" spans="13:20">
      <c r="M24" s="3830" t="s">
        <v>3296</v>
      </c>
      <c r="N24" s="3355">
        <v>-103</v>
      </c>
      <c r="O24" s="3355">
        <v>66.39</v>
      </c>
      <c r="P24" s="3355" t="s">
        <v>3297</v>
      </c>
      <c r="Q24" s="3355" t="s">
        <v>3298</v>
      </c>
    </row>
    <row r="25" spans="13:20">
      <c r="M25" s="3830"/>
      <c r="N25" s="3355">
        <v>-104</v>
      </c>
      <c r="O25" s="3355">
        <v>66.39</v>
      </c>
      <c r="P25" s="3355" t="s">
        <v>3297</v>
      </c>
      <c r="Q25" s="3355" t="s">
        <v>3298</v>
      </c>
    </row>
    <row r="26" spans="13:20">
      <c r="M26" s="3830"/>
      <c r="N26" s="3355">
        <v>101</v>
      </c>
      <c r="O26" s="3355">
        <v>306.67</v>
      </c>
      <c r="P26" s="3355" t="s">
        <v>3297</v>
      </c>
      <c r="Q26" s="3355" t="s">
        <v>3299</v>
      </c>
    </row>
    <row r="27" spans="13:20">
      <c r="M27" s="3830"/>
      <c r="N27" s="3355">
        <v>102</v>
      </c>
      <c r="O27" s="3355">
        <v>539.1</v>
      </c>
      <c r="P27" s="3355" t="s">
        <v>3297</v>
      </c>
      <c r="Q27" s="3355" t="s">
        <v>3299</v>
      </c>
    </row>
    <row r="28" spans="13:20">
      <c r="M28" s="3830"/>
      <c r="N28" s="3355">
        <v>103</v>
      </c>
      <c r="O28" s="3355">
        <v>74.849999999999994</v>
      </c>
      <c r="P28" s="3355" t="s">
        <v>3297</v>
      </c>
      <c r="Q28" s="3355" t="s">
        <v>3299</v>
      </c>
    </row>
    <row r="29" spans="13:20">
      <c r="M29" s="3830"/>
      <c r="N29" s="3355">
        <v>104</v>
      </c>
      <c r="O29" s="3355">
        <v>74.849999999999994</v>
      </c>
      <c r="P29" s="3355" t="s">
        <v>3297</v>
      </c>
      <c r="Q29" s="3355" t="s">
        <v>3299</v>
      </c>
    </row>
    <row r="30" spans="13:20">
      <c r="M30" s="3830"/>
      <c r="N30" s="3355">
        <v>105</v>
      </c>
      <c r="O30" s="3355">
        <v>539.1</v>
      </c>
      <c r="P30" s="3355" t="s">
        <v>3297</v>
      </c>
      <c r="Q30" s="3355" t="s">
        <v>3299</v>
      </c>
    </row>
    <row r="31" spans="13:20">
      <c r="M31" s="3830"/>
      <c r="N31" s="3355">
        <v>106</v>
      </c>
      <c r="O31" s="3355">
        <v>306.67</v>
      </c>
      <c r="P31" s="3355" t="s">
        <v>3297</v>
      </c>
      <c r="Q31" s="3355" t="s">
        <v>3299</v>
      </c>
    </row>
    <row r="32" spans="13:20">
      <c r="M32" s="3830"/>
      <c r="N32" s="3355">
        <v>203</v>
      </c>
      <c r="O32" s="3355">
        <v>73.319999999999993</v>
      </c>
      <c r="P32" s="3355" t="s">
        <v>3297</v>
      </c>
      <c r="Q32" s="3355" t="s">
        <v>3300</v>
      </c>
    </row>
    <row r="33" spans="13:17">
      <c r="M33" s="3830"/>
      <c r="N33" s="3355">
        <v>204</v>
      </c>
      <c r="O33" s="3355">
        <v>73.319999999999993</v>
      </c>
      <c r="P33" s="3355" t="s">
        <v>3297</v>
      </c>
      <c r="Q33" s="3355" t="s">
        <v>3300</v>
      </c>
    </row>
    <row r="34" spans="13:17">
      <c r="M34" s="3830"/>
      <c r="N34" s="3357" t="s">
        <v>3301</v>
      </c>
      <c r="O34" s="3357">
        <f>SUM(O24:O33)</f>
        <v>2120.66</v>
      </c>
      <c r="P34" s="3357" t="s">
        <v>3295</v>
      </c>
      <c r="Q34" s="3357" t="s">
        <v>3295</v>
      </c>
    </row>
    <row r="35" spans="13:17">
      <c r="M35" s="3830" t="s">
        <v>3302</v>
      </c>
      <c r="N35" s="3355">
        <v>-103</v>
      </c>
      <c r="O35" s="3355">
        <v>70.569999999999993</v>
      </c>
      <c r="P35" s="3355" t="s">
        <v>3297</v>
      </c>
      <c r="Q35" s="3355" t="s">
        <v>3298</v>
      </c>
    </row>
    <row r="36" spans="13:17">
      <c r="M36" s="3830"/>
      <c r="N36" s="3355">
        <v>-104</v>
      </c>
      <c r="O36" s="3355">
        <v>70.569999999999993</v>
      </c>
      <c r="P36" s="3355" t="s">
        <v>3297</v>
      </c>
      <c r="Q36" s="3355" t="s">
        <v>3298</v>
      </c>
    </row>
    <row r="37" spans="13:17">
      <c r="M37" s="3830"/>
      <c r="N37" s="3355">
        <v>101</v>
      </c>
      <c r="O37" s="3355">
        <v>362.03</v>
      </c>
      <c r="P37" s="3355" t="s">
        <v>3297</v>
      </c>
      <c r="Q37" s="3355" t="s">
        <v>3299</v>
      </c>
    </row>
    <row r="38" spans="13:17">
      <c r="M38" s="3830"/>
      <c r="N38" s="3355">
        <v>102</v>
      </c>
      <c r="O38" s="3355">
        <v>744.31</v>
      </c>
      <c r="P38" s="3355" t="s">
        <v>3297</v>
      </c>
      <c r="Q38" s="3355" t="s">
        <v>3299</v>
      </c>
    </row>
    <row r="39" spans="13:17">
      <c r="M39" s="3830"/>
      <c r="N39" s="3355">
        <v>103</v>
      </c>
      <c r="O39" s="3355">
        <v>80.430000000000007</v>
      </c>
      <c r="P39" s="3355" t="s">
        <v>3297</v>
      </c>
      <c r="Q39" s="3355" t="s">
        <v>3299</v>
      </c>
    </row>
    <row r="40" spans="13:17">
      <c r="M40" s="3830"/>
      <c r="N40" s="3355">
        <v>104</v>
      </c>
      <c r="O40" s="3355">
        <v>80.430000000000007</v>
      </c>
      <c r="P40" s="3355" t="s">
        <v>3297</v>
      </c>
      <c r="Q40" s="3355" t="s">
        <v>3299</v>
      </c>
    </row>
    <row r="41" spans="13:17">
      <c r="M41" s="3830"/>
      <c r="N41" s="3355">
        <v>105</v>
      </c>
      <c r="O41" s="3355">
        <v>655.83</v>
      </c>
      <c r="P41" s="3355" t="s">
        <v>3297</v>
      </c>
      <c r="Q41" s="3355" t="s">
        <v>3299</v>
      </c>
    </row>
    <row r="42" spans="13:17">
      <c r="M42" s="3830"/>
      <c r="N42" s="3355">
        <v>106</v>
      </c>
      <c r="O42" s="3355">
        <v>359.94</v>
      </c>
      <c r="P42" s="3355" t="s">
        <v>3297</v>
      </c>
      <c r="Q42" s="3355" t="s">
        <v>3299</v>
      </c>
    </row>
    <row r="43" spans="13:17">
      <c r="M43" s="3830"/>
      <c r="N43" s="3355">
        <v>203</v>
      </c>
      <c r="O43" s="3355">
        <v>77.95</v>
      </c>
      <c r="P43" s="3355" t="s">
        <v>3297</v>
      </c>
      <c r="Q43" s="3355" t="s">
        <v>3300</v>
      </c>
    </row>
    <row r="44" spans="13:17">
      <c r="M44" s="3830"/>
      <c r="N44" s="3355">
        <v>204</v>
      </c>
      <c r="O44" s="3355">
        <v>80.430000000000007</v>
      </c>
      <c r="P44" s="3355" t="s">
        <v>3297</v>
      </c>
      <c r="Q44" s="3355" t="s">
        <v>3300</v>
      </c>
    </row>
    <row r="45" spans="13:17">
      <c r="M45" s="3830"/>
      <c r="N45" s="3357" t="s">
        <v>3301</v>
      </c>
      <c r="O45" s="3357">
        <f>SUM(O35:O44)</f>
        <v>2582.4899999999998</v>
      </c>
      <c r="P45" s="3357" t="s">
        <v>3295</v>
      </c>
      <c r="Q45" s="3357" t="s">
        <v>3295</v>
      </c>
    </row>
    <row r="46" spans="13:17">
      <c r="M46" s="3823" t="s">
        <v>3303</v>
      </c>
      <c r="N46" s="3824"/>
      <c r="O46" s="3358">
        <f>O45+O34+O23+O12</f>
        <v>9401.5499999999993</v>
      </c>
      <c r="P46" s="3358" t="s">
        <v>3288</v>
      </c>
      <c r="Q46" s="3358" t="s">
        <v>3288</v>
      </c>
    </row>
  </sheetData>
  <mergeCells count="12">
    <mergeCell ref="M46:N46"/>
    <mergeCell ref="S7:V7"/>
    <mergeCell ref="S11:V11"/>
    <mergeCell ref="A1:I1"/>
    <mergeCell ref="M2:M12"/>
    <mergeCell ref="M13:M23"/>
    <mergeCell ref="M24:M34"/>
    <mergeCell ref="M35:M45"/>
    <mergeCell ref="A6:B6"/>
    <mergeCell ref="G6:H6"/>
    <mergeCell ref="G7:H7"/>
    <mergeCell ref="E6:F6"/>
  </mergeCells>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H3" sqref="H3"/>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28" t="s">
        <v>3361</v>
      </c>
      <c r="B1" s="3829"/>
      <c r="C1" s="3829"/>
      <c r="D1" s="3829"/>
      <c r="E1" s="3829"/>
      <c r="F1" s="3829"/>
      <c r="G1" s="3829"/>
      <c r="H1" s="3829"/>
    </row>
    <row r="2" spans="1:12">
      <c r="A2" s="3361" t="s">
        <v>3356</v>
      </c>
      <c r="B2" s="3361" t="s">
        <v>3348</v>
      </c>
      <c r="C2" s="3361" t="s">
        <v>3349</v>
      </c>
      <c r="D2" s="3361" t="s">
        <v>3353</v>
      </c>
      <c r="E2" s="3361" t="s">
        <v>3352</v>
      </c>
      <c r="F2" s="3361" t="s">
        <v>3350</v>
      </c>
      <c r="G2" s="3361" t="s">
        <v>3362</v>
      </c>
      <c r="H2" s="3361" t="s">
        <v>3354</v>
      </c>
      <c r="J2" s="3443" t="s">
        <v>3393</v>
      </c>
      <c r="K2" s="3443" t="s">
        <v>3395</v>
      </c>
      <c r="L2" s="3443" t="s">
        <v>3394</v>
      </c>
    </row>
    <row r="3" spans="1:12">
      <c r="A3" s="3361" t="s">
        <v>3357</v>
      </c>
      <c r="B3" s="3420" t="s">
        <v>3351</v>
      </c>
      <c r="C3" s="3375">
        <f>楼层修正!O3+楼层修正!O7+楼层修正!O9+楼层修正!O11</f>
        <v>590.88000000000011</v>
      </c>
      <c r="D3" s="3421">
        <v>43070</v>
      </c>
      <c r="E3" s="3421">
        <v>44895</v>
      </c>
      <c r="F3" s="3375">
        <v>5.5</v>
      </c>
      <c r="G3" s="3375">
        <v>5705581.5999999996</v>
      </c>
      <c r="H3" s="3361" t="s">
        <v>3355</v>
      </c>
      <c r="I3">
        <f>ROUND(G3/C3/L3/365,2)</f>
        <v>5.56</v>
      </c>
      <c r="J3" s="3421">
        <v>43155</v>
      </c>
      <c r="K3" s="3421">
        <f>E3</f>
        <v>44895</v>
      </c>
      <c r="L3" s="3440">
        <v>4.76</v>
      </c>
    </row>
    <row r="4" spans="1:12">
      <c r="A4" s="3361" t="s">
        <v>3309</v>
      </c>
      <c r="B4" s="3420" t="s">
        <v>3358</v>
      </c>
      <c r="C4" s="3375">
        <f>楼层修正!O14+楼层修正!O18+楼层修正!O19+楼层修正!O20+楼层修正!O22</f>
        <v>1059.24</v>
      </c>
      <c r="D4" s="3421">
        <v>42979</v>
      </c>
      <c r="E4" s="3421">
        <v>44804</v>
      </c>
      <c r="F4" s="3375">
        <f>ROUND((6.58*楼层修正!O19+6.55*(楼层修正!O14+楼层修正!O18+楼层修正!O20+楼层修正!O22))/楼层修正!S20,2)</f>
        <v>6.57</v>
      </c>
      <c r="G4" s="3441">
        <f>ROUND(4/28*211522.75+634568.24*2+2326750.21+2538272.96+2792100.24+3071310.28+3071310.28,2)</f>
        <v>15099097.99</v>
      </c>
      <c r="H4" s="3361" t="s">
        <v>3355</v>
      </c>
      <c r="I4">
        <f>ROUND(G4/C4/L4/365,2)</f>
        <v>8.5299999999999994</v>
      </c>
      <c r="J4" s="3421">
        <v>43155</v>
      </c>
      <c r="K4" s="3421">
        <f>E4</f>
        <v>44804</v>
      </c>
      <c r="L4" s="3440">
        <v>4.58</v>
      </c>
    </row>
    <row r="5" spans="1:12">
      <c r="A5" s="3361" t="s">
        <v>3309</v>
      </c>
      <c r="B5" s="3420" t="s">
        <v>3359</v>
      </c>
      <c r="C5" s="3375">
        <f>楼层修正!O16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40">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42">
        <v>43189</v>
      </c>
    </row>
    <row r="45" spans="2:10">
      <c r="G45" s="3442">
        <v>42979</v>
      </c>
      <c r="H45" s="3442">
        <v>43008</v>
      </c>
      <c r="I45">
        <v>1</v>
      </c>
      <c r="J45" s="3444"/>
    </row>
    <row r="46" spans="2:10">
      <c r="G46" s="3442">
        <v>43009</v>
      </c>
      <c r="H46" s="3442">
        <v>43039</v>
      </c>
      <c r="I46">
        <v>2</v>
      </c>
      <c r="J46" s="3444"/>
    </row>
    <row r="47" spans="2:10">
      <c r="G47" s="3442">
        <v>43040</v>
      </c>
      <c r="H47" s="3442">
        <v>43069</v>
      </c>
      <c r="I47">
        <v>3</v>
      </c>
      <c r="J47" s="3444"/>
    </row>
    <row r="48" spans="2:10">
      <c r="G48" s="3442">
        <v>43070</v>
      </c>
      <c r="H48" s="3442">
        <v>43100</v>
      </c>
      <c r="I48">
        <v>4</v>
      </c>
      <c r="J48" s="3444"/>
    </row>
    <row r="49" spans="7:10">
      <c r="G49" s="3442">
        <v>43101</v>
      </c>
      <c r="H49" s="3442">
        <v>43131</v>
      </c>
      <c r="I49">
        <v>5</v>
      </c>
      <c r="J49" s="3444"/>
    </row>
    <row r="50" spans="7:10">
      <c r="G50" s="3445">
        <v>43132</v>
      </c>
      <c r="H50" s="3445">
        <v>43159</v>
      </c>
      <c r="I50" s="3444">
        <v>6</v>
      </c>
      <c r="J50" s="3444">
        <v>211522.75</v>
      </c>
    </row>
    <row r="51" spans="7:10">
      <c r="G51" s="3442">
        <v>43160</v>
      </c>
      <c r="H51" s="3442">
        <v>43190</v>
      </c>
      <c r="I51">
        <v>7</v>
      </c>
      <c r="J51">
        <v>211522.75</v>
      </c>
    </row>
    <row r="52" spans="7:10">
      <c r="G52" s="3442">
        <v>43191</v>
      </c>
      <c r="H52" s="3442">
        <v>43220</v>
      </c>
      <c r="I52">
        <v>8</v>
      </c>
      <c r="J52">
        <v>211522.75</v>
      </c>
    </row>
    <row r="53" spans="7:10">
      <c r="G53" s="3442">
        <v>43221</v>
      </c>
      <c r="H53" s="3442">
        <v>43251</v>
      </c>
      <c r="I53">
        <v>9</v>
      </c>
      <c r="J53">
        <v>211522.75</v>
      </c>
    </row>
    <row r="54" spans="7:10">
      <c r="G54" s="3442">
        <v>43252</v>
      </c>
      <c r="H54" s="3442">
        <v>43281</v>
      </c>
      <c r="I54">
        <v>10</v>
      </c>
      <c r="J54">
        <v>211522.75</v>
      </c>
    </row>
    <row r="55" spans="7:10">
      <c r="G55" s="3442">
        <v>43282</v>
      </c>
      <c r="H55" s="3442">
        <v>43312</v>
      </c>
      <c r="I55">
        <v>11</v>
      </c>
      <c r="J55">
        <v>211522.75</v>
      </c>
    </row>
    <row r="56" spans="7:10">
      <c r="G56" s="3442">
        <v>43313</v>
      </c>
      <c r="H56" s="3442">
        <v>43343</v>
      </c>
      <c r="I56">
        <v>12</v>
      </c>
      <c r="J56">
        <v>211522.75</v>
      </c>
    </row>
    <row r="57" spans="7:10">
      <c r="G57" s="3442">
        <v>43344</v>
      </c>
      <c r="H57" s="3442">
        <v>43373</v>
      </c>
      <c r="I57">
        <v>13</v>
      </c>
      <c r="J57">
        <f>J56*2</f>
        <v>423045.5</v>
      </c>
    </row>
    <row r="58" spans="7:10">
      <c r="G58" s="3442">
        <v>43374</v>
      </c>
      <c r="H58" s="3442">
        <v>43404</v>
      </c>
      <c r="I58">
        <v>14</v>
      </c>
    </row>
    <row r="59" spans="7:10">
      <c r="G59" s="3442">
        <v>43405</v>
      </c>
      <c r="H59" s="3442">
        <v>43434</v>
      </c>
      <c r="I59">
        <v>15</v>
      </c>
    </row>
    <row r="60" spans="7:10">
      <c r="G60" s="3442">
        <v>43435</v>
      </c>
      <c r="H60" s="3442">
        <v>43465</v>
      </c>
      <c r="I60">
        <v>16</v>
      </c>
    </row>
    <row r="61" spans="7:10">
      <c r="G61" s="3442">
        <v>43466</v>
      </c>
      <c r="H61" s="3442">
        <v>43496</v>
      </c>
      <c r="I61">
        <v>17</v>
      </c>
    </row>
    <row r="62" spans="7:10">
      <c r="G62" s="3442">
        <v>43497</v>
      </c>
      <c r="H62" s="3442">
        <v>43524</v>
      </c>
      <c r="I62">
        <v>18</v>
      </c>
    </row>
    <row r="63" spans="7:10">
      <c r="G63" s="3442">
        <v>43525</v>
      </c>
      <c r="H63" s="3442">
        <v>43555</v>
      </c>
      <c r="I63">
        <v>19</v>
      </c>
    </row>
    <row r="64" spans="7:10">
      <c r="G64" s="3442">
        <v>43556</v>
      </c>
      <c r="H64" s="3442">
        <v>43585</v>
      </c>
      <c r="I64">
        <v>20</v>
      </c>
    </row>
    <row r="65" spans="7:9">
      <c r="G65" s="3442">
        <v>43586</v>
      </c>
      <c r="H65" s="3442">
        <v>43616</v>
      </c>
      <c r="I65">
        <v>21</v>
      </c>
    </row>
    <row r="66" spans="7:9">
      <c r="G66" s="3442">
        <v>43617</v>
      </c>
      <c r="H66" s="3442">
        <v>43646</v>
      </c>
      <c r="I66">
        <v>22</v>
      </c>
    </row>
    <row r="67" spans="7:9">
      <c r="G67" s="3442">
        <v>43647</v>
      </c>
      <c r="H67" s="3442">
        <v>43677</v>
      </c>
      <c r="I67">
        <v>23</v>
      </c>
    </row>
    <row r="68" spans="7:9">
      <c r="G68" s="3442">
        <v>43678</v>
      </c>
      <c r="H68" s="3442">
        <v>43708</v>
      </c>
      <c r="I68">
        <v>24</v>
      </c>
    </row>
    <row r="69" spans="7:9">
      <c r="G69" s="3442">
        <v>43709</v>
      </c>
      <c r="H69" s="3442">
        <v>43738</v>
      </c>
      <c r="I69">
        <v>25</v>
      </c>
    </row>
    <row r="70" spans="7:9">
      <c r="G70" s="3442">
        <v>43739</v>
      </c>
      <c r="H70" s="3442">
        <v>43769</v>
      </c>
      <c r="I70">
        <v>26</v>
      </c>
    </row>
    <row r="71" spans="7:9">
      <c r="G71" s="3442">
        <v>43770</v>
      </c>
      <c r="H71" s="3442">
        <v>43799</v>
      </c>
      <c r="I71">
        <v>27</v>
      </c>
    </row>
    <row r="72" spans="7:9">
      <c r="G72" s="3442">
        <v>43800</v>
      </c>
      <c r="H72" s="3442">
        <v>43830</v>
      </c>
      <c r="I72">
        <v>28</v>
      </c>
    </row>
    <row r="73" spans="7:9">
      <c r="G73" s="3442">
        <v>43831</v>
      </c>
      <c r="H73" s="3442">
        <v>43861</v>
      </c>
      <c r="I73">
        <v>29</v>
      </c>
    </row>
    <row r="74" spans="7:9">
      <c r="G74" s="3442">
        <v>43862</v>
      </c>
      <c r="H74" s="3442">
        <v>43890</v>
      </c>
      <c r="I74">
        <v>30</v>
      </c>
    </row>
    <row r="75" spans="7:9">
      <c r="G75" s="3442">
        <v>43891</v>
      </c>
      <c r="H75" s="3442">
        <v>43921</v>
      </c>
      <c r="I75">
        <v>31</v>
      </c>
    </row>
    <row r="76" spans="7:9">
      <c r="G76" s="3442">
        <v>43922</v>
      </c>
      <c r="H76" s="3442">
        <v>43951</v>
      </c>
      <c r="I76">
        <v>32</v>
      </c>
    </row>
    <row r="77" spans="7:9">
      <c r="G77" s="3442">
        <v>43952</v>
      </c>
      <c r="H77" s="3442">
        <v>43982</v>
      </c>
      <c r="I77">
        <v>33</v>
      </c>
    </row>
    <row r="78" spans="7:9">
      <c r="G78" s="3442">
        <v>43983</v>
      </c>
      <c r="H78" s="3442">
        <v>44012</v>
      </c>
      <c r="I78">
        <v>34</v>
      </c>
    </row>
    <row r="79" spans="7:9">
      <c r="G79" s="3442">
        <v>44013</v>
      </c>
      <c r="H79" s="3442">
        <v>44043</v>
      </c>
      <c r="I79">
        <v>35</v>
      </c>
    </row>
    <row r="80" spans="7:9">
      <c r="G80" s="3442">
        <v>44044</v>
      </c>
      <c r="H80" s="3442">
        <v>44074</v>
      </c>
      <c r="I80">
        <v>36</v>
      </c>
    </row>
    <row r="81" spans="7:9">
      <c r="G81" s="3442">
        <v>44075</v>
      </c>
      <c r="H81" s="3442">
        <v>44104</v>
      </c>
      <c r="I81">
        <v>37</v>
      </c>
    </row>
    <row r="82" spans="7:9">
      <c r="G82" s="3442">
        <v>44105</v>
      </c>
      <c r="H82" s="3442">
        <v>44135</v>
      </c>
      <c r="I82">
        <v>38</v>
      </c>
    </row>
    <row r="83" spans="7:9">
      <c r="G83" s="3442">
        <v>44136</v>
      </c>
      <c r="H83" s="3442">
        <v>44165</v>
      </c>
      <c r="I83">
        <v>39</v>
      </c>
    </row>
    <row r="84" spans="7:9">
      <c r="G84" s="3442">
        <v>44166</v>
      </c>
      <c r="H84" s="3442">
        <v>44196</v>
      </c>
      <c r="I84">
        <v>40</v>
      </c>
    </row>
    <row r="85" spans="7:9">
      <c r="G85" s="3442">
        <v>44197</v>
      </c>
      <c r="H85" s="3442">
        <v>44227</v>
      </c>
      <c r="I85">
        <v>41</v>
      </c>
    </row>
    <row r="86" spans="7:9">
      <c r="G86" s="3442">
        <v>44228</v>
      </c>
      <c r="H86" s="3442">
        <v>44255</v>
      </c>
      <c r="I86">
        <v>42</v>
      </c>
    </row>
    <row r="87" spans="7:9">
      <c r="G87" s="3442">
        <v>44256</v>
      </c>
      <c r="H87" s="3442">
        <v>44286</v>
      </c>
      <c r="I87">
        <v>43</v>
      </c>
    </row>
    <row r="88" spans="7:9">
      <c r="G88" s="3442">
        <v>44287</v>
      </c>
      <c r="H88" s="3442">
        <v>44316</v>
      </c>
      <c r="I88">
        <v>44</v>
      </c>
    </row>
    <row r="89" spans="7:9">
      <c r="G89" s="3442">
        <v>44317</v>
      </c>
      <c r="H89" s="3442">
        <v>44347</v>
      </c>
      <c r="I89">
        <v>45</v>
      </c>
    </row>
    <row r="90" spans="7:9">
      <c r="G90" s="3442">
        <v>44348</v>
      </c>
      <c r="H90" s="3442">
        <v>44377</v>
      </c>
      <c r="I90">
        <v>46</v>
      </c>
    </row>
    <row r="91" spans="7:9">
      <c r="G91" s="3442">
        <v>44378</v>
      </c>
      <c r="H91" s="3442">
        <v>44408</v>
      </c>
      <c r="I91">
        <v>47</v>
      </c>
    </row>
    <row r="92" spans="7:9">
      <c r="G92" s="3442">
        <v>44409</v>
      </c>
      <c r="H92" s="3442">
        <v>44439</v>
      </c>
      <c r="I92">
        <v>48</v>
      </c>
    </row>
    <row r="93" spans="7:9">
      <c r="G93" s="3442">
        <v>44440</v>
      </c>
      <c r="H93" s="3442">
        <v>44469</v>
      </c>
      <c r="I93">
        <v>49</v>
      </c>
    </row>
    <row r="94" spans="7:9">
      <c r="G94" s="3442">
        <v>44470</v>
      </c>
      <c r="H94" s="3442">
        <v>44500</v>
      </c>
      <c r="I94">
        <v>50</v>
      </c>
    </row>
    <row r="95" spans="7:9">
      <c r="G95" s="3442">
        <v>44501</v>
      </c>
      <c r="H95" s="3442">
        <v>44530</v>
      </c>
      <c r="I95">
        <v>51</v>
      </c>
    </row>
    <row r="96" spans="7:9">
      <c r="G96" s="3442">
        <v>44531</v>
      </c>
      <c r="H96" s="3442">
        <v>44561</v>
      </c>
      <c r="I96">
        <v>52</v>
      </c>
    </row>
    <row r="97" spans="7:9">
      <c r="G97" s="3442">
        <v>44562</v>
      </c>
      <c r="H97" s="3442">
        <v>44592</v>
      </c>
      <c r="I97">
        <v>53</v>
      </c>
    </row>
    <row r="98" spans="7:9">
      <c r="G98" s="3442">
        <v>44593</v>
      </c>
      <c r="H98" s="3442">
        <v>44620</v>
      </c>
      <c r="I98">
        <v>54</v>
      </c>
    </row>
    <row r="99" spans="7:9">
      <c r="G99" s="3442">
        <v>44621</v>
      </c>
      <c r="H99" s="3442">
        <v>44651</v>
      </c>
      <c r="I99">
        <v>55</v>
      </c>
    </row>
    <row r="100" spans="7:9">
      <c r="G100" s="3442">
        <v>44652</v>
      </c>
      <c r="H100" s="3442">
        <v>44681</v>
      </c>
      <c r="I100">
        <v>56</v>
      </c>
    </row>
    <row r="101" spans="7:9">
      <c r="G101" s="3442">
        <v>44682</v>
      </c>
      <c r="H101" s="3442">
        <v>44712</v>
      </c>
      <c r="I101">
        <v>57</v>
      </c>
    </row>
    <row r="102" spans="7:9">
      <c r="G102" s="3442">
        <v>44713</v>
      </c>
      <c r="H102" s="3442">
        <v>44742</v>
      </c>
      <c r="I102">
        <v>58</v>
      </c>
    </row>
    <row r="103" spans="7:9">
      <c r="G103" s="3442">
        <v>44743</v>
      </c>
      <c r="H103" s="3442">
        <v>44773</v>
      </c>
      <c r="I103">
        <v>59</v>
      </c>
    </row>
    <row r="104" spans="7:9">
      <c r="G104" s="3442">
        <v>44774</v>
      </c>
      <c r="H104" s="3442">
        <v>44804</v>
      </c>
      <c r="I104">
        <v>60</v>
      </c>
    </row>
    <row r="105" spans="7:9">
      <c r="G105" s="3442">
        <v>44805</v>
      </c>
      <c r="H105" s="3442">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3" sqref="B3"/>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37" t="s">
        <v>3335</v>
      </c>
      <c r="B8" s="3838"/>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68" t="s">
        <v>1661</v>
      </c>
      <c r="B1" s="3468"/>
      <c r="C1" s="3468"/>
      <c r="D1" s="3468"/>
    </row>
    <row r="2" spans="1:4" ht="18">
      <c r="A2" s="3469" t="s">
        <v>1645</v>
      </c>
      <c r="B2" s="3469"/>
      <c r="C2" s="3469"/>
      <c r="D2" s="3469"/>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469" t="s">
        <v>1651</v>
      </c>
      <c r="B6" s="3469"/>
      <c r="C6" s="3469"/>
      <c r="D6" s="3469"/>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470" t="s">
        <v>1654</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71" t="str">
        <f>IF(项目基本情况!B8="抵押","4.本次评估估价师所知悉的法定优先受偿款情况说明如下：","——")</f>
        <v>4.本次评估估价师所知悉的法定优先受偿款情况说明如下：</v>
      </c>
      <c r="B14" s="3472"/>
      <c r="C14" s="3472"/>
      <c r="D14" s="3472"/>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4" t="s">
        <v>1655</v>
      </c>
      <c r="B16" s="3474"/>
      <c r="C16" s="3474"/>
      <c r="D16" s="3474"/>
    </row>
    <row r="17" spans="1:4" ht="144" customHeight="1">
      <c r="A17" s="3474" t="s">
        <v>1656</v>
      </c>
      <c r="B17" s="3474"/>
      <c r="C17" s="3474"/>
      <c r="D17" s="3474"/>
    </row>
    <row r="18" spans="1:4" ht="15.75" customHeight="1">
      <c r="A18" s="3471" t="str">
        <f>IF(项目基本情况!B8="抵押",结果表住宅!K120,"——")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1657</v>
      </c>
      <c r="B22" s="3476"/>
      <c r="C22" s="3476"/>
      <c r="D22" s="3476"/>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73">
        <v>42551</v>
      </c>
      <c r="D31" s="34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482" t="s">
        <v>1668</v>
      </c>
      <c r="B15" s="3477" t="s">
        <v>136</v>
      </c>
      <c r="C15" s="3478"/>
    </row>
    <row r="16" spans="1:7" ht="13.5">
      <c r="A16" s="3483"/>
      <c r="B16" s="3477" t="s">
        <v>69</v>
      </c>
      <c r="C16" s="3478"/>
    </row>
    <row r="17" spans="1:3" ht="13.5">
      <c r="A17" s="3483"/>
      <c r="B17" s="3480" t="s">
        <v>1669</v>
      </c>
      <c r="C17" s="1996" t="s">
        <v>1668</v>
      </c>
    </row>
    <row r="18" spans="1:3" ht="13.5">
      <c r="A18" s="3483"/>
      <c r="B18" s="3480"/>
      <c r="C18" s="1996" t="s">
        <v>1670</v>
      </c>
    </row>
    <row r="19" spans="1:3" ht="13.5">
      <c r="A19" s="3483"/>
      <c r="B19" s="3480"/>
      <c r="C19" s="1996" t="s">
        <v>1671</v>
      </c>
    </row>
    <row r="20" spans="1:3" ht="13.5">
      <c r="A20" s="3484"/>
      <c r="B20" s="3479" t="s">
        <v>1672</v>
      </c>
      <c r="C20" s="3478"/>
    </row>
    <row r="21" spans="1:3" ht="13.5">
      <c r="A21" s="1997" t="s">
        <v>1673</v>
      </c>
      <c r="B21" s="1998"/>
      <c r="C21" s="1999"/>
    </row>
    <row r="22" spans="1:3" ht="13.5">
      <c r="A22" s="3481" t="s">
        <v>1674</v>
      </c>
      <c r="B22" s="3479" t="s">
        <v>1675</v>
      </c>
      <c r="C22" s="3478"/>
    </row>
    <row r="23" spans="1:3" ht="13.5">
      <c r="A23" s="3481"/>
      <c r="B23" s="3479" t="s">
        <v>1676</v>
      </c>
      <c r="C23" s="3478"/>
    </row>
    <row r="24" spans="1:3" ht="13.5">
      <c r="A24" s="3481"/>
      <c r="B24" s="3479" t="s">
        <v>1677</v>
      </c>
      <c r="C24" s="3478"/>
    </row>
    <row r="25" spans="1:3" ht="13.5">
      <c r="A25" s="3481"/>
      <c r="B25" s="3480" t="s">
        <v>1678</v>
      </c>
      <c r="C25" s="1996" t="s">
        <v>1679</v>
      </c>
    </row>
    <row r="26" spans="1:3" ht="13.5">
      <c r="A26" s="3481"/>
      <c r="B26" s="3480"/>
      <c r="C26" s="1996" t="s">
        <v>1680</v>
      </c>
    </row>
    <row r="27" spans="1:3" ht="13.5">
      <c r="A27" s="3481"/>
      <c r="B27" s="3480"/>
      <c r="C27" s="1996" t="s">
        <v>1681</v>
      </c>
    </row>
    <row r="28" spans="1:3" ht="13.5">
      <c r="A28" s="3481"/>
      <c r="B28" s="3480"/>
      <c r="C28" s="1996" t="s">
        <v>1682</v>
      </c>
    </row>
    <row r="29" spans="1:3" ht="13.5">
      <c r="A29" s="3481"/>
      <c r="B29" s="3480"/>
      <c r="C29" s="1996" t="s">
        <v>1683</v>
      </c>
    </row>
    <row r="30" spans="1:3" ht="13.5">
      <c r="A30" s="3481"/>
      <c r="B30" s="3480"/>
      <c r="C30" s="1996" t="s">
        <v>1684</v>
      </c>
    </row>
    <row r="31" spans="1:3" ht="13.5">
      <c r="A31" s="3481"/>
      <c r="B31" s="3480"/>
      <c r="C31" s="1996" t="s">
        <v>1685</v>
      </c>
    </row>
    <row r="32" spans="1:3" ht="13.5">
      <c r="A32" s="3481"/>
      <c r="B32" s="3480"/>
      <c r="C32" s="1996" t="s">
        <v>1686</v>
      </c>
    </row>
    <row r="33" spans="1:3" ht="13.5">
      <c r="A33" s="3481"/>
      <c r="B33" s="3480"/>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43160</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485" t="s">
        <v>845</v>
      </c>
      <c r="B25" s="3485"/>
      <c r="C25" s="3485"/>
      <c r="D25" s="3485"/>
      <c r="E25" s="3485"/>
      <c r="F25" s="3485"/>
      <c r="G25" s="3485"/>
    </row>
    <row r="26" spans="1:7" s="1021" customFormat="1" ht="24" customHeight="1">
      <c r="A26" s="3486" t="s">
        <v>846</v>
      </c>
      <c r="B26" s="3486"/>
      <c r="C26" s="3487"/>
      <c r="D26" s="3488" t="s">
        <v>847</v>
      </c>
      <c r="E26" s="3486"/>
      <c r="F26" s="3486"/>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结果表商业</vt:lpstr>
      <vt:lpstr>比较法-商业</vt:lpstr>
      <vt:lpstr>典型户型修正</vt:lpstr>
      <vt:lpstr>收益法已出租</vt:lpstr>
      <vt:lpstr>收益法 (未出租)</vt:lpstr>
      <vt:lpstr>比较法-商业 (租金)</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2018-03-01T01:32:33Z</dcterms:modified>
</cp:coreProperties>
</file>