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 name="Sheet2"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W24" i="1"/>
  <c r="W23" i="1"/>
  <c r="W22" i="1"/>
  <c r="AE21" i="1"/>
  <c r="AC21" i="1"/>
  <c r="V24" i="1"/>
  <c r="U6" i="1" s="1"/>
  <c r="V23" i="1"/>
  <c r="V22" i="1"/>
  <c r="G51" i="43"/>
  <c r="G52" i="43"/>
  <c r="G53" i="43"/>
  <c r="G54" i="43"/>
  <c r="G55" i="43"/>
  <c r="G56" i="43"/>
  <c r="G57" i="43"/>
  <c r="G58" i="43"/>
  <c r="G50" i="43"/>
  <c r="G44" i="43"/>
  <c r="U5" i="43"/>
  <c r="D33" i="43"/>
  <c r="J49" i="67"/>
  <c r="Y6" i="1"/>
  <c r="N6" i="1"/>
  <c r="F19" i="6"/>
  <c r="D3" i="4"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AD35" i="79"/>
  <c r="D60" i="78"/>
  <c r="C60" i="78"/>
  <c r="D53" i="78"/>
  <c r="D52" i="78"/>
  <c r="D51" i="78" s="1"/>
  <c r="B51" i="78"/>
  <c r="B56" i="78" s="1"/>
  <c r="B55" i="78" l="1"/>
  <c r="D55" i="78" s="1"/>
  <c r="C51" i="78"/>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W22" i="79"/>
  <c r="AK22" i="79" s="1"/>
  <c r="AH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4" i="79"/>
  <c r="T35" i="79"/>
  <c r="T33"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AH35" i="79"/>
  <c r="W35" i="79"/>
  <c r="AK35" i="79" s="1"/>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U33" i="33"/>
  <c r="U35" i="33"/>
  <c r="S40" i="33"/>
  <c r="W33" i="33"/>
  <c r="W39" i="33"/>
  <c r="H39" i="37"/>
  <c r="AB39" i="37" s="1"/>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c r="S38" i="33"/>
  <c r="E113" i="33"/>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c r="AA44" i="33"/>
  <c r="U46" i="33"/>
  <c r="J36" i="37"/>
  <c r="AC36" i="37" s="1"/>
  <c r="J10" i="36"/>
  <c r="AC10" i="36" s="1"/>
  <c r="AB26" i="33"/>
  <c r="AB30" i="21"/>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c r="BA552" i="3"/>
  <c r="BA548" i="3"/>
  <c r="BA546" i="3"/>
  <c r="BA544" i="3"/>
  <c r="AZ544" i="3" s="1"/>
  <c r="BA542" i="3"/>
  <c r="AZ542" i="3"/>
  <c r="BA540" i="3"/>
  <c r="BA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AZ535" i="3" s="1"/>
  <c r="BQ533" i="3"/>
  <c r="BL533" i="3"/>
  <c r="AZ533" i="3" s="1"/>
  <c r="BQ531" i="3"/>
  <c r="BL531" i="3" s="1"/>
  <c r="AZ531" i="3" s="1"/>
  <c r="BQ529" i="3"/>
  <c r="BL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AZ116" i="3" s="1"/>
  <c r="G117" i="3"/>
  <c r="BA119" i="3"/>
  <c r="BL120" i="3"/>
  <c r="G121" i="3"/>
  <c r="BA123" i="3"/>
  <c r="AZ123" i="3" s="1"/>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29" i="3"/>
  <c r="AZ233" i="3"/>
  <c r="AZ245" i="3"/>
  <c r="AZ265" i="3"/>
  <c r="BA379" i="3"/>
  <c r="AZ379" i="3" s="1"/>
  <c r="BL380" i="3"/>
  <c r="G381" i="3"/>
  <c r="BA383" i="3"/>
  <c r="AZ383" i="3" s="1"/>
  <c r="BL384" i="3"/>
  <c r="G385" i="3"/>
  <c r="BA387" i="3"/>
  <c r="BL388" i="3"/>
  <c r="G389" i="3"/>
  <c r="BA391" i="3"/>
  <c r="AZ391" i="3" s="1"/>
  <c r="BL392" i="3"/>
  <c r="G393" i="3"/>
  <c r="AZ28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BA15" i="3"/>
  <c r="BB5" i="3"/>
  <c r="BR5" i="3"/>
  <c r="AZ380" i="3"/>
  <c r="AZ392" i="3"/>
  <c r="G509" i="3"/>
  <c r="BL493" i="3"/>
  <c r="AZ493" i="3"/>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80" i="3"/>
  <c r="AZ133" i="3"/>
  <c r="F23" i="39"/>
  <c r="AA23" i="39" s="1"/>
  <c r="H27" i="36"/>
  <c r="U27" i="36" s="1"/>
  <c r="F27" i="36"/>
  <c r="AA27" i="36" s="1"/>
  <c r="H33" i="34"/>
  <c r="U33" i="34" s="1"/>
  <c r="F32" i="37"/>
  <c r="S32"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AZ437" i="3"/>
  <c r="BL14" i="3"/>
  <c r="U30" i="33"/>
  <c r="AC13" i="34"/>
  <c r="AA47" i="34"/>
  <c r="W28" i="37"/>
  <c r="S19" i="39"/>
  <c r="F12" i="33"/>
  <c r="H12" i="39"/>
  <c r="AB12" i="39" s="1"/>
  <c r="F39" i="40"/>
  <c r="BA14" i="3"/>
  <c r="AZ14" i="3" s="1"/>
  <c r="AZ157"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J63" i="37"/>
  <c r="K63" i="37" s="1"/>
  <c r="L63" i="37" s="1"/>
  <c r="M63" i="37" s="1"/>
  <c r="J11" i="37"/>
  <c r="AC11" i="37" s="1"/>
  <c r="H70" i="34"/>
  <c r="I70" i="34" s="1"/>
  <c r="J70" i="34" s="1"/>
  <c r="K70" i="34"/>
  <c r="L70" i="34" s="1"/>
  <c r="M70" i="34" s="1"/>
  <c r="J11" i="34"/>
  <c r="W11" i="34" s="1"/>
  <c r="W25" i="33"/>
  <c r="AA17" i="33"/>
  <c r="U23" i="21"/>
  <c r="AB23" i="21"/>
  <c r="AC23" i="21"/>
  <c r="W23" i="21"/>
  <c r="H109" i="9"/>
  <c r="H112" i="9"/>
  <c r="D21" i="53"/>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9" i="15"/>
  <c r="B8" i="76"/>
  <c r="B11" i="76"/>
  <c r="F42" i="67"/>
  <c r="J15" i="67"/>
  <c r="E2" i="68"/>
  <c r="M23" i="67"/>
  <c r="F4" i="73"/>
  <c r="F7" i="73"/>
  <c r="M29" i="67"/>
  <c r="M22" i="15"/>
  <c r="M9" i="15"/>
  <c r="E13" i="76"/>
  <c r="M23" i="15"/>
  <c r="B10" i="76"/>
  <c r="E11" i="76"/>
  <c r="M9" i="67"/>
  <c r="M6" i="67"/>
  <c r="F26" i="67"/>
  <c r="F42" i="15"/>
  <c r="B13" i="76"/>
  <c r="F6" i="15"/>
  <c r="M6" i="15"/>
  <c r="F38" i="67"/>
  <c r="B12" i="76"/>
  <c r="L48" i="15"/>
  <c r="E9" i="76"/>
  <c r="E10" i="76"/>
  <c r="F5" i="73"/>
  <c r="F16" i="15"/>
  <c r="B9" i="76"/>
  <c r="F6" i="67"/>
  <c r="M26" i="67"/>
  <c r="F36" i="15"/>
  <c r="E2" i="69"/>
  <c r="C76" i="15"/>
  <c r="L47" i="15"/>
  <c r="M29" i="15"/>
  <c r="F6" i="73"/>
  <c r="M24" i="15"/>
  <c r="B7" i="76"/>
  <c r="E12" i="76"/>
  <c r="F8" i="15"/>
  <c r="L47" i="67"/>
  <c r="M24" i="67"/>
  <c r="J15" i="15"/>
  <c r="F16" i="67"/>
  <c r="C76" i="67"/>
  <c r="F37" i="15"/>
  <c r="F9" i="67"/>
  <c r="M22" i="67"/>
  <c r="F40" i="67"/>
  <c r="F43" i="15"/>
  <c r="F36" i="67"/>
  <c r="M8" i="15"/>
  <c r="F26" i="15"/>
  <c r="F8" i="67"/>
  <c r="E7" i="76"/>
  <c r="M26" i="15"/>
  <c r="F37" i="67"/>
  <c r="M8" i="67"/>
  <c r="F13" i="15"/>
  <c r="M28" i="15"/>
  <c r="L48" i="67"/>
  <c r="F7" i="15"/>
  <c r="F3" i="73"/>
  <c r="F20" i="31"/>
  <c r="F38" i="15"/>
  <c r="F43" i="67"/>
  <c r="F13" i="67"/>
  <c r="F7" i="67"/>
  <c r="E8" i="76"/>
  <c r="AO13" i="1"/>
  <c r="M28" i="67"/>
  <c r="F40" i="15"/>
  <c r="D53" i="43" l="1"/>
  <c r="D58" i="43"/>
  <c r="F54" i="9"/>
  <c r="F32" i="15"/>
  <c r="F60" i="15" s="1"/>
  <c r="F52" i="9"/>
  <c r="D68" i="9"/>
  <c r="F30" i="69"/>
  <c r="F48" i="69" s="1"/>
  <c r="F31" i="12"/>
  <c r="F32" i="67"/>
  <c r="F60" i="67" s="1"/>
  <c r="F28" i="67"/>
  <c r="F28" i="15"/>
  <c r="M18" i="15"/>
  <c r="M18" i="67"/>
  <c r="F30" i="11"/>
  <c r="C48" i="11" s="1"/>
  <c r="C40" i="69"/>
  <c r="J1" i="73"/>
  <c r="AA32" i="37"/>
  <c r="AZ357" i="3"/>
  <c r="AZ519" i="3"/>
  <c r="AZ571" i="3"/>
  <c r="AZ579" i="3"/>
  <c r="AZ510" i="3"/>
  <c r="AZ546" i="3"/>
  <c r="S14" i="34"/>
  <c r="AA14" i="34"/>
  <c r="U19" i="33"/>
  <c r="AC27" i="33"/>
  <c r="AC23" i="37"/>
  <c r="W15" i="21"/>
  <c r="AZ529" i="3"/>
  <c r="AZ537" i="3"/>
  <c r="U12" i="39"/>
  <c r="AA27" i="40"/>
  <c r="AA34" i="33"/>
  <c r="AZ387" i="3"/>
  <c r="AZ374" i="3"/>
  <c r="AZ362" i="3"/>
  <c r="AZ338" i="3"/>
  <c r="AZ390" i="3"/>
  <c r="AZ371" i="3"/>
  <c r="AZ351" i="3"/>
  <c r="AZ336" i="3"/>
  <c r="AZ305" i="3"/>
  <c r="AZ140" i="3"/>
  <c r="AZ360" i="3"/>
  <c r="AZ511" i="3"/>
  <c r="AZ557" i="3"/>
  <c r="AZ513" i="3"/>
  <c r="AZ575" i="3"/>
  <c r="AZ552" i="3"/>
  <c r="AA14" i="33"/>
  <c r="AC11" i="35"/>
  <c r="AB36" i="33"/>
  <c r="AZ15" i="3"/>
  <c r="F29" i="6"/>
  <c r="AZ346" i="3"/>
  <c r="AZ304" i="3"/>
  <c r="AZ306" i="3"/>
  <c r="G585" i="3"/>
  <c r="BL587" i="3"/>
  <c r="AZ587" i="3" s="1"/>
  <c r="BL586" i="3"/>
  <c r="AZ586" i="3" s="1"/>
  <c r="J9" i="34"/>
  <c r="H12" i="34"/>
  <c r="J36" i="35"/>
  <c r="AC36" i="35" s="1"/>
  <c r="G574" i="3"/>
  <c r="BA401" i="3"/>
  <c r="BA403" i="3"/>
  <c r="BA404" i="3"/>
  <c r="AZ404" i="3" s="1"/>
  <c r="BA405" i="3"/>
  <c r="BL410" i="3"/>
  <c r="G412" i="3"/>
  <c r="G418" i="3"/>
  <c r="G437" i="3"/>
  <c r="BL438" i="3"/>
  <c r="BL439" i="3"/>
  <c r="BA441" i="3"/>
  <c r="AZ441" i="3" s="1"/>
  <c r="AZ444" i="3"/>
  <c r="BL445" i="3"/>
  <c r="BL446" i="3"/>
  <c r="BL449" i="3"/>
  <c r="BL450" i="3"/>
  <c r="BL452" i="3"/>
  <c r="G454" i="3"/>
  <c r="G455" i="3"/>
  <c r="BL456" i="3"/>
  <c r="AZ573" i="3"/>
  <c r="AZ583" i="3"/>
  <c r="AZ568" i="3"/>
  <c r="AZ576" i="3"/>
  <c r="C15" i="39"/>
  <c r="F26" i="33"/>
  <c r="G587" i="3"/>
  <c r="J12" i="35"/>
  <c r="H12" i="36"/>
  <c r="F25" i="37"/>
  <c r="BA551" i="3"/>
  <c r="AZ551" i="3" s="1"/>
  <c r="BA550" i="3"/>
  <c r="BL548" i="3"/>
  <c r="AZ548" i="3" s="1"/>
  <c r="G423" i="3"/>
  <c r="BL424" i="3"/>
  <c r="G427" i="3"/>
  <c r="BL428" i="3"/>
  <c r="BL429" i="3"/>
  <c r="BL432" i="3"/>
  <c r="BL435" i="3"/>
  <c r="BL436" i="3"/>
  <c r="BA439" i="3"/>
  <c r="BA440" i="3"/>
  <c r="AZ440" i="3" s="1"/>
  <c r="BA442" i="3"/>
  <c r="BA445" i="3"/>
  <c r="BA447" i="3"/>
  <c r="AZ447" i="3" s="1"/>
  <c r="BL454" i="3"/>
  <c r="BL459" i="3"/>
  <c r="G462" i="3"/>
  <c r="BL585" i="3"/>
  <c r="AZ585" i="3" s="1"/>
  <c r="B75" i="43"/>
  <c r="BL398" i="3"/>
  <c r="G402" i="3"/>
  <c r="BL403" i="3"/>
  <c r="G405" i="3"/>
  <c r="G406" i="3"/>
  <c r="BA408" i="3"/>
  <c r="AZ408" i="3" s="1"/>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AZ453" i="3" s="1"/>
  <c r="BA455" i="3"/>
  <c r="AZ455" i="3" s="1"/>
  <c r="BA469" i="3"/>
  <c r="AZ469" i="3" s="1"/>
  <c r="AZ217" i="3"/>
  <c r="AZ228" i="3"/>
  <c r="BL550" i="3"/>
  <c r="BL15"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BA426" i="3"/>
  <c r="BA427" i="3"/>
  <c r="AZ427" i="3" s="1"/>
  <c r="BA433" i="3"/>
  <c r="AZ433" i="3" s="1"/>
  <c r="BA435" i="3"/>
  <c r="BL442" i="3"/>
  <c r="BL444" i="3"/>
  <c r="BL448" i="3"/>
  <c r="AZ448" i="3" s="1"/>
  <c r="AZ454" i="3"/>
  <c r="AZ459"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L243" i="3"/>
  <c r="BA247" i="3"/>
  <c r="BL247" i="3"/>
  <c r="BA249" i="3"/>
  <c r="BL249" i="3"/>
  <c r="BA251" i="3"/>
  <c r="BL251" i="3"/>
  <c r="BL260" i="3"/>
  <c r="BL263" i="3"/>
  <c r="BL270" i="3"/>
  <c r="AZ270" i="3" s="1"/>
  <c r="BA272" i="3"/>
  <c r="AZ272" i="3" s="1"/>
  <c r="BL275" i="3"/>
  <c r="AZ275" i="3" s="1"/>
  <c r="BL285" i="3"/>
  <c r="BL287" i="3"/>
  <c r="BA290" i="3"/>
  <c r="BL300" i="3"/>
  <c r="BA126" i="3"/>
  <c r="AZ126" i="3" s="1"/>
  <c r="BL225" i="3"/>
  <c r="BL226"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BA297" i="3"/>
  <c r="BL297" i="3"/>
  <c r="BL301" i="3"/>
  <c r="AZ301" i="3" s="1"/>
  <c r="BL302" i="3"/>
  <c r="BA114" i="3"/>
  <c r="BL122" i="3"/>
  <c r="BL127" i="3"/>
  <c r="AZ127" i="3" s="1"/>
  <c r="BA134" i="3"/>
  <c r="BL457" i="3"/>
  <c r="AZ457" i="3" s="1"/>
  <c r="BL460" i="3"/>
  <c r="BL461" i="3"/>
  <c r="BL463" i="3"/>
  <c r="G465" i="3"/>
  <c r="BA471" i="3"/>
  <c r="AZ471" i="3" s="1"/>
  <c r="BL317" i="3"/>
  <c r="BA349" i="3"/>
  <c r="AZ349" i="3" s="1"/>
  <c r="BA353" i="3"/>
  <c r="BL353" i="3"/>
  <c r="BA358" i="3"/>
  <c r="AZ358" i="3" s="1"/>
  <c r="BL365" i="3"/>
  <c r="AZ365" i="3" s="1"/>
  <c r="BA368" i="3"/>
  <c r="BL368" i="3"/>
  <c r="BA374" i="3"/>
  <c r="BA388" i="3"/>
  <c r="AZ388" i="3" s="1"/>
  <c r="BA396" i="3"/>
  <c r="BA209" i="3"/>
  <c r="BL217" i="3"/>
  <c r="BA219" i="3"/>
  <c r="AZ219" i="3" s="1"/>
  <c r="BA221" i="3"/>
  <c r="BA223" i="3"/>
  <c r="AZ223" i="3" s="1"/>
  <c r="BL228" i="3"/>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BA296" i="3"/>
  <c r="G116" i="3"/>
  <c r="BA117" i="3"/>
  <c r="BA124" i="3"/>
  <c r="AZ124" i="3" s="1"/>
  <c r="G127" i="3"/>
  <c r="BA128" i="3"/>
  <c r="AZ128" i="3" s="1"/>
  <c r="BA460" i="3"/>
  <c r="BA461" i="3"/>
  <c r="AZ461" i="3" s="1"/>
  <c r="BL464" i="3"/>
  <c r="BL466" i="3"/>
  <c r="AZ466" i="3" s="1"/>
  <c r="G468" i="3"/>
  <c r="G469" i="3"/>
  <c r="BL476" i="3"/>
  <c r="AZ476" i="3" s="1"/>
  <c r="BL477" i="3"/>
  <c r="BL478" i="3"/>
  <c r="BL480" i="3"/>
  <c r="AZ480" i="3" s="1"/>
  <c r="BA483" i="3"/>
  <c r="BL483" i="3"/>
  <c r="AZ483" i="3" s="1"/>
  <c r="BA486" i="3"/>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BA237" i="3"/>
  <c r="AZ237" i="3" s="1"/>
  <c r="BL240" i="3"/>
  <c r="AZ240" i="3" s="1"/>
  <c r="BL255" i="3"/>
  <c r="G257" i="3"/>
  <c r="BL257" i="3"/>
  <c r="AZ257" i="3" s="1"/>
  <c r="AZ294" i="3"/>
  <c r="AZ302" i="3"/>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AZ64"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A51" i="3"/>
  <c r="G55" i="3"/>
  <c r="BL56" i="3"/>
  <c r="BA58" i="3"/>
  <c r="AZ58" i="3" s="1"/>
  <c r="BL59" i="3"/>
  <c r="AZ59" i="3" s="1"/>
  <c r="BL60" i="3"/>
  <c r="BA61" i="3"/>
  <c r="AZ61" i="3" s="1"/>
  <c r="D31" i="71"/>
  <c r="C32" i="71"/>
  <c r="C55" i="71"/>
  <c r="D54" i="71"/>
  <c r="N67" i="71"/>
  <c r="B66" i="71"/>
  <c r="F66" i="71"/>
  <c r="Q67" i="71"/>
  <c r="BA130" i="3"/>
  <c r="BL130" i="3"/>
  <c r="BA137" i="3"/>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G22" i="3"/>
  <c r="G24" i="3"/>
  <c r="G25" i="3"/>
  <c r="G27" i="3"/>
  <c r="BA27" i="3"/>
  <c r="G30" i="3"/>
  <c r="BL30" i="3"/>
  <c r="BL31" i="3"/>
  <c r="G35" i="3"/>
  <c r="G36" i="3"/>
  <c r="G37" i="3"/>
  <c r="G40" i="3"/>
  <c r="BL40" i="3"/>
  <c r="BL41" i="3"/>
  <c r="G45" i="3"/>
  <c r="BL45" i="3"/>
  <c r="BA48" i="3"/>
  <c r="BA49" i="3"/>
  <c r="AZ49" i="3" s="1"/>
  <c r="BL64" i="3"/>
  <c r="BL65" i="3"/>
  <c r="AZ65" i="3" s="1"/>
  <c r="BL66" i="3"/>
  <c r="BL72" i="3"/>
  <c r="AZ72" i="3" s="1"/>
  <c r="BL79" i="3"/>
  <c r="BL81" i="3"/>
  <c r="BA82" i="3"/>
  <c r="AZ82" i="3" s="1"/>
  <c r="BL83" i="3"/>
  <c r="BA89" i="3"/>
  <c r="G29" i="3"/>
  <c r="BL29" i="3"/>
  <c r="AZ29" i="3" s="1"/>
  <c r="BA37" i="3"/>
  <c r="G39" i="3"/>
  <c r="BL39" i="3"/>
  <c r="AZ39" i="3" s="1"/>
  <c r="BA45" i="3"/>
  <c r="BA46" i="3"/>
  <c r="BL49" i="3"/>
  <c r="G51" i="3"/>
  <c r="BA52" i="3"/>
  <c r="AZ52" i="3" s="1"/>
  <c r="BA53" i="3"/>
  <c r="AZ53" i="3" s="1"/>
  <c r="BA54" i="3"/>
  <c r="BL57" i="3"/>
  <c r="G62" i="3"/>
  <c r="BL62" i="3"/>
  <c r="AZ62" i="3" s="1"/>
  <c r="BL63" i="3"/>
  <c r="BA67" i="3"/>
  <c r="AZ67" i="3" s="1"/>
  <c r="BA68" i="3"/>
  <c r="BL70" i="3"/>
  <c r="AZ70" i="3" s="1"/>
  <c r="BL71" i="3"/>
  <c r="BA98" i="3"/>
  <c r="C44" i="71"/>
  <c r="D43" i="71"/>
  <c r="C52" i="71"/>
  <c r="D51" i="7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Y29" i="71"/>
  <c r="Z29" i="71" s="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0" i="3"/>
  <c r="AZ50" i="3" s="1"/>
  <c r="BL51" i="3"/>
  <c r="G53" i="3"/>
  <c r="BL53" i="3"/>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U25" i="40"/>
  <c r="S21" i="34"/>
  <c r="B68" i="43"/>
  <c r="B88" i="43"/>
  <c r="E23" i="71"/>
  <c r="E22" i="71" s="1"/>
  <c r="E21" i="71" s="1"/>
  <c r="E20" i="71" s="1"/>
  <c r="E19" i="71" s="1"/>
  <c r="E18" i="71" s="1"/>
  <c r="E17" i="71" s="1"/>
  <c r="E16" i="71" s="1"/>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Q18" i="1" s="1"/>
  <c r="E8" i="6"/>
  <c r="F27" i="6" s="1"/>
  <c r="E12" i="6"/>
  <c r="E57" i="40" s="1"/>
  <c r="E15" i="6"/>
  <c r="E64" i="39" s="1"/>
  <c r="E11" i="6"/>
  <c r="E60" i="39" s="1"/>
  <c r="E10" i="6"/>
  <c r="E13" i="6"/>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6" i="73"/>
  <c r="D4" i="73"/>
  <c r="C16" i="15"/>
  <c r="C16" i="67"/>
  <c r="D7" i="73"/>
  <c r="D3" i="73"/>
  <c r="D5" i="73"/>
  <c r="F27" i="69" l="1"/>
  <c r="C47" i="69" s="1"/>
  <c r="D45" i="69" s="1"/>
  <c r="N94" i="46"/>
  <c r="H16" i="1"/>
  <c r="N370" i="46"/>
  <c r="J26" i="43"/>
  <c r="F26" i="43"/>
  <c r="D26" i="43" s="1"/>
  <c r="C25" i="43" s="1"/>
  <c r="E26" i="43"/>
  <c r="H26" i="43"/>
  <c r="G16" i="1"/>
  <c r="F10" i="39" s="1"/>
  <c r="S10" i="39" s="1"/>
  <c r="G5" i="3"/>
  <c r="B3" i="3" s="1"/>
  <c r="I3" i="6" s="1"/>
  <c r="AZ66" i="3"/>
  <c r="C70" i="71"/>
  <c r="D70" i="71" s="1"/>
  <c r="D71" i="71"/>
  <c r="T52" i="71"/>
  <c r="D52" i="71"/>
  <c r="AZ130" i="3"/>
  <c r="AZ51" i="3"/>
  <c r="AZ41" i="3"/>
  <c r="AZ31" i="3"/>
  <c r="AZ122" i="3"/>
  <c r="AZ297" i="3"/>
  <c r="AZ241" i="3"/>
  <c r="AZ251" i="3"/>
  <c r="AZ247" i="3"/>
  <c r="AZ218" i="3"/>
  <c r="AZ421" i="3"/>
  <c r="AZ429" i="3"/>
  <c r="AZ405" i="3"/>
  <c r="T28" i="71"/>
  <c r="D28" i="71"/>
  <c r="U28" i="71" s="1"/>
  <c r="C27" i="71"/>
  <c r="D79" i="71"/>
  <c r="C78" i="71"/>
  <c r="D78" i="71" s="1"/>
  <c r="AA25" i="37"/>
  <c r="S25" i="37"/>
  <c r="S26" i="33"/>
  <c r="AA26" i="33"/>
  <c r="D83" i="71"/>
  <c r="C82" i="71"/>
  <c r="D82" i="71" s="1"/>
  <c r="O65" i="71"/>
  <c r="D66" i="71"/>
  <c r="O66" i="71"/>
  <c r="D44" i="71"/>
  <c r="T44" i="71"/>
  <c r="AZ45" i="3"/>
  <c r="AZ137" i="3"/>
  <c r="C56" i="71"/>
  <c r="D55" i="71"/>
  <c r="AZ27" i="3"/>
  <c r="AZ178" i="3"/>
  <c r="AZ118" i="3"/>
  <c r="AZ460" i="3"/>
  <c r="AZ263" i="3"/>
  <c r="AZ243" i="3"/>
  <c r="AZ368" i="3"/>
  <c r="AZ353" i="3"/>
  <c r="AZ244" i="3"/>
  <c r="AZ239" i="3"/>
  <c r="AZ249" i="3"/>
  <c r="AZ332" i="3"/>
  <c r="AZ435" i="3"/>
  <c r="AZ425" i="3"/>
  <c r="AB12" i="36"/>
  <c r="U12" i="36"/>
  <c r="AZ403" i="3"/>
  <c r="U12" i="34"/>
  <c r="AB12" i="34"/>
  <c r="C40" i="71"/>
  <c r="D39" i="71"/>
  <c r="C36" i="71"/>
  <c r="D35" i="71"/>
  <c r="AZ19" i="3"/>
  <c r="N65" i="71"/>
  <c r="N66" i="71"/>
  <c r="T32" i="71"/>
  <c r="D32" i="71"/>
  <c r="AZ150" i="3"/>
  <c r="AZ550" i="3"/>
  <c r="W12" i="35"/>
  <c r="AC12" i="35"/>
  <c r="AZ401" i="3"/>
  <c r="AC9" i="34"/>
  <c r="W9" i="34"/>
  <c r="J7" i="37"/>
  <c r="W7" i="37" s="1"/>
  <c r="K1" i="73"/>
  <c r="E510" i="3"/>
  <c r="R6" i="3"/>
  <c r="E258" i="3"/>
  <c r="E389" i="3"/>
  <c r="E310" i="3"/>
  <c r="E144" i="3"/>
  <c r="E332" i="3"/>
  <c r="E482" i="3"/>
  <c r="E308" i="3"/>
  <c r="E173" i="3"/>
  <c r="E420" i="3"/>
  <c r="E243" i="3"/>
  <c r="E83" i="3"/>
  <c r="E116" i="3"/>
  <c r="E419" i="3"/>
  <c r="E108" i="3"/>
  <c r="E38" i="3"/>
  <c r="E339" i="3"/>
  <c r="E218" i="3"/>
  <c r="E165" i="3"/>
  <c r="E222" i="3"/>
  <c r="E500" i="3"/>
  <c r="E297" i="3"/>
  <c r="E373" i="3"/>
  <c r="E167" i="3"/>
  <c r="E98" i="3"/>
  <c r="E532" i="3"/>
  <c r="E288" i="3"/>
  <c r="E397" i="3"/>
  <c r="E379" i="3"/>
  <c r="E272" i="3"/>
  <c r="E29" i="3"/>
  <c r="E574" i="3"/>
  <c r="E390" i="3"/>
  <c r="E418" i="3"/>
  <c r="E213" i="3"/>
  <c r="E254" i="3"/>
  <c r="AN6" i="3"/>
  <c r="E156" i="3"/>
  <c r="E434" i="3"/>
  <c r="E262" i="3"/>
  <c r="Q6" i="3"/>
  <c r="E481" i="3"/>
  <c r="E344" i="3"/>
  <c r="E55" i="3"/>
  <c r="E203" i="3"/>
  <c r="E274" i="3"/>
  <c r="I6" i="3"/>
  <c r="E252" i="3"/>
  <c r="E576" i="3"/>
  <c r="E443" i="3"/>
  <c r="E581" i="3"/>
  <c r="E404" i="3"/>
  <c r="E295" i="3"/>
  <c r="E334" i="3"/>
  <c r="E480" i="3"/>
  <c r="E282" i="3"/>
  <c r="E239" i="3"/>
  <c r="E569" i="3"/>
  <c r="E358" i="3"/>
  <c r="E551" i="3"/>
  <c r="E407" i="3"/>
  <c r="E294" i="3"/>
  <c r="E230" i="3"/>
  <c r="E130" i="3"/>
  <c r="E415" i="3"/>
  <c r="E395" i="3"/>
  <c r="E260" i="3"/>
  <c r="E117" i="3"/>
  <c r="E290" i="3"/>
  <c r="E61" i="3"/>
  <c r="E382" i="3"/>
  <c r="E578" i="3"/>
  <c r="E518" i="3"/>
  <c r="E336" i="3"/>
  <c r="E583" i="3"/>
  <c r="E253" i="3"/>
  <c r="E85" i="3"/>
  <c r="E314" i="3"/>
  <c r="E511" i="3"/>
  <c r="E45" i="3"/>
  <c r="E193" i="3"/>
  <c r="E519" i="3"/>
  <c r="E458" i="3"/>
  <c r="E527" i="3"/>
  <c r="E457" i="3"/>
  <c r="E571" i="3"/>
  <c r="E450" i="3"/>
  <c r="E433" i="3"/>
  <c r="E111" i="3"/>
  <c r="E150" i="3"/>
  <c r="E279" i="3"/>
  <c r="E318" i="3"/>
  <c r="E31" i="3"/>
  <c r="E567" i="3"/>
  <c r="E269" i="3"/>
  <c r="E271" i="3"/>
  <c r="E107" i="3"/>
  <c r="E515" i="3"/>
  <c r="E478" i="3"/>
  <c r="E414" i="3"/>
  <c r="E505" i="3"/>
  <c r="AS6" i="3"/>
  <c r="E476" i="3"/>
  <c r="E27" i="3"/>
  <c r="E162" i="3"/>
  <c r="E186" i="3"/>
  <c r="E331" i="3"/>
  <c r="E384" i="3"/>
  <c r="E44" i="3"/>
  <c r="E175" i="3"/>
  <c r="E530" i="3"/>
  <c r="E343" i="3"/>
  <c r="E508" i="3"/>
  <c r="E388" i="3"/>
  <c r="E555" i="3"/>
  <c r="E337" i="3"/>
  <c r="E143" i="3"/>
  <c r="E270" i="3"/>
  <c r="AR6" i="3"/>
  <c r="E561" i="3"/>
  <c r="E538" i="3"/>
  <c r="E380" i="3"/>
  <c r="E231" i="3"/>
  <c r="E216" i="3"/>
  <c r="E261" i="3"/>
  <c r="E528" i="3"/>
  <c r="E183" i="3"/>
  <c r="E503" i="3"/>
  <c r="E180" i="3"/>
  <c r="E91" i="3"/>
  <c r="E301" i="3"/>
  <c r="E350" i="3"/>
  <c r="E586" i="3"/>
  <c r="E124" i="3"/>
  <c r="E399" i="3"/>
  <c r="E347" i="3"/>
  <c r="E568" i="3"/>
  <c r="E181" i="3"/>
  <c r="E545" i="3"/>
  <c r="E228" i="3"/>
  <c r="E277" i="3"/>
  <c r="E133" i="3"/>
  <c r="E560" i="3"/>
  <c r="E472" i="3"/>
  <c r="E406" i="3"/>
  <c r="E587" i="3"/>
  <c r="E577" i="3"/>
  <c r="E468" i="3"/>
  <c r="E106" i="3"/>
  <c r="E146" i="3"/>
  <c r="E171" i="3"/>
  <c r="E315" i="3"/>
  <c r="E362" i="3"/>
  <c r="E74" i="3"/>
  <c r="E368" i="3"/>
  <c r="E89" i="3"/>
  <c r="E204" i="3"/>
  <c r="Z6" i="3"/>
  <c r="AO6" i="3"/>
  <c r="E485" i="3"/>
  <c r="E345" i="3"/>
  <c r="E557" i="3"/>
  <c r="E531" i="3"/>
  <c r="E28" i="3"/>
  <c r="E70" i="3"/>
  <c r="E182" i="3"/>
  <c r="E273" i="3"/>
  <c r="E377" i="3"/>
  <c r="E572" i="3"/>
  <c r="E217" i="3"/>
  <c r="E526" i="3"/>
  <c r="E268" i="3"/>
  <c r="AJ6" i="3"/>
  <c r="E509" i="3"/>
  <c r="E579" i="3"/>
  <c r="E247" i="3"/>
  <c r="E201" i="3"/>
  <c r="E311" i="3"/>
  <c r="E570" i="3"/>
  <c r="M6" i="3"/>
  <c r="AB6" i="3"/>
  <c r="E335" i="3"/>
  <c r="E215" i="3"/>
  <c r="E189" i="3"/>
  <c r="E278" i="3"/>
  <c r="E563" i="3"/>
  <c r="E172" i="3"/>
  <c r="E535" i="3"/>
  <c r="E161" i="3"/>
  <c r="E135" i="3"/>
  <c r="E263" i="3"/>
  <c r="E423" i="3"/>
  <c r="AI6" i="3"/>
  <c r="E246" i="3"/>
  <c r="X6" i="3"/>
  <c r="E100" i="3"/>
  <c r="E148" i="3"/>
  <c r="E119" i="3"/>
  <c r="E132" i="3"/>
  <c r="E275" i="3"/>
  <c r="E242" i="3"/>
  <c r="E483" i="3"/>
  <c r="AA26" i="37"/>
  <c r="S26" i="37"/>
  <c r="BA5" i="3"/>
  <c r="E27" i="6" s="1"/>
  <c r="K26" i="6" s="1"/>
  <c r="M26" i="6" s="1"/>
  <c r="I26" i="6" s="1"/>
  <c r="S26" i="6" s="1"/>
  <c r="C19" i="71"/>
  <c r="T20" i="71"/>
  <c r="D20" i="71"/>
  <c r="U20" i="71" s="1"/>
  <c r="AZ5" i="3"/>
  <c r="AY6" i="3" s="1"/>
  <c r="E240"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AA10" i="39" l="1"/>
  <c r="F45" i="69"/>
  <c r="F10" i="40"/>
  <c r="S10" i="40" s="1"/>
  <c r="C29" i="69"/>
  <c r="D27" i="69" s="1"/>
  <c r="H10" i="39"/>
  <c r="U10" i="39" s="1"/>
  <c r="H10" i="40"/>
  <c r="AB10" i="40" s="1"/>
  <c r="J10" i="40"/>
  <c r="AC10" i="40" s="1"/>
  <c r="J10" i="39"/>
  <c r="W10" i="39"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229" i="3"/>
  <c r="E366" i="3"/>
  <c r="E121" i="3"/>
  <c r="E448" i="3"/>
  <c r="E580" i="3"/>
  <c r="E429" i="3"/>
  <c r="E177" i="3"/>
  <c r="E280" i="3"/>
  <c r="E169" i="3"/>
  <c r="E153" i="3"/>
  <c r="E432" i="3"/>
  <c r="E475" i="3"/>
  <c r="E122" i="3"/>
  <c r="E462" i="3"/>
  <c r="E209" i="3"/>
  <c r="E460" i="3"/>
  <c r="E36" i="3"/>
  <c r="E333" i="3"/>
  <c r="E543" i="3"/>
  <c r="E190" i="3"/>
  <c r="E469" i="3"/>
  <c r="E235" i="3"/>
  <c r="E68" i="3"/>
  <c r="E425" i="3"/>
  <c r="E539" i="3"/>
  <c r="E575" i="3"/>
  <c r="E449" i="3"/>
  <c r="E417" i="3"/>
  <c r="E192" i="3"/>
  <c r="E349" i="3"/>
  <c r="E409" i="3"/>
  <c r="E103" i="3"/>
  <c r="E371" i="3"/>
  <c r="E67" i="3"/>
  <c r="E381" i="3"/>
  <c r="E283" i="3"/>
  <c r="E198" i="3"/>
  <c r="E75" i="3"/>
  <c r="E174" i="3"/>
  <c r="E34" i="3"/>
  <c r="E287" i="3"/>
  <c r="E197" i="3"/>
  <c r="E405" i="3"/>
  <c r="E360" i="3"/>
  <c r="E470" i="3"/>
  <c r="E115" i="3"/>
  <c r="E78" i="3"/>
  <c r="E35" i="3"/>
  <c r="E158" i="3"/>
  <c r="E223" i="3"/>
  <c r="E564" i="3"/>
  <c r="E422" i="3"/>
  <c r="E498" i="3"/>
  <c r="E25" i="3"/>
  <c r="E276" i="3"/>
  <c r="E43" i="3"/>
  <c r="E79" i="3"/>
  <c r="E234" i="3"/>
  <c r="E52" i="3"/>
  <c r="E289" i="3"/>
  <c r="E62" i="3"/>
  <c r="E101" i="3"/>
  <c r="E566" i="3"/>
  <c r="E58" i="3"/>
  <c r="E51" i="3"/>
  <c r="E416" i="3"/>
  <c r="E446" i="3"/>
  <c r="E19" i="3"/>
  <c r="E436" i="3"/>
  <c r="E584" i="3"/>
  <c r="E259" i="3"/>
  <c r="E179" i="3"/>
  <c r="E87"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536" i="3"/>
  <c r="E442" i="3"/>
  <c r="E554"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199" i="3"/>
  <c r="E541" i="3"/>
  <c r="E435"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7" i="3"/>
  <c r="E136" i="3"/>
  <c r="E224" i="3"/>
  <c r="E474" i="3"/>
  <c r="E537" i="3"/>
  <c r="E168" i="3"/>
  <c r="E14" i="3"/>
  <c r="E207" i="3"/>
  <c r="E411" i="3"/>
  <c r="E547" i="3"/>
  <c r="E92" i="3"/>
  <c r="E317" i="3"/>
  <c r="E319" i="3"/>
  <c r="E328" i="3"/>
  <c r="E285" i="3"/>
  <c r="E523" i="3"/>
  <c r="E321" i="3"/>
  <c r="E304" i="3"/>
  <c r="E302" i="3"/>
  <c r="E303" i="3"/>
  <c r="E546" i="3"/>
  <c r="E257" i="3"/>
  <c r="E306" i="3"/>
  <c r="AD6" i="3"/>
  <c r="E323" i="3"/>
  <c r="E65" i="3"/>
  <c r="E340" i="3"/>
  <c r="E540" i="3"/>
  <c r="E490" i="3"/>
  <c r="E49" i="3"/>
  <c r="E556" i="3"/>
  <c r="E251" i="3"/>
  <c r="E309" i="3"/>
  <c r="E160" i="3"/>
  <c r="E56" i="3"/>
  <c r="E3" i="6"/>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E491" i="3"/>
  <c r="AP6" i="3"/>
  <c r="E430" i="3"/>
  <c r="E502" i="3"/>
  <c r="E286" i="3"/>
  <c r="D56" i="71"/>
  <c r="T56" i="71"/>
  <c r="C26" i="71"/>
  <c r="D26" i="71" s="1"/>
  <c r="D27"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5" i="12" l="1"/>
  <c r="C26" i="12" s="1"/>
  <c r="D25" i="12" s="1"/>
  <c r="H6" i="3"/>
  <c r="AC6" i="3"/>
  <c r="F22" i="68"/>
  <c r="C44" i="68" s="1"/>
  <c r="D41"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66" i="67"/>
  <c r="C60" i="67"/>
  <c r="D10" i="69"/>
  <c r="C6" i="69" s="1"/>
  <c r="C7" i="69" s="1"/>
  <c r="C34" i="69"/>
  <c r="D10" i="68"/>
  <c r="C17" i="67"/>
  <c r="C17" i="15"/>
  <c r="C14" i="67"/>
  <c r="E6" i="3" l="1"/>
  <c r="C44" i="11"/>
  <c r="D41" i="11" s="1"/>
  <c r="C26" i="68"/>
  <c r="D22" i="68" s="1"/>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M21" i="67"/>
  <c r="F35" i="67"/>
  <c r="C25" i="68" l="1"/>
  <c r="C22" i="68" s="1"/>
  <c r="C31" i="68" s="1"/>
  <c r="C27" i="12"/>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52" i="68" l="1"/>
  <c r="B2" i="68" s="1"/>
  <c r="B3" i="68" s="1"/>
  <c r="C102" i="9"/>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5" i="9"/>
  <c r="D34"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7"/>
  <c r="D2" i="35"/>
  <c r="L51" i="15"/>
  <c r="D2" i="36"/>
  <c r="D102" i="9" l="1"/>
  <c r="D21" i="9"/>
  <c r="G19" i="9"/>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6" i="1"/>
  <c r="AO8" i="1"/>
  <c r="AO9" i="1"/>
  <c r="AO10" i="1"/>
  <c r="AO11" i="1"/>
  <c r="AO7" i="1"/>
  <c r="G21" i="9" l="1"/>
  <c r="D14" i="74"/>
  <c r="G14" i="74" s="1"/>
  <c r="D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F118" i="9" s="1"/>
  <c r="I118" i="9"/>
  <c r="H102" i="9" s="1"/>
  <c r="E118" i="9" l="1"/>
  <c r="E4" i="52" s="1"/>
  <c r="B48" i="72" s="1"/>
  <c r="H118" i="9"/>
  <c r="C104" i="9" s="1"/>
  <c r="C5" i="74"/>
  <c r="D7" i="53"/>
  <c r="B21" i="72" s="1"/>
  <c r="F119" i="9"/>
  <c r="F5" i="52" s="1"/>
  <c r="B53" i="72" s="1"/>
  <c r="F4" i="52"/>
  <c r="B51" i="72" s="1"/>
  <c r="G4" i="52"/>
  <c r="B52" i="72" s="1"/>
  <c r="C105" i="9"/>
  <c r="I4" i="52"/>
  <c r="H4" i="52"/>
  <c r="H119" i="9" l="1"/>
  <c r="H5" i="52" s="1"/>
  <c r="D118" i="9"/>
  <c r="D119" i="9" s="1"/>
  <c r="D5" i="52" s="1"/>
  <c r="B49" i="72" s="1"/>
  <c r="H101" i="9"/>
  <c r="M48" i="9" s="1"/>
  <c r="H107" i="9" l="1"/>
  <c r="M49" i="9" s="1"/>
  <c r="D45" i="9"/>
  <c r="D52" i="9" s="1"/>
  <c r="D5" i="53"/>
  <c r="B20" i="72" s="1"/>
  <c r="D4" i="52"/>
  <c r="B47" i="72" s="1"/>
  <c r="C72" i="9" l="1"/>
  <c r="D55" i="9"/>
  <c r="M53" i="9" s="1"/>
  <c r="D13" i="53"/>
  <c r="B30" i="72" s="1"/>
  <c r="D122" i="9"/>
  <c r="D8" i="52" s="1"/>
  <c r="H108" i="9"/>
  <c r="C64" i="9"/>
  <c r="C63" i="9" s="1"/>
  <c r="C67" i="9" s="1"/>
  <c r="C78" i="9"/>
  <c r="C73" i="9" s="1"/>
  <c r="C85" i="9"/>
  <c r="C93" i="9"/>
  <c r="C86" i="9" s="1"/>
  <c r="D53" i="9"/>
  <c r="D6" i="53"/>
  <c r="B22" i="72" s="1"/>
  <c r="L64" i="9"/>
  <c r="M64" i="9" s="1"/>
  <c r="L67" i="9"/>
  <c r="M67" i="9" s="1"/>
  <c r="L66" i="9"/>
  <c r="M66" i="9" s="1"/>
  <c r="L65" i="9"/>
  <c r="M65" i="9" s="1"/>
  <c r="L63" i="9"/>
  <c r="M63" i="9" s="1"/>
  <c r="L68" i="9"/>
  <c r="M68" i="9" s="1"/>
  <c r="D59" i="9"/>
  <c r="M55" i="9" s="1"/>
  <c r="C68" i="9"/>
  <c r="D54" i="9" s="1"/>
  <c r="D123" i="9"/>
  <c r="D9" i="52" s="1"/>
  <c r="D15" i="53"/>
  <c r="B31" i="72" s="1"/>
  <c r="C6" i="74"/>
  <c r="C79" i="9" l="1"/>
  <c r="C95" i="9"/>
  <c r="C96" i="9" s="1"/>
  <c r="E96" i="9" s="1"/>
  <c r="E97" i="9" s="1"/>
  <c r="D14" i="53"/>
  <c r="B32" i="72" s="1"/>
  <c r="M69" i="9"/>
  <c r="N69" i="9" s="1"/>
  <c r="C80" i="9"/>
  <c r="E80" i="9" s="1"/>
  <c r="E81" i="9" s="1"/>
  <c r="C81" i="9" l="1"/>
  <c r="C97" i="9"/>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<sst xmlns="http://schemas.openxmlformats.org/spreadsheetml/2006/main" count="7871" uniqueCount="3454">
  <si>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</si>
  <si>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</si>
  <si>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</si>
  <si>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</si>
  <si>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</si>
  <si>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</si>
  <si>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</si>
  <si>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</si>
  <si>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</si>
  <si>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</si>
  <si>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</si>
  <si>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</si>
  <si>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</si>
  <si>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</si>
  <si>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</si>
  <si>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</si>
  <si>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</si>
  <si>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</si>
  <si>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</si>
  <si>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</si>
  <si>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</si>
  <si>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</si>
  <si>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</si>
  <si>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</si>
  <si>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</si>
  <si>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</si>
  <si>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</si>
  <si>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</si>
  <si>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</si>
  <si>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</si>
  <si>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</si>
  <si>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</si>
  <si>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</si>
  <si>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</si>
  <si>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</si>
  <si>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</si>
  <si>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</si>
  <si>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</si>
  <si>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</si>
  <si>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</si>
  <si>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</si>
  <si>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</si>
  <si>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</si>
  <si>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</si>
  <si>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</si>
  <si>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</si>
  <si>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</si>
  <si>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</si>
  <si>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</si>
  <si>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</si>
  <si>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</si>
  <si>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</si>
  <si>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</si>
  <si>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</si>
  <si>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</si>
  <si>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</si>
  <si>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</si>
  <si>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</si>
  <si>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</si>
  <si>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</si>
  <si>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</si>
  <si>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</si>
  <si>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</si>
  <si>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</si>
  <si>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</si>
  <si>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</si>
  <si>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</si>
  <si>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</si>
  <si>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</si>
  <si>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</si>
  <si>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</si>
  <si>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</si>
  <si>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</si>
  <si>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</si>
  <si>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</si>
  <si>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</si>
  <si>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</si>
  <si>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</si>
  <si>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</si>
  <si>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</si>
  <si>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</si>
  <si>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</si>
  <si>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</si>
  <si>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</si>
  <si>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</si>
  <si>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</si>
  <si>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</si>
  <si>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</si>
  <si>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</si>
  <si>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</si>
  <si>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</si>
  <si>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</si>
  <si>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</si>
  <si>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</si>
  <si>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</si>
  <si>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</si>
  <si>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</si>
  <si>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</si>
  <si>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</si>
  <si>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</si>
  <si>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</si>
  <si>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</si>
  <si>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</si>
  <si>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</si>
  <si>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</si>
  <si>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</si>
  <si>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</si>
  <si>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</si>
  <si>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</si>
  <si>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</si>
  <si>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</si>
  <si>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</si>
  <si>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</si>
  <si>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</si>
  <si>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</si>
  <si>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</si>
  <si>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</si>
  <si>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</si>
  <si>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</si>
  <si>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</si>
  <si>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</si>
  <si>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</si>
  <si>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</si>
  <si>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</si>
  <si>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</si>
  <si>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</si>
  <si>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</si>
  <si>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</si>
  <si>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</si>
  <si>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</si>
  <si>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</si>
  <si>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</si>
  <si>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</si>
  <si>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</si>
  <si>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</si>
  <si>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</si>
  <si>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</si>
  <si>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</si>
  <si>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</si>
  <si>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</si>
  <si>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</si>
  <si>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</si>
  <si>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</si>
  <si>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</si>
  <si>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</si>
  <si>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</si>
  <si>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</si>
  <si>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</si>
  <si>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</si>
  <si>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</si>
  <si>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</si>
  <si>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</si>
  <si>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</si>
  <si>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</si>
  <si>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</si>
  <si>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</si>
  <si>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</si>
  <si>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</si>
  <si>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</si>
  <si>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</si>
  <si>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</si>
  <si>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</si>
  <si>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</si>
  <si>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</si>
  <si>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</si>
  <si>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</si>
  <si>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</si>
  <si>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</si>
  <si>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</si>
  <si>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</si>
  <si>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</si>
  <si>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</si>
  <si>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</si>
  <si>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</si>
  <si>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</si>
  <si>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</si>
  <si>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</si>
  <si>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</si>
  <si>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</si>
  <si>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</si>
  <si>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</si>
  <si>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</si>
  <si>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</si>
  <si>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</si>
  <si>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</si>
  <si>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</si>
  <si>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</si>
  <si>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</si>
  <si>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</si>
  <si>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</si>
  <si>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</si>
  <si>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</si>
  <si>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</si>
  <si>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</si>
  <si>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</si>
  <si>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</si>
  <si>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</si>
  <si>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</si>
  <si>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</si>
  <si>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</si>
  <si>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</si>
  <si>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</si>
  <si>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</si>
  <si>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</si>
  <si>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</si>
  <si>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</si>
  <si>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</si>
  <si>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</si>
  <si>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</si>
  <si>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</si>
  <si>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</si>
  <si>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</si>
  <si>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</si>
  <si>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</si>
  <si>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</si>
  <si>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</si>
  <si>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</si>
  <si>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</si>
  <si>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</si>
  <si>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</si>
  <si>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</si>
  <si>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</si>
  <si>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</si>
  <si>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</si>
  <si>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</si>
  <si>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</si>
  <si>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</si>
  <si>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</si>
  <si>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</si>
  <si>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</si>
  <si>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</si>
  <si>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</si>
  <si>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</si>
  <si>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</si>
  <si>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</si>
  <si>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</si>
  <si>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</si>
  <si>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</si>
  <si>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</si>
  <si>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</si>
  <si>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</si>
  <si>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</si>
  <si>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</si>
  <si>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</si>
  <si>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</si>
  <si>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</si>
  <si>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</si>
  <si>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</si>
  <si>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</si>
  <si>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</si>
  <si>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</si>
  <si>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</si>
  <si>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</si>
  <si>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</si>
  <si>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</si>
  <si>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</si>
  <si>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</si>
  <si>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</si>
  <si>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</si>
  <si>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</si>
  <si>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</si>
  <si>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</si>
  <si>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</si>
  <si>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</si>
  <si>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</si>
  <si>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</si>
  <si>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</si>
  <si>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</si>
  <si>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</si>
  <si>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</si>
  <si>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</si>
  <si>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</si>
  <si>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</si>
  <si>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</si>
  <si>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</si>
  <si>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</si>
  <si>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</si>
  <si>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</si>
  <si>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</si>
  <si>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</si>
  <si>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</si>
  <si>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</si>
  <si>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</si>
  <si>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</si>
  <si>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</si>
  <si>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</si>
  <si>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</si>
  <si>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</si>
  <si>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</si>
  <si>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</si>
  <si>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</si>
  <si>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</si>
  <si>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</si>
  <si>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</si>
  <si>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</si>
  <si>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</si>
  <si>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</si>
  <si>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</si>
  <si>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</si>
  <si>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</si>
  <si>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</si>
  <si>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</si>
  <si>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</si>
  <si>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</si>
  <si>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</si>
  <si>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</si>
  <si>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</si>
  <si>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</si>
  <si>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</si>
  <si>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</si>
  <si>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</si>
  <si>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</si>
  <si>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</si>
  <si>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</si>
  <si>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</si>
  <si>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</si>
  <si>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</si>
  <si>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</si>
  <si>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</si>
  <si>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</si>
  <si>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</si>
  <si>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</si>
  <si>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</si>
  <si>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</si>
  <si>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</si>
  <si>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</si>
  <si>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</si>
  <si>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</si>
  <si>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</si>
  <si>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</si>
  <si>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</si>
  <si>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</si>
  <si>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</si>
  <si>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</si>
  <si>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</si>
  <si>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</si>
  <si>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</si>
  <si>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</si>
  <si>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</si>
  <si>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</si>
  <si>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</si>
  <si>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</si>
  <si>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</si>
  <si>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</si>
  <si>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</si>
  <si>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</si>
  <si>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</si>
  <si>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</si>
  <si>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</si>
  <si>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</si>
  <si>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</si>
  <si>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</si>
  <si>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</si>
  <si>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</si>
  <si>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</si>
  <si>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</si>
  <si>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</si>
  <si>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</si>
  <si>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</si>
  <si>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</si>
  <si>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</si>
  <si>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</si>
  <si>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</si>
  <si>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</si>
  <si>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</si>
  <si>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</si>
  <si>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</si>
  <si>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</si>
  <si>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</si>
  <si>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</si>
  <si>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</si>
  <si>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</si>
  <si>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</si>
  <si>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</si>
  <si>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</si>
  <si>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</si>
  <si>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</si>
  <si>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</si>
  <si>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</si>
  <si>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</si>
  <si>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</si>
  <si>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</si>
  <si>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</si>
  <si>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</si>
  <si>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</si>
  <si>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</si>
  <si>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</si>
  <si>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</si>
  <si>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</si>
  <si>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</si>
  <si>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</si>
  <si>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</si>
  <si>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</si>
  <si>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</si>
  <si>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</si>
  <si>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</si>
  <si>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</si>
  <si>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</si>
  <si>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</si>
  <si>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</si>
  <si>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</si>
  <si>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</si>
  <si>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</si>
  <si>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</si>
  <si>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</si>
  <si>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</si>
  <si>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</si>
  <si>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</si>
  <si>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</si>
  <si>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</si>
  <si>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</si>
  <si>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</si>
  <si>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</si>
  <si>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</si>
  <si>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</si>
  <si>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</si>
  <si>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</si>
  <si>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</si>
  <si>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</si>
  <si>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</si>
  <si>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</si>
  <si>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</si>
  <si>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</si>
  <si>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</si>
  <si>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</si>
  <si>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</si>
  <si>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</si>
  <si>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</si>
  <si>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</si>
  <si>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</si>
  <si>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</si>
  <si>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</si>
  <si>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</si>
  <si>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</si>
  <si>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</si>
  <si>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</si>
  <si>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</si>
  <si>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</si>
  <si>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</si>
  <si>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</si>
  <si>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</si>
  <si>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</si>
  <si>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</si>
  <si>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</si>
  <si>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</si>
  <si>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</si>
  <si>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</si>
  <si>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</si>
  <si>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</si>
  <si>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</si>
  <si>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</si>
  <si>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</si>
  <si>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</si>
  <si>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</si>
  <si>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</si>
  <si>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</si>
  <si>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</si>
  <si>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</si>
  <si>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</si>
  <si>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</si>
  <si>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</si>
  <si>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</si>
  <si>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</si>
  <si>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</si>
  <si>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</si>
  <si>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</si>
  <si>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</si>
  <si>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</si>
  <si>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</si>
  <si>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</si>
  <si>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</si>
  <si>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</si>
  <si>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</si>
  <si>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</si>
  <si>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</si>
  <si>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</si>
  <si>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</si>
  <si>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</si>
  <si>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</si>
  <si>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</si>
  <si>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</si>
  <si>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</si>
  <si>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</si>
  <si>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</si>
  <si>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</si>
  <si>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</si>
  <si>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</si>
  <si>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</si>
  <si>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</si>
  <si>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</si>
  <si>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</si>
  <si>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</si>
  <si>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</si>
  <si>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</si>
  <si>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</si>
  <si>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</si>
  <si>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</si>
  <si>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</si>
  <si>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</si>
  <si>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</si>
  <si>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</si>
  <si>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</si>
  <si>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</si>
  <si>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</si>
  <si>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</si>
  <si>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</si>
  <si>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</si>
  <si>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</si>
  <si>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</si>
  <si>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</si>
  <si>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</si>
  <si>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</si>
  <si>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</si>
  <si>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</si>
  <si>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</si>
  <si>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</si>
  <si>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</si>
  <si>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</si>
  <si>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</si>
  <si>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</si>
  <si>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</si>
  <si>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</si>
  <si>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</si>
  <si>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</si>
  <si>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</si>
  <si>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</si>
  <si>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</si>
  <si>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</si>
  <si>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</si>
  <si>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</si>
  <si>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</si>
  <si>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</si>
  <si>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</si>
  <si>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</si>
  <si>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</si>
  <si>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</si>
  <si>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</si>
  <si>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</si>
  <si>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</si>
  <si>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</si>
  <si>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</si>
  <si>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</si>
  <si>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</si>
  <si>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</si>
  <si>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</si>
  <si>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</si>
  <si>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</si>
  <si>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</si>
  <si>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</si>
  <si>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</si>
  <si>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</si>
  <si>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</si>
  <si>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</si>
  <si>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</si>
  <si>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</si>
  <si>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</si>
  <si>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</si>
  <si>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</si>
  <si>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</si>
  <si>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</si>
  <si>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</si>
  <si>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</si>
  <si>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</si>
  <si>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</si>
  <si>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</si>
  <si>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</si>
  <si>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</si>
  <si>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</si>
  <si>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</si>
  <si>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</si>
  <si>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</si>
  <si>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</si>
  <si>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</si>
  <si>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</si>
  <si>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</si>
  <si>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</si>
  <si>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</si>
  <si>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</si>
  <si>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</si>
  <si>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</si>
  <si>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</si>
  <si>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</si>
  <si>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</si>
  <si>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</si>
  <si>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</si>
  <si>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</si>
  <si>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</si>
  <si>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</si>
  <si>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</si>
  <si>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</si>
  <si>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</si>
  <si>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</si>
  <si>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</si>
  <si>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</si>
  <si>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</si>
  <si>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</si>
  <si>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</si>
  <si>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</si>
  <si>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</si>
  <si>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</si>
  <si>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</si>
  <si>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</si>
  <si>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</si>
  <si>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</si>
  <si>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</si>
  <si>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</si>
  <si>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</si>
  <si>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</si>
  <si>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</si>
  <si>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</si>
  <si>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</si>
  <si>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</si>
  <si>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</si>
  <si>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</si>
  <si>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</si>
  <si>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</si>
  <si>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</si>
  <si>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</si>
  <si>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</si>
  <si>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</si>
  <si>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</si>
  <si>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</si>
  <si>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</si>
  <si>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</si>
  <si>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</si>
  <si>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</si>
  <si>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</si>
  <si>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</si>
  <si>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</si>
  <si>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</si>
  <si>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</si>
  <si>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</si>
  <si>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</si>
  <si>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</si>
  <si>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</si>
  <si>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</si>
  <si>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</si>
  <si>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</si>
  <si>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</si>
  <si>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</si>
  <si>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</si>
  <si>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</si>
  <si>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</si>
  <si>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</si>
  <si>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</si>
  <si>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</si>
  <si>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</si>
  <si>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</si>
  <si>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</si>
  <si>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</si>
  <si>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</si>
  <si>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</si>
  <si>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</si>
  <si>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</si>
  <si>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</si>
  <si>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</si>
  <si>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</si>
  <si>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</si>
  <si>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</si>
  <si>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</si>
  <si>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</si>
  <si>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</si>
  <si>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</si>
  <si>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</si>
  <si>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</si>
  <si>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</si>
  <si>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</si>
  <si>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</si>
  <si>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</si>
  <si>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</si>
  <si>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</si>
  <si>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</si>
  <si>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</si>
  <si>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</si>
  <si>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</si>
  <si>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</si>
  <si>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</si>
  <si>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</si>
  <si>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</si>
  <si>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</si>
  <si>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</si>
  <si>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</si>
  <si>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</si>
  <si>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</si>
  <si>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</si>
  <si>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</si>
  <si>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</si>
  <si>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</si>
  <si>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</si>
  <si>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</si>
  <si>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</si>
  <si>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</si>
  <si>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</si>
  <si>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</si>
  <si>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</si>
  <si>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</si>
  <si>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</si>
  <si>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</si>
  <si>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</si>
  <si>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</si>
  <si>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</si>
  <si>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</si>
  <si>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</si>
  <si>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</si>
  <si>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</si>
  <si>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</si>
  <si>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</si>
  <si>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</si>
  <si>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</si>
  <si>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</si>
  <si>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</si>
  <si>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</si>
  <si>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</si>
  <si>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</si>
  <si>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</si>
  <si>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</si>
  <si>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</si>
  <si>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</si>
  <si>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</si>
  <si>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</si>
  <si>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</si>
  <si>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</si>
  <si>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</si>
  <si>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</si>
  <si>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</si>
  <si>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</si>
  <si>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</si>
  <si>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</si>
  <si>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</si>
  <si>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</si>
  <si>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</si>
  <si>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</si>
  <si>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</si>
  <si>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</si>
  <si>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</si>
  <si>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</si>
  <si>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</si>
  <si>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</si>
  <si>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</si>
  <si>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</si>
  <si>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</si>
  <si>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</si>
  <si>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</si>
  <si>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</si>
  <si>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</si>
  <si>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</si>
  <si>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</si>
  <si>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</si>
  <si>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</si>
  <si>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</si>
  <si>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</si>
  <si>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</si>
  <si>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</si>
  <si>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</si>
  <si>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</si>
  <si>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</si>
  <si>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</si>
  <si>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</si>
  <si>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</si>
  <si>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</si>
  <si>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</si>
  <si>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</si>
  <si>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</si>
  <si>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</si>
  <si>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</si>
  <si>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</si>
  <si>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</si>
  <si>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</si>
  <si>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</si>
  <si>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</si>
  <si>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</si>
  <si>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</si>
  <si>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</si>
  <si>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</si>
  <si>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</si>
  <si>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</si>
  <si>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</si>
  <si>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</si>
  <si>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</si>
  <si>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</si>
  <si>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</si>
  <si>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</si>
  <si>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</si>
  <si>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</si>
  <si>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</si>
  <si>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</si>
  <si>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</si>
  <si>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</si>
  <si>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</si>
  <si>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</si>
  <si>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</si>
  <si>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</si>
  <si>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</si>
  <si>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</si>
  <si>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</si>
  <si>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</si>
  <si>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</si>
  <si>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</si>
  <si>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</si>
  <si>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</si>
  <si>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</si>
  <si>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</si>
  <si>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</si>
  <si>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</si>
  <si>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</si>
  <si>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</si>
  <si>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</si>
  <si>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</si>
  <si>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</si>
  <si>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</si>
  <si>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</si>
  <si>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</si>
  <si>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</si>
  <si>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</si>
  <si>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</si>
  <si>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</si>
  <si>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</si>
  <si>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</si>
  <si>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</si>
  <si>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</si>
  <si>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</si>
  <si>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</si>
  <si>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</si>
  <si>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</si>
  <si>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</si>
  <si>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</si>
  <si>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</si>
  <si>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</si>
  <si>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</si>
  <si>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</si>
  <si>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</si>
  <si>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</si>
  <si>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</si>
  <si>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</si>
  <si>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</si>
  <si>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</si>
  <si>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</si>
  <si>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</si>
  <si>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</si>
  <si>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</si>
  <si>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</si>
  <si>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</si>
  <si>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</si>
  <si>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</si>
  <si>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</si>
  <si>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</si>
  <si>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</si>
  <si>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</si>
  <si>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</si>
  <si>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</si>
  <si>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</si>
  <si>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</si>
  <si>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</si>
  <si>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</si>
  <si>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</si>
  <si>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</si>
  <si>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</si>
  <si>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</si>
  <si>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</si>
  <si>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</si>
  <si>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</si>
  <si>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</si>
  <si>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</si>
  <si>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</si>
  <si>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</si>
  <si>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</si>
  <si>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</si>
  <si>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</si>
  <si>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</si>
  <si>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</si>
  <si>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</si>
  <si>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</si>
  <si>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</si>
  <si>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</si>
  <si>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</si>
  <si>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</si>
  <si>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</si>
  <si>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</si>
  <si>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</si>
  <si>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</si>
  <si>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</si>
  <si>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</si>
  <si>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</si>
  <si>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</si>
  <si>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</si>
  <si>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</si>
  <si>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</si>
  <si>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</si>
  <si>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</si>
  <si>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</si>
  <si>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</si>
  <si>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</si>
  <si>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</si>
  <si>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</si>
  <si>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</si>
  <si>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</si>
  <si>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</si>
  <si>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</si>
  <si>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</si>
  <si>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</si>
  <si>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</si>
  <si>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</si>
  <si>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</si>
  <si>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</si>
  <si>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</si>
  <si>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</si>
  <si>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</si>
  <si>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</si>
  <si>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</si>
  <si>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</si>
  <si>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</si>
  <si>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</si>
  <si>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</si>
  <si>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</si>
  <si>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</si>
  <si>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</si>
  <si>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</si>
  <si>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</si>
  <si>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</si>
  <si>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</si>
  <si>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</si>
  <si>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</si>
  <si>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</si>
  <si>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</si>
  <si>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</si>
  <si>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</si>
  <si>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</si>
  <si>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</si>
  <si>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</si>
  <si>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</si>
  <si>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</si>
  <si>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</si>
  <si>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</si>
  <si>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</si>
  <si>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</si>
  <si>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</si>
  <si>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</si>
  <si>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</si>
  <si>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</si>
  <si>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</si>
  <si>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</si>
  <si>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</si>
  <si>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</si>
  <si>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</si>
  <si>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</si>
  <si>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</si>
  <si>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</si>
  <si>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</si>
  <si>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</si>
  <si>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</si>
  <si>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</si>
  <si>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</si>
  <si>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</si>
  <si>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</si>
  <si>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</si>
  <si>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</si>
  <si>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</si>
  <si>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</si>
  <si>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</si>
  <si>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</si>
  <si>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</si>
  <si>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</si>
  <si>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</si>
  <si>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</si>
  <si>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</si>
  <si>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</si>
  <si>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</si>
  <si>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</si>
  <si>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</si>
  <si>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</si>
  <si>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</si>
  <si>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</si>
  <si>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</si>
  <si>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</si>
  <si>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</si>
  <si>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</si>
  <si>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</si>
  <si>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</si>
  <si>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</si>
  <si>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</si>
  <si>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</si>
  <si>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</si>
  <si>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</si>
  <si>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</si>
  <si>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</si>
  <si>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</si>
  <si>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</si>
  <si>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</si>
  <si>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</si>
  <si>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</si>
  <si>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</si>
  <si>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</si>
  <si>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</si>
  <si>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</si>
  <si>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</si>
  <si>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</si>
  <si>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</si>
  <si>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</si>
  <si>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</si>
  <si>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</si>
  <si>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</si>
  <si>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</si>
  <si>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</si>
  <si>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</si>
  <si>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</si>
  <si>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</si>
  <si>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</si>
  <si>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</si>
  <si>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</si>
  <si>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</si>
  <si>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</si>
  <si>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</si>
  <si>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</si>
  <si>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</si>
  <si>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</si>
  <si>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</si>
  <si>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</si>
  <si>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</si>
  <si>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</si>
  <si>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</si>
  <si>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</si>
  <si>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</si>
  <si>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</si>
  <si>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</si>
  <si>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</si>
  <si>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</si>
  <si>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</si>
  <si>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</si>
  <si>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</si>
  <si>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</si>
  <si>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</si>
  <si>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</si>
  <si>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</si>
  <si>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</si>
  <si>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</si>
  <si>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</si>
  <si>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</si>
  <si>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</si>
  <si>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</si>
  <si>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</si>
  <si>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</si>
  <si>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</si>
  <si>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</si>
  <si>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</si>
  <si>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</si>
  <si>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</si>
  <si>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</si>
  <si>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</si>
  <si>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</si>
  <si>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</si>
  <si>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</si>
  <si>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</si>
  <si>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</si>
  <si>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</si>
  <si>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</si>
  <si>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</si>
  <si>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</si>
  <si>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</si>
  <si>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</si>
  <si>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</si>
  <si>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</si>
  <si>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</si>
  <si>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</si>
  <si>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</si>
  <si>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</si>
  <si>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</si>
  <si>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</si>
  <si>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</si>
  <si>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</si>
  <si>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</si>
  <si>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</si>
  <si>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</si>
  <si>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</si>
  <si>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</si>
  <si>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</si>
  <si>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</si>
  <si>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</si>
  <si>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</si>
  <si>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</si>
  <si>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</si>
  <si>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</si>
  <si>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</si>
  <si>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</si>
  <si>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</si>
  <si>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</si>
  <si>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</si>
  <si>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</si>
  <si>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</si>
  <si>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</si>
  <si>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</si>
  <si>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</si>
  <si>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</si>
  <si>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</si>
  <si>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</si>
  <si>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</si>
  <si>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</si>
  <si>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</si>
  <si>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</si>
  <si>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</si>
  <si>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</si>
  <si>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</si>
  <si>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</si>
  <si>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</si>
  <si>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</si>
  <si>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</si>
  <si>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</si>
  <si>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</si>
  <si>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</si>
  <si>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</si>
  <si>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</si>
  <si>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</si>
  <si>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</si>
  <si>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</si>
  <si>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</si>
  <si>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</si>
  <si>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</si>
  <si>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</si>
  <si>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</si>
  <si>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</si>
  <si>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</si>
  <si>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</si>
  <si>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</si>
  <si>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</si>
  <si>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</si>
  <si>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</si>
  <si>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</si>
  <si>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</si>
  <si>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</si>
  <si>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</si>
  <si>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</si>
  <si>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</si>
  <si>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</si>
  <si>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</si>
  <si>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</si>
  <si>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</si>
  <si>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</si>
  <si>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</si>
  <si>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</si>
  <si>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</si>
  <si>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</si>
  <si>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</si>
  <si>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</si>
  <si>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</si>
  <si>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</si>
  <si>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</si>
  <si>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</si>
  <si>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</si>
  <si>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</si>
  <si>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</si>
  <si>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</si>
  <si>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</si>
  <si>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</si>
  <si>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</si>
  <si>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</si>
  <si>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</si>
  <si>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</si>
  <si>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</si>
  <si>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</si>
  <si>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</si>
  <si>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</si>
  <si>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</si>
  <si>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</si>
  <si>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</si>
  <si>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</si>
  <si>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</si>
  <si>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</si>
  <si>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</si>
  <si>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</si>
  <si>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</si>
  <si>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</si>
  <si>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</si>
  <si>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</si>
  <si>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</si>
  <si>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</si>
  <si>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</si>
  <si>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</si>
  <si>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</si>
  <si>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</si>
  <si>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</si>
  <si>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</si>
  <si>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</si>
  <si>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</si>
  <si>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</si>
  <si>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</si>
  <si>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</si>
  <si>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</si>
  <si>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</si>
  <si>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</si>
  <si>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</si>
  <si>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</si>
  <si>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</si>
  <si>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</si>
  <si>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</si>
  <si>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</si>
  <si>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</si>
  <si>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</si>
  <si>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</si>
  <si>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</si>
  <si>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</si>
  <si>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</si>
  <si>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</si>
  <si>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</si>
  <si>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</si>
  <si>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</si>
  <si>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</si>
  <si>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</si>
  <si>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</si>
  <si>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</si>
  <si>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</si>
  <si>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</si>
  <si>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</si>
  <si>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</si>
  <si>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</si>
  <si>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</si>
  <si>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</si>
  <si>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</si>
  <si>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</si>
  <si>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</si>
  <si>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</si>
  <si>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</si>
  <si>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</si>
  <si>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</si>
  <si>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</si>
  <si>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</si>
  <si>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</si>
  <si>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</si>
  <si>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</si>
  <si>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</si>
  <si>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</si>
  <si>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</si>
  <si>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</si>
  <si>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</si>
  <si>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</si>
  <si>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</si>
  <si>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</si>
  <si>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</si>
  <si>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</si>
  <si>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</si>
  <si>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</si>
  <si>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</si>
  <si>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</si>
  <si>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</si>
  <si>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</si>
  <si>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</si>
  <si>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</si>
  <si>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</si>
  <si>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</si>
  <si>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</si>
  <si>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</si>
  <si>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</si>
  <si>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</si>
  <si>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</si>
  <si>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</si>
  <si>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</si>
  <si>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</si>
  <si>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</si>
  <si>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</si>
  <si>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</si>
  <si>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</si>
  <si>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</si>
  <si>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</si>
  <si>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</si>
  <si>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</si>
  <si>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</si>
  <si>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</si>
  <si>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</si>
  <si>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</si>
  <si>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</si>
  <si>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</si>
  <si>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</si>
  <si>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</si>
  <si>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</si>
  <si>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</si>
  <si>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</si>
  <si>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</si>
  <si>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</si>
  <si>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</si>
  <si>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</si>
  <si>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</si>
  <si>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</si>
  <si>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</si>
  <si>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</si>
  <si>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</si>
  <si>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</si>
  <si>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</si>
  <si>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</si>
  <si>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</si>
  <si>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</si>
  <si>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</si>
  <si>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</si>
  <si>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</si>
  <si>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</si>
  <si>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</si>
  <si>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</si>
  <si>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</si>
  <si>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</si>
  <si>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</si>
  <si>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</si>
  <si>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</si>
  <si>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</si>
  <si>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</si>
  <si>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</si>
  <si>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</si>
  <si>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</si>
  <si>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</si>
  <si>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</si>
  <si>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</si>
  <si>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</si>
  <si>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</si>
  <si>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</si>
  <si>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</si>
  <si>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</si>
  <si>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</si>
  <si>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</si>
  <si>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</si>
  <si>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</si>
  <si>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</si>
  <si>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</si>
  <si>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</si>
  <si>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</si>
  <si>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</si>
  <si>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</si>
  <si>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</si>
  <si>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</si>
  <si>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</si>
  <si>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</si>
  <si>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</si>
  <si>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</si>
  <si>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</si>
  <si>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</si>
  <si>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</si>
  <si>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</si>
  <si>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</si>
  <si>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</si>
  <si>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</si>
  <si>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</si>
  <si>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</si>
  <si>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</si>
  <si>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</si>
  <si>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</si>
  <si>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</si>
  <si>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</si>
  <si>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</si>
  <si>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</si>
  <si>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</si>
  <si>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</si>
  <si>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</si>
  <si>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</si>
  <si>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</si>
  <si>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</si>
  <si>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</si>
  <si>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</si>
  <si>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</si>
  <si>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</si>
  <si>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</si>
  <si>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</si>
  <si>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</si>
  <si>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</si>
  <si>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</si>
  <si>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</si>
  <si>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</si>
  <si>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</si>
  <si>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</si>
  <si>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</si>
  <si>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</si>
  <si>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</si>
  <si>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</si>
  <si>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</si>
  <si>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</si>
  <si>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</si>
  <si>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</si>
  <si>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</si>
  <si>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</si>
  <si>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</si>
  <si>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</si>
  <si>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</si>
  <si>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</si>
  <si>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</si>
  <si>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</si>
  <si>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</si>
  <si>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</si>
  <si>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</si>
  <si>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</si>
  <si>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</si>
  <si>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</si>
  <si>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</si>
  <si>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</si>
  <si>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</si>
  <si>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</si>
  <si>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</si>
  <si>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</si>
  <si>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</si>
  <si>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</si>
  <si>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</si>
  <si>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</si>
  <si>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</si>
  <si>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</si>
  <si>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</si>
  <si>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</si>
  <si>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</si>
  <si>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</si>
  <si>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</si>
  <si>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</si>
  <si>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</si>
  <si>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</si>
  <si>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</si>
  <si>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</si>
  <si>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</si>
  <si>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</si>
  <si>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</si>
  <si>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</si>
  <si>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</si>
  <si>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</si>
  <si>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</si>
  <si>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</si>
  <si>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</si>
  <si>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</si>
  <si>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</si>
  <si>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</si>
  <si>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</si>
  <si>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</si>
  <si>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</si>
  <si>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</si>
  <si>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</si>
  <si>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</si>
  <si>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</si>
  <si>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</si>
  <si>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</si>
  <si>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</si>
  <si>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</si>
  <si>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</si>
  <si>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</si>
  <si>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</si>
  <si>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</si>
  <si>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</si>
  <si>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</si>
  <si>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</si>
  <si>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</si>
  <si>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</si>
  <si>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</si>
  <si>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</si>
  <si>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</si>
  <si>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</si>
  <si>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</si>
  <si>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</si>
  <si>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</si>
  <si>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</si>
  <si>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</si>
  <si>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</si>
  <si>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</si>
  <si>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</si>
  <si>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</si>
  <si>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</si>
  <si>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</si>
  <si>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</si>
  <si>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</si>
  <si>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</si>
  <si>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</si>
  <si>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</si>
  <si>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</si>
  <si>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</si>
  <si>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</si>
  <si>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</si>
  <si>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</si>
  <si>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</si>
  <si>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</si>
  <si>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</si>
  <si>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</si>
  <si>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</si>
  <si>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</si>
  <si>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</si>
  <si>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</si>
  <si>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</si>
  <si>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</si>
  <si>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</si>
  <si>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</si>
  <si>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</si>
  <si>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</si>
  <si>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</si>
  <si>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</si>
  <si>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</si>
  <si>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</si>
  <si>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</si>
  <si>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</si>
  <si>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</si>
  <si>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</si>
  <si>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</si>
  <si>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</si>
  <si>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</si>
  <si>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</si>
  <si>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</si>
  <si>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</si>
  <si>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</si>
  <si>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</si>
  <si>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</si>
  <si>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</si>
  <si>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</si>
  <si>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</si>
  <si>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</si>
  <si>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</si>
  <si>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</si>
  <si>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</si>
  <si>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</si>
  <si>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</si>
  <si>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</si>
  <si>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</si>
  <si>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</si>
  <si>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</si>
  <si>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</si>
  <si>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</si>
  <si>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</si>
  <si>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</si>
  <si>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</si>
  <si>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</si>
  <si>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</si>
  <si>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</si>
  <si>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</si>
  <si>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</si>
  <si>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</si>
  <si>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</si>
  <si>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</si>
  <si>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</si>
  <si>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</si>
  <si>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</si>
  <si>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</si>
  <si>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</si>
  <si>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</si>
  <si>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</si>
  <si>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</si>
  <si>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</si>
  <si>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</si>
  <si>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</si>
  <si>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</si>
  <si>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</si>
  <si>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</si>
  <si>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</si>
  <si>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</si>
  <si>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</si>
  <si>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</si>
  <si>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</si>
  <si>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</si>
  <si>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</si>
  <si>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</si>
  <si>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</si>
  <si>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</si>
  <si>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</si>
  <si>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</si>
  <si>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</si>
  <si>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</si>
  <si>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</si>
  <si>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</si>
  <si>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</si>
  <si>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</si>
  <si>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</si>
  <si>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</si>
  <si>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</si>
  <si>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</si>
  <si>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</si>
  <si>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</si>
  <si>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</si>
  <si>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</si>
  <si>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</si>
  <si>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</si>
  <si>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</si>
  <si>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</si>
  <si>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</si>
  <si>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</si>
  <si>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</si>
  <si>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</si>
  <si>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</si>
  <si>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</si>
  <si>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</si>
  <si>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</si>
  <si>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</si>
  <si>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</si>
  <si>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</si>
  <si>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</si>
  <si>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</si>
  <si>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</si>
  <si>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</si>
  <si>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</si>
  <si>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</si>
  <si>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</si>
  <si>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</si>
  <si>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</si>
  <si>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</si>
  <si>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</si>
  <si>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</si>
  <si>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</si>
  <si>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</si>
  <si>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</si>
  <si>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</si>
  <si>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</si>
  <si>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</si>
  <si>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</si>
  <si>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</si>
  <si>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</si>
  <si>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</si>
  <si>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</si>
  <si>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</si>
  <si>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</si>
  <si>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</si>
  <si>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</si>
  <si>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</si>
  <si>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</si>
  <si>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</si>
  <si>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</si>
  <si>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</si>
  <si>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</si>
  <si>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</si>
  <si>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</si>
  <si>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</si>
  <si>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</si>
  <si>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</si>
  <si>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</si>
  <si>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</si>
  <si>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</si>
  <si>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</si>
  <si>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</si>
  <si>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</si>
  <si>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</si>
  <si>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</si>
  <si>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</si>
  <si>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</si>
  <si>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</si>
  <si>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</si>
  <si>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</si>
  <si>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</si>
  <si>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</si>
  <si>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</si>
  <si>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</si>
  <si>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</si>
  <si>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</si>
  <si>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</si>
  <si>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</si>
  <si>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</si>
  <si>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</si>
  <si>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</si>
  <si>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</si>
  <si>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</si>
  <si>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</si>
  <si>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</si>
  <si>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</si>
  <si>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</si>
  <si>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</si>
  <si>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</si>
  <si>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</si>
  <si>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</si>
  <si>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</si>
  <si>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</si>
  <si>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</si>
  <si>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</si>
  <si>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</si>
  <si>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</si>
  <si>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</si>
  <si>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</si>
  <si>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</si>
  <si>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</si>
  <si>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</si>
  <si>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</si>
  <si>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</si>
  <si>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</si>
  <si>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</si>
  <si>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</si>
  <si>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</si>
  <si>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</si>
  <si>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</si>
  <si>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</si>
  <si>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</si>
  <si>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</si>
  <si>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</si>
  <si>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</si>
  <si>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</si>
  <si>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</si>
  <si>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</si>
  <si>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</si>
  <si>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</si>
  <si>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</si>
  <si>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</si>
  <si>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</si>
  <si>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</si>
  <si>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</si>
  <si>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</si>
  <si>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</si>
  <si>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</si>
  <si>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</si>
  <si>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</si>
  <si>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</si>
  <si>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</si>
  <si>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</si>
  <si>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</si>
  <si>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</si>
  <si>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</si>
  <si>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</si>
  <si>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</si>
  <si>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</si>
  <si>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</si>
  <si>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</si>
  <si>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</si>
  <si>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</si>
  <si>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</si>
  <si>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</si>
  <si>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</si>
  <si>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</si>
  <si>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</si>
  <si>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</si>
  <si>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</si>
  <si>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</si>
  <si>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</si>
  <si>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</si>
  <si>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</si>
  <si>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</si>
  <si>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</si>
  <si>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</si>
  <si>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</si>
  <si>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</si>
  <si>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</si>
  <si>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</si>
  <si>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</si>
  <si>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</si>
  <si>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</si>
  <si>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</si>
  <si>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</si>
  <si>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</si>
  <si>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</si>
  <si>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</si>
  <si>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</si>
  <si>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</si>
  <si>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</si>
  <si>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</si>
  <si>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</si>
  <si>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</si>
  <si>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</si>
  <si>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</si>
  <si>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</si>
  <si>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</si>
  <si>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</si>
  <si>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</si>
  <si>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</si>
  <si>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</si>
  <si>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</si>
  <si>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</si>
  <si>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</si>
  <si>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</si>
  <si>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</si>
  <si>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</si>
  <si>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</si>
  <si>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</si>
  <si>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</si>
  <si>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</si>
  <si>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</si>
  <si>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</si>
  <si>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</si>
  <si>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</si>
  <si>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</si>
  <si>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</si>
  <si>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</si>
  <si>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</si>
  <si>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</si>
  <si>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</si>
  <si>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</si>
  <si>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</si>
  <si>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</si>
  <si>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</si>
  <si>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</si>
  <si>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</si>
  <si>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</si>
  <si>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</si>
  <si>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</si>
  <si>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</si>
  <si>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</si>
  <si>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</si>
  <si>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</si>
  <si>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</si>
  <si>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</si>
  <si>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</si>
  <si>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</si>
  <si>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</si>
  <si>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</si>
  <si>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</si>
  <si>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</si>
  <si>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</si>
  <si>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</si>
  <si>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</si>
  <si>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</si>
  <si>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</si>
  <si>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</si>
  <si>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</si>
  <si>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</si>
  <si>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</si>
  <si>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</si>
  <si>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</si>
  <si>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</si>
  <si>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</si>
  <si>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</si>
  <si>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</si>
  <si>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</si>
  <si>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</si>
  <si>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</si>
  <si>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</si>
  <si>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</si>
  <si>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</si>
  <si>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</si>
  <si>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</si>
  <si>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</si>
  <si>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</si>
  <si>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</si>
  <si>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</si>
  <si>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</si>
  <si>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</si>
  <si>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</si>
  <si>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</si>
  <si>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</si>
  <si>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</si>
  <si>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</si>
  <si>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</si>
  <si>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</si>
  <si>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</si>
  <si>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</si>
  <si>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</si>
  <si>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</si>
  <si>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</si>
  <si>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</si>
  <si>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</si>
  <si>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</si>
  <si>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</si>
  <si>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</si>
  <si>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</si>
  <si>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</si>
  <si>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</si>
  <si>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</si>
  <si>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</si>
  <si>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</si>
  <si>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</si>
  <si>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</si>
  <si>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</si>
  <si>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</si>
  <si>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</si>
  <si>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</si>
  <si>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</si>
  <si>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</si>
  <si>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</si>
  <si>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</si>
  <si>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</si>
  <si>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</si>
  <si>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</si>
  <si>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</si>
  <si>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</si>
  <si>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</si>
  <si>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</si>
  <si>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</si>
  <si>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</si>
  <si>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</si>
  <si>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</si>
  <si>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</si>
  <si>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</si>
  <si>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</si>
  <si>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</si>
  <si>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</si>
  <si>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</si>
  <si>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</si>
  <si>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</si>
  <si>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</si>
  <si>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</si>
  <si>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</si>
  <si>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</si>
  <si>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</si>
  <si>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</si>
  <si>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</si>
  <si>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</si>
  <si>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</si>
  <si>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</si>
  <si>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</si>
  <si>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</si>
  <si>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</si>
  <si>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</si>
  <si>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</si>
  <si>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</si>
  <si>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</si>
  <si>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</si>
  <si>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</si>
  <si>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</si>
  <si>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</si>
  <si>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</si>
  <si>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</si>
  <si>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</si>
  <si>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</si>
  <si>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</si>
  <si>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</si>
  <si>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</si>
  <si>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</si>
  <si>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</si>
  <si>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</si>
  <si>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</si>
  <si>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</si>
  <si>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</si>
  <si>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</si>
  <si>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</si>
  <si>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</si>
  <si>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</si>
  <si>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</si>
  <si>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</si>
  <si>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</si>
  <si>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</si>
  <si>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</si>
  <si>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</si>
  <si>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</si>
  <si>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</si>
  <si>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</si>
  <si>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</si>
  <si>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</si>
  <si>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</si>
  <si>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</si>
  <si>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</si>
  <si>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</si>
  <si>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</si>
  <si>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</si>
  <si>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</si>
  <si>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</si>
  <si>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</si>
  <si>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</si>
  <si>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</si>
  <si>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</si>
  <si>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</si>
  <si>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</si>
  <si>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</si>
  <si>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</si>
  <si>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</si>
  <si>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</si>
  <si>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</si>
  <si>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</si>
  <si>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</si>
  <si>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</si>
  <si>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</si>
  <si>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</si>
  <si>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</si>
  <si>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</si>
  <si>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</si>
  <si>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</si>
  <si>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</si>
  <si>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</si>
  <si>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</si>
  <si>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</si>
  <si>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</si>
  <si>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</si>
  <si>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</si>
  <si>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</si>
  <si>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</si>
  <si>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</si>
  <si>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</si>
  <si>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</si>
  <si>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</si>
  <si>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</si>
  <si>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</si>
  <si>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</si>
  <si>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</si>
  <si>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</si>
  <si>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</si>
  <si>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</si>
  <si>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</si>
  <si>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</si>
  <si>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</si>
  <si>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</si>
  <si>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</si>
  <si>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</si>
  <si>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</si>
  <si>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</si>
  <si>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</si>
  <si>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</si>
  <si>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</si>
  <si>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</si>
  <si>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</si>
  <si>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</si>
  <si>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</si>
  <si>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</si>
  <si>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</si>
  <si>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</si>
  <si>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</si>
  <si>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</si>
  <si>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</si>
  <si>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</si>
  <si>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</si>
  <si>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</si>
  <si>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</si>
  <si>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</si>
  <si>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</si>
  <si>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</si>
  <si>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</si>
  <si>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</si>
  <si>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</si>
  <si>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</si>
  <si>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</si>
  <si>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</si>
  <si>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</si>
  <si>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</si>
  <si>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</si>
  <si>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</si>
  <si>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</si>
  <si>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</si>
  <si>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</si>
  <si>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</si>
  <si>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</si>
  <si>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</si>
  <si>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</si>
  <si>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</si>
  <si>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</si>
  <si>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</si>
  <si>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</si>
  <si>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</si>
  <si>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</si>
  <si>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</si>
  <si>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</si>
  <si>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</si>
  <si>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</si>
  <si>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</si>
  <si>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</si>
  <si>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</si>
  <si>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</si>
  <si>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</si>
  <si>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</si>
  <si>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</si>
  <si>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</si>
  <si>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</si>
  <si>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</si>
  <si>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</si>
  <si>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</si>
  <si>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</si>
  <si>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</si>
  <si>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</si>
  <si>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</si>
  <si>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</si>
  <si>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</si>
  <si>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</si>
  <si>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</si>
  <si>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</si>
  <si>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</si>
  <si>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</si>
  <si>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</si>
  <si>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</si>
  <si>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</si>
  <si>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</si>
  <si>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</si>
  <si>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</si>
  <si>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</si>
  <si>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</si>
  <si>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</si>
  <si>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</si>
  <si>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</si>
  <si>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</si>
  <si>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</si>
  <si>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</si>
  <si>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</si>
  <si>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</si>
  <si>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</si>
  <si>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</si>
  <si>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</si>
  <si>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</si>
  <si>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</si>
  <si>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</si>
  <si>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</si>
  <si>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</si>
  <si>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</si>
  <si>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</si>
  <si>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</si>
  <si>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</si>
  <si>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</si>
  <si>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</si>
  <si>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</si>
  <si>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</si>
  <si>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</si>
  <si>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</si>
  <si>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</si>
  <si>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</si>
  <si>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</si>
  <si>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</si>
  <si>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</si>
  <si>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</si>
  <si>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</si>
  <si>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</si>
  <si>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</si>
  <si>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</si>
  <si>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</si>
  <si>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</si>
  <si>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</si>
  <si>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</si>
  <si>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</si>
  <si>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</si>
  <si>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</si>
  <si>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</si>
  <si>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</si>
  <si>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</si>
  <si>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</si>
  <si>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</si>
  <si>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</si>
  <si>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</si>
  <si>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</si>
  <si>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</si>
  <si>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</si>
  <si>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</si>
  <si>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</si>
  <si>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</si>
  <si>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</si>
  <si>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</si>
  <si>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</si>
  <si>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</si>
  <si>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</si>
  <si>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</si>
  <si>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</si>
  <si>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</si>
  <si>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</si>
  <si>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</si>
  <si>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</si>
  <si>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</si>
  <si>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</si>
  <si>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</si>
  <si>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</si>
  <si>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</si>
  <si>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</si>
  <si>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</si>
  <si>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</si>
  <si>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</si>
  <si>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</si>
  <si>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</si>
  <si>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</si>
  <si>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</si>
  <si>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</si>
  <si>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</si>
  <si>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</si>
  <si>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</si>
  <si>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</si>
  <si>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</si>
  <si>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</si>
  <si>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</si>
  <si>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</si>
  <si>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</si>
  <si>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</si>
  <si>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</si>
  <si>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</si>
  <si>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</si>
  <si>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</si>
  <si>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</si>
  <si>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</si>
  <si>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</si>
  <si>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</si>
  <si>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</si>
  <si>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</si>
  <si>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</si>
  <si>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</si>
  <si>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</si>
  <si>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</si>
  <si>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</si>
  <si>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</si>
  <si>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</si>
  <si>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</si>
  <si>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</si>
  <si>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</si>
  <si>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</si>
  <si>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</si>
  <si>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</si>
  <si>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</si>
  <si>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</si>
  <si>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</si>
  <si>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</si>
  <si>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</si>
  <si>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</si>
  <si>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</si>
  <si>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</si>
  <si>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</si>
  <si>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</si>
  <si>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</si>
  <si>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</si>
  <si>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</si>
  <si>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</si>
  <si>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</si>
  <si>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</si>
  <si>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</si>
  <si>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</si>
  <si>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</si>
  <si>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</si>
  <si>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</si>
  <si>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</si>
  <si>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</si>
  <si>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</si>
  <si>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</si>
  <si>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</si>
  <si>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</si>
  <si>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</si>
  <si>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</si>
  <si>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</si>
  <si>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</si>
  <si>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</si>
  <si>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</si>
  <si>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</si>
  <si>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</si>
  <si>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</si>
  <si>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</si>
  <si>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</si>
  <si>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</si>
  <si>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</si>
  <si>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</si>
  <si>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</si>
  <si>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</si>
  <si>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</si>
  <si>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</si>
  <si>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</si>
  <si>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</si>
  <si>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</si>
  <si>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</si>
  <si>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</si>
  <si>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</si>
  <si>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</si>
  <si>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</si>
  <si>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</si>
  <si>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</si>
  <si>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</si>
  <si>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</si>
  <si>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</si>
  <si>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</si>
  <si>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</si>
  <si>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</si>
  <si>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</si>
  <si>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</si>
  <si>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</si>
  <si>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</si>
  <si>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</si>
  <si>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</si>
  <si>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</si>
  <si>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</si>
  <si>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</si>
  <si>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</si>
  <si>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</si>
  <si>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</si>
  <si>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</si>
  <si>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</si>
  <si>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</si>
  <si>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</si>
  <si>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</si>
  <si>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</si>
  <si>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</si>
  <si>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</si>
  <si>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</si>
  <si>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</si>
  <si>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</si>
  <si>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</si>
  <si>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</si>
  <si>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</si>
  <si>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</si>
  <si>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</si>
  <si>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</si>
  <si>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</si>
  <si>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</si>
  <si>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</si>
  <si>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</si>
  <si>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</si>
  <si>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</si>
  <si>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</si>
  <si>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</si>
  <si>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</si>
  <si>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</si>
  <si>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</si>
  <si>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</si>
  <si>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</si>
  <si>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</si>
  <si>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</si>
  <si>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</si>
  <si>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</si>
  <si>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</si>
  <si>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</si>
  <si>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</si>
  <si>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</si>
  <si>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</si>
  <si>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</si>
  <si>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</si>
  <si>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</si>
  <si>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</si>
  <si>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</si>
  <si>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</si>
  <si>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</si>
  <si>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</si>
  <si>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</si>
  <si>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</si>
  <si>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</si>
  <si>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</si>
  <si>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</si>
  <si>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</si>
  <si>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</si>
  <si>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</si>
  <si>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</si>
  <si>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</si>
  <si>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</si>
  <si>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</si>
  <si>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</si>
  <si>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</si>
  <si>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</si>
  <si>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</si>
  <si>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</si>
  <si>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</si>
  <si>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</si>
  <si>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</si>
  <si>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</si>
  <si>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</si>
  <si>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</si>
  <si>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</si>
  <si>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</si>
  <si>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</si>
  <si>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</si>
  <si>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</si>
  <si>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</si>
  <si>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</si>
  <si>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</si>
  <si>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</si>
  <si>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</si>
  <si>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</si>
  <si>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</si>
  <si>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</si>
  <si>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</si>
  <si>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</si>
  <si>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</si>
  <si>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</si>
  <si>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</si>
  <si>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</si>
  <si>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</si>
  <si>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</si>
  <si>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</si>
  <si>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</si>
  <si>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</si>
  <si>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</si>
  <si>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</si>
  <si>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</si>
  <si>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</si>
  <si>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</si>
  <si>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</si>
  <si>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</si>
  <si>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</si>
  <si>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</si>
  <si>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</si>
  <si>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</si>
  <si>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</si>
  <si>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</si>
  <si>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</si>
  <si>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</si>
  <si>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</si>
  <si>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</si>
  <si>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</si>
  <si>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</si>
  <si>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</si>
  <si>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</si>
  <si>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</si>
  <si>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</si>
  <si>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</si>
  <si>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</si>
  <si>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</si>
  <si>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</si>
  <si>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</si>
  <si>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</si>
  <si>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</si>
  <si>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</si>
  <si>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</si>
  <si>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</si>
  <si>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</si>
  <si>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</si>
  <si>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</si>
  <si>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</si>
  <si>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</si>
  <si>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</si>
  <si>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</si>
  <si>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</si>
  <si>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</si>
  <si>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</si>
  <si>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</si>
  <si>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</si>
  <si>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</si>
  <si>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</si>
  <si>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</si>
  <si>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</si>
  <si>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</si>
  <si>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</si>
  <si>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</si>
  <si>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</si>
  <si>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</si>
  <si>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</si>
  <si>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</si>
  <si>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</si>
  <si>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</si>
  <si>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</si>
  <si>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</si>
  <si>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</si>
  <si>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</si>
  <si>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</si>
  <si>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</si>
  <si>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</si>
  <si>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</si>
  <si>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</si>
  <si>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</si>
  <si>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</si>
  <si>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</si>
  <si>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</si>
  <si>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</si>
  <si>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</si>
  <si>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</si>
  <si>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</si>
  <si>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</si>
  <si>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</si>
  <si>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</si>
  <si>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</si>
  <si>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</si>
  <si>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</si>
  <si>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</si>
  <si>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</si>
  <si>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</si>
  <si>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</si>
  <si>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</si>
  <si>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</si>
  <si>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</si>
  <si>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</si>
  <si>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</si>
  <si>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</si>
  <si>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</si>
  <si>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</si>
  <si>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</si>
  <si>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</si>
  <si>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</si>
  <si>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</si>
  <si>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</si>
  <si>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</si>
  <si>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</si>
  <si>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</si>
  <si>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</si>
  <si>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</si>
  <si>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</si>
  <si>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</si>
  <si>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</si>
  <si>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</si>
  <si>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</si>
  <si>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</si>
  <si>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</si>
  <si>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</si>
  <si>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</si>
  <si>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</si>
  <si>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</si>
  <si>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</si>
  <si>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</si>
  <si>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</si>
  <si>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</si>
  <si>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</si>
  <si>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</si>
  <si>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</si>
  <si>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</si>
  <si>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</si>
  <si>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</si>
  <si>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</si>
  <si>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</si>
  <si>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</si>
  <si>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</si>
  <si>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</si>
  <si>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</si>
  <si>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</si>
  <si>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</si>
  <si>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</si>
  <si>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</si>
  <si>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</si>
  <si>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</si>
  <si>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</si>
  <si>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</si>
  <si>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</si>
  <si>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</si>
  <si>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</si>
  <si>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</si>
  <si>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</si>
  <si>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</si>
  <si>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</si>
  <si>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</si>
  <si>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</si>
  <si>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</si>
  <si>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</si>
  <si>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</si>
  <si>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</si>
  <si>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</si>
  <si>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</si>
  <si>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</si>
  <si>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</si>
  <si>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</si>
  <si>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</si>
  <si>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</si>
  <si>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</si>
  <si>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</si>
  <si>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</si>
  <si>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</si>
  <si>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</si>
  <si>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</si>
  <si>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</si>
  <si>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</si>
  <si>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</si>
  <si>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</si>
  <si>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</si>
  <si>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</si>
  <si>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</si>
  <si>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</si>
  <si>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</si>
  <si>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</si>
  <si>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</si>
  <si>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</si>
  <si>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</si>
  <si>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</si>
  <si>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</si>
  <si>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</si>
  <si>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</si>
  <si>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</si>
  <si>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</si>
  <si>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</si>
  <si>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</si>
  <si>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</si>
  <si>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</si>
  <si>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</si>
  <si>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</si>
  <si>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</si>
  <si>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</si>
  <si>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</si>
  <si>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</si>
  <si>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</si>
  <si>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</si>
  <si>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</si>
  <si>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</si>
  <si>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</si>
  <si>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</si>
  <si>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</si>
  <si>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</si>
  <si>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</si>
  <si>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</si>
  <si>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</si>
  <si>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</si>
  <si>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</si>
  <si>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</si>
  <si>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</si>
  <si>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</si>
  <si>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</si>
  <si>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</si>
  <si>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</si>
  <si>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</si>
  <si>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</si>
  <si>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</si>
  <si>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</si>
  <si>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</si>
  <si>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</si>
  <si>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</si>
  <si>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</si>
  <si>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</si>
  <si>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</si>
  <si>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</si>
  <si>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</si>
  <si>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</si>
  <si>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</si>
  <si>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</si>
  <si>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</si>
  <si>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</si>
  <si>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</si>
  <si>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</si>
  <si>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</si>
  <si>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</si>
  <si>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</si>
  <si>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</si>
  <si>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</si>
  <si>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</si>
  <si>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</si>
  <si>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</si>
  <si>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</si>
  <si>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</si>
  <si>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</si>
  <si>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</si>
  <si>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</si>
  <si>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</si>
  <si>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</si>
  <si>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</si>
  <si>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</si>
  <si>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</si>
  <si>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</si>
  <si>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</si>
  <si>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</si>
  <si>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</si>
  <si>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</si>
  <si>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</si>
  <si>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</si>
  <si>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</si>
  <si>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</si>
  <si>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</si>
  <si>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</si>
  <si>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</si>
  <si>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</si>
  <si>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</si>
  <si>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</si>
  <si>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</si>
  <si>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</si>
  <si>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</si>
  <si>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</si>
  <si>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</si>
  <si>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</si>
  <si>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</si>
  <si>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</si>
  <si>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</si>
  <si>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</si>
  <si>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</si>
  <si>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</si>
  <si>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</si>
  <si>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</si>
  <si>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</si>
  <si>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</si>
  <si>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</si>
  <si>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</si>
  <si>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</si>
  <si>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</si>
  <si>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</si>
  <si>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</si>
  <si>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</si>
  <si>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</si>
  <si>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</si>
  <si>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</si>
  <si>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</si>
  <si>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</si>
  <si>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</si>
  <si>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</si>
  <si>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</si>
  <si>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</si>
  <si>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</si>
  <si>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</si>
  <si>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</si>
  <si>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</si>
  <si>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</si>
  <si>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</si>
  <si>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</si>
  <si>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</si>
  <si>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</si>
  <si>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</si>
  <si>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</si>
  <si>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</si>
  <si>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</si>
  <si>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</si>
  <si>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</si>
  <si>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</si>
  <si>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</si>
  <si>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</si>
  <si>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</si>
  <si>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</si>
  <si>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</si>
  <si>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</si>
  <si>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</si>
  <si>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</si>
  <si>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</si>
  <si>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</si>
  <si>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</si>
  <si>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</si>
  <si>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</si>
  <si>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</si>
  <si>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</si>
  <si>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</si>
  <si>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</si>
  <si>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</si>
  <si>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</si>
  <si>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</si>
  <si>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</si>
  <si>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</si>
  <si>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</si>
  <si>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</si>
  <si>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</si>
  <si>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</si>
  <si>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</si>
  <si>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</si>
  <si>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</si>
  <si>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</si>
  <si>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</si>
  <si>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</si>
  <si>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</si>
  <si>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</si>
  <si>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</si>
  <si>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</si>
  <si>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</si>
  <si>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</si>
  <si>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</si>
  <si>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</si>
  <si>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</si>
  <si>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</si>
  <si>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</si>
  <si>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</si>
  <si>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</si>
  <si>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</si>
  <si>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</si>
  <si>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</si>
  <si>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</si>
  <si>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</si>
  <si>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</si>
  <si>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</si>
  <si>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</si>
  <si>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</si>
  <si>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</si>
  <si>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</si>
  <si>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</si>
  <si>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</si>
  <si>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</si>
  <si>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</si>
  <si>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</si>
  <si>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</si>
  <si>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</si>
  <si>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</si>
  <si>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</si>
  <si>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</si>
  <si>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</si>
  <si>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</si>
  <si>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</si>
  <si>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</si>
  <si>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</si>
  <si>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</si>
  <si>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</si>
  <si>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</si>
  <si>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</si>
  <si>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</si>
  <si>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</si>
  <si>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</si>
  <si>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</si>
  <si>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</si>
  <si>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</si>
  <si>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</si>
  <si>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</si>
  <si>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</si>
  <si>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</si>
  <si>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</si>
  <si>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</si>
  <si>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</si>
  <si>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</si>
  <si>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</si>
  <si>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</si>
  <si>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</si>
  <si>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</si>
  <si>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</si>
  <si>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</si>
  <si>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</si>
  <si>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</si>
  <si>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</si>
  <si>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</si>
  <si>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</si>
  <si>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</si>
  <si>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</si>
  <si>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</si>
  <si>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</si>
  <si>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</si>
  <si>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</si>
  <si>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</si>
  <si>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</si>
  <si>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</si>
  <si>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</si>
  <si>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</si>
  <si>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</si>
  <si>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</si>
  <si>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</si>
  <si>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</si>
  <si>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</si>
  <si>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</si>
  <si>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</si>
  <si>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</si>
  <si>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</si>
  <si>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</si>
  <si>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</si>
  <si>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</si>
  <si>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</si>
  <si>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</si>
  <si>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</si>
  <si>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</si>
  <si>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</si>
  <si>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</si>
  <si>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</si>
  <si>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</si>
  <si>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</si>
  <si>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</si>
  <si>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</si>
  <si>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</si>
  <si>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</si>
  <si>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</si>
  <si>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</si>
  <si>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</si>
  <si>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</si>
  <si>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</si>
  <si>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</si>
  <si>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</si>
  <si>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</si>
  <si>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</si>
  <si>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</si>
  <si>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</si>
  <si>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</si>
  <si>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</si>
  <si>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</si>
  <si>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</si>
  <si>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</si>
  <si>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</si>
  <si>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</si>
  <si>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</si>
  <si>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</si>
  <si>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</si>
  <si>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</si>
  <si>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</si>
  <si>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</si>
  <si>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</si>
  <si>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</si>
  <si>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</si>
  <si>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</si>
  <si>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</si>
  <si>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</si>
  <si>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</si>
  <si>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</si>
  <si>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</si>
  <si>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</si>
  <si>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</si>
  <si>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</si>
  <si>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</si>
  <si>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</si>
  <si>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</si>
  <si>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</si>
  <si>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</si>
  <si>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</si>
  <si>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</si>
  <si>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</si>
  <si>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</si>
  <si>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</si>
  <si>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</si>
  <si>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</si>
  <si>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</si>
  <si>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</si>
  <si>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</si>
  <si>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</si>
  <si>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</si>
  <si>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</si>
  <si>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</si>
  <si>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</si>
  <si>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</si>
  <si>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</si>
  <si>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</si>
  <si>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</si>
  <si>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</si>
  <si>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</si>
  <si>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</si>
  <si>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</si>
  <si>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</si>
  <si>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</si>
  <si>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</si>
  <si>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</si>
  <si>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</si>
  <si>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</si>
  <si>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</si>
  <si>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</si>
  <si>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</si>
  <si>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</si>
  <si>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</si>
  <si>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</si>
  <si>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</si>
  <si>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</si>
  <si>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</si>
  <si>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</si>
  <si>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</si>
  <si>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</si>
  <si>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</si>
  <si>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</si>
  <si>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</si>
  <si>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</si>
  <si>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</si>
  <si>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</si>
  <si>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</si>
  <si>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</si>
  <si>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</si>
  <si>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</si>
  <si>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</si>
  <si>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</si>
  <si>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</si>
  <si>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</si>
  <si>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</si>
  <si>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</si>
  <si>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</si>
  <si>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</si>
  <si>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</si>
  <si>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</si>
  <si>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</si>
  <si>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</si>
  <si>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</si>
  <si>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</si>
  <si>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</si>
  <si>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</si>
  <si>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</si>
  <si>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</si>
  <si>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</si>
  <si>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</si>
  <si>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</si>
  <si>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</si>
  <si>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</si>
  <si>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</si>
  <si>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</si>
  <si>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</si>
  <si>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</si>
  <si>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</si>
  <si>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</si>
  <si>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</si>
  <si>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</si>
  <si>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</si>
  <si>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</si>
  <si>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</si>
  <si>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</si>
  <si>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</si>
  <si>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</si>
  <si>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</si>
  <si>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</si>
  <si>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</si>
  <si>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</si>
  <si>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</si>
  <si>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</si>
  <si>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</si>
  <si>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</si>
  <si>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</si>
  <si>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</si>
  <si>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</si>
  <si>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</si>
  <si>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</si>
  <si>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</si>
  <si>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</si>
  <si>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</si>
  <si>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</si>
  <si>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</si>
  <si>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</si>
  <si>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</si>
  <si>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</si>
  <si>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</si>
  <si>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</si>
  <si>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</si>
  <si>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</si>
  <si>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</si>
  <si>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</si>
  <si>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</si>
  <si>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</si>
  <si>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</si>
  <si>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</si>
  <si>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</si>
  <si>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</si>
  <si>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</si>
  <si>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</si>
  <si>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</si>
  <si>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</si>
  <si>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</si>
  <si>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</si>
  <si>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</si>
  <si>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</si>
  <si>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</si>
  <si>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</si>
  <si>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</si>
  <si>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</si>
  <si>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</si>
  <si>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</si>
  <si>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</si>
  <si>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</si>
  <si>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</si>
  <si>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</si>
  <si>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</si>
  <si>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</si>
  <si>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</si>
  <si>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</si>
  <si>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</si>
  <si>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</si>
  <si>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</si>
  <si>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</si>
  <si>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</si>
  <si>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</si>
  <si>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</si>
  <si>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</si>
  <si>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</si>
  <si>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</si>
  <si>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</si>
  <si>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</si>
  <si>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</si>
  <si>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</si>
  <si>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</si>
  <si>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</si>
  <si>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</si>
  <si>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</si>
  <si>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</si>
  <si>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</si>
  <si>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</si>
  <si>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</si>
  <si>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</si>
  <si>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</si>
  <si>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</si>
  <si>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</si>
  <si>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</si>
  <si>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</si>
  <si>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</si>
  <si>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</si>
  <si>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</si>
  <si>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</si>
  <si>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</si>
  <si>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</si>
  <si>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</si>
  <si>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</si>
  <si>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</si>
  <si>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</si>
  <si>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</si>
  <si>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</si>
  <si>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</si>
  <si>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</si>
  <si>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</si>
  <si>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</si>
  <si>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</si>
  <si>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</si>
  <si>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</si>
  <si>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</si>
  <si>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</si>
  <si>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</si>
  <si>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</si>
  <si>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</si>
  <si>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</si>
  <si>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</si>
  <si>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</si>
  <si>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</si>
  <si>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</si>
  <si>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</si>
  <si>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</si>
  <si>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</si>
  <si>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</si>
  <si>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</si>
  <si>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</si>
  <si>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</si>
  <si>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</si>
  <si>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</si>
  <si>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</si>
  <si>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</si>
  <si>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</si>
  <si>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</si>
  <si>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</si>
  <si>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</si>
  <si>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</si>
  <si>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</si>
  <si>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</si>
  <si>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</si>
  <si>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</si>
  <si>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</si>
  <si>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</si>
  <si>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</si>
  <si>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</si>
  <si>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</si>
  <si>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</si>
  <si>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</si>
  <si>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</si>
  <si>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</si>
  <si>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</si>
  <si>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</si>
  <si>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</si>
  <si>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</si>
  <si>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</si>
  <si>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</si>
  <si>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</si>
  <si>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</si>
  <si>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</si>
  <si>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</si>
  <si>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</si>
  <si>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</si>
  <si>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</si>
  <si>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</si>
  <si>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</si>
  <si>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</si>
  <si>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</si>
  <si>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</si>
  <si>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</si>
  <si>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</si>
  <si>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</si>
  <si>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</si>
  <si>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</si>
  <si>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</si>
  <si>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</si>
  <si>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</si>
  <si>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</si>
  <si>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</si>
  <si>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</si>
  <si>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</si>
  <si>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</si>
  <si>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</si>
  <si>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</si>
  <si>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</si>
  <si>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</si>
  <si>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</si>
  <si>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</si>
  <si>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</si>
  <si>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</si>
  <si>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</si>
  <si>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</si>
  <si>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</si>
  <si>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</si>
  <si>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</si>
  <si>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</si>
  <si>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</si>
  <si>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</si>
  <si>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</si>
  <si>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</si>
  <si>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</si>
  <si>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</si>
  <si>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</si>
  <si>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</si>
  <si>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</si>
  <si>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</si>
  <si>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</si>
  <si>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</si>
  <si>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</si>
  <si>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</si>
  <si>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</si>
  <si>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</si>
  <si>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</si>
  <si>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</si>
  <si>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</si>
  <si>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</si>
  <si>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</si>
  <si>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</si>
  <si>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</si>
  <si>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</si>
  <si>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</si>
  <si>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</si>
  <si>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</si>
  <si>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</si>
  <si>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</si>
  <si>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</si>
  <si>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</si>
  <si>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</si>
  <si>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</si>
  <si>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</si>
  <si>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</si>
  <si>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</si>
  <si>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</si>
  <si>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</si>
  <si>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</si>
  <si>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</si>
  <si>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</si>
  <si>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</si>
  <si>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</si>
  <si>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</si>
  <si>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</si>
  <si>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</si>
  <si>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</si>
  <si>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</si>
  <si>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</si>
  <si>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</si>
  <si>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</si>
  <si>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</si>
  <si>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</si>
  <si>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</si>
  <si>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</si>
  <si>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</si>
  <si>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</si>
  <si>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</si>
  <si>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</si>
  <si>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</si>
  <si>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</si>
  <si>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</si>
  <si>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</si>
  <si>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</si>
  <si>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</si>
  <si>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</si>
  <si>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</si>
  <si>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</si>
  <si>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</si>
  <si>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</si>
  <si>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</si>
  <si>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</si>
  <si>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</si>
  <si>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</si>
  <si>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</si>
  <si>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</si>
  <si>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</si>
  <si>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</si>
  <si>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</si>
  <si>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</si>
  <si>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</si>
  <si>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</si>
  <si>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</si>
  <si>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</si>
  <si>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</si>
  <si>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</si>
  <si>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</si>
  <si>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</si>
  <si>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</si>
  <si>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</si>
  <si>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</si>
  <si>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</si>
  <si>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</si>
  <si>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</si>
  <si>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</si>
  <si>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</si>
  <si>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</si>
  <si>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</si>
  <si>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</si>
  <si>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</si>
  <si>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</si>
  <si>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</si>
  <si>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</si>
  <si>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</si>
  <si>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</si>
  <si>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</si>
  <si>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</si>
  <si>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</si>
  <si>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</si>
  <si>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</si>
  <si>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</si>
  <si>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</si>
  <si>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</si>
  <si>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</si>
  <si>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</si>
  <si>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</si>
  <si>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</si>
  <si>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</si>
  <si>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</si>
  <si>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</si>
  <si>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</si>
  <si>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</si>
  <si>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</si>
  <si>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</si>
  <si>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</si>
  <si>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</si>
  <si>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</si>
  <si>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</si>
  <si>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</si>
  <si>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</si>
  <si>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</si>
  <si>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</si>
  <si>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</si>
  <si>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</si>
  <si>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</si>
  <si>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</si>
  <si>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</si>
  <si>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</si>
  <si>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</si>
  <si>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</si>
  <si>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</si>
  <si>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</si>
  <si>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</si>
  <si>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</si>
  <si>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</si>
  <si>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</si>
  <si>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</si>
  <si>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</si>
  <si>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</si>
  <si>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</si>
  <si>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</si>
  <si>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</si>
  <si>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</si>
  <si>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</si>
  <si>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</si>
  <si>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</si>
  <si>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</si>
  <si>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</si>
  <si>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</si>
  <si>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</si>
  <si>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</si>
  <si>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</si>
  <si>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</si>
  <si>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</si>
  <si>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</si>
  <si>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</si>
  <si>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</si>
  <si>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</si>
  <si>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</si>
  <si>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</si>
  <si>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</si>
  <si>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</si>
  <si>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</si>
  <si>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</si>
  <si>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</si>
  <si>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</si>
  <si>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</si>
  <si>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</si>
  <si>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</si>
  <si>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</si>
  <si>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</si>
  <si>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</si>
  <si>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</si>
  <si>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</si>
  <si>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</si>
  <si>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</si>
  <si>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</si>
  <si>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</si>
  <si>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</si>
  <si>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</si>
  <si>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</si>
  <si>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</si>
  <si>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</si>
  <si>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</si>
  <si>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</si>
  <si>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</si>
  <si>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</si>
  <si>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</si>
  <si>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</si>
  <si>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</si>
  <si>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</si>
  <si>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</si>
  <si>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</si>
  <si>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</si>
  <si>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</si>
  <si>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</si>
  <si>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</si>
  <si>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</si>
  <si>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</si>
  <si>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</si>
  <si>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</si>
  <si>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</si>
  <si>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</si>
  <si>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</si>
  <si>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</si>
  <si>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</si>
  <si>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</si>
  <si>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</si>
  <si>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</si>
  <si>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</si>
  <si>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</si>
  <si>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</si>
  <si>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</si>
  <si>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</si>
  <si>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</si>
  <si>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</si>
  <si>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</si>
  <si>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</si>
  <si>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</si>
  <si>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</si>
  <si>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</si>
  <si>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</si>
  <si>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</si>
  <si>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</si>
  <si>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</si>
  <si>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</si>
  <si>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</si>
  <si>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</si>
  <si>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</si>
  <si>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</si>
  <si>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</si>
  <si>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</si>
  <si>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</si>
  <si>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</si>
  <si>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</si>
  <si>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</si>
  <si>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</si>
  <si>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</si>
  <si>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</si>
  <si>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</si>
  <si>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</si>
  <si>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</si>
  <si>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</si>
  <si>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</si>
  <si>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</si>
  <si>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</si>
  <si>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</si>
  <si>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</si>
  <si>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</si>
  <si>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</si>
  <si>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</si>
  <si>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</si>
  <si>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</si>
  <si>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</si>
  <si>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</si>
  <si>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</si>
  <si>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</si>
  <si>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</si>
  <si>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</si>
  <si>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</si>
  <si>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</si>
  <si>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</si>
  <si>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</si>
  <si>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</si>
  <si>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</si>
  <si>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</si>
  <si>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</si>
  <si>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</si>
  <si>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</si>
  <si>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</si>
  <si>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</si>
  <si>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</si>
  <si>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</si>
  <si>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</si>
  <si>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</si>
  <si>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</si>
  <si>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</si>
  <si>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</si>
  <si>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</si>
  <si>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</si>
  <si>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</si>
  <si>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</si>
  <si>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</si>
  <si>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</si>
  <si>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</si>
  <si>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</si>
  <si>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</si>
  <si>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</si>
  <si>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</si>
  <si>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</si>
  <si>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</si>
  <si>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</si>
  <si>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</si>
  <si>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</si>
  <si>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</si>
  <si>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</si>
  <si>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</si>
  <si>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</si>
  <si>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</si>
  <si>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</si>
  <si>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</si>
  <si>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</si>
  <si>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</si>
  <si>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</si>
  <si>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</si>
  <si>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</si>
  <si>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</si>
  <si>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</si>
  <si>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</si>
  <si>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</si>
  <si>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</si>
  <si>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</si>
  <si>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</si>
  <si>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</si>
  <si>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</si>
  <si>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</si>
  <si>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成新度</t>
  </si>
  <si>
    <t>商业项目</t>
  </si>
  <si>
    <t>现房</t>
  </si>
  <si>
    <t>是</t>
  </si>
  <si>
    <t>地上</t>
  </si>
  <si>
    <t>4层商业</t>
  </si>
  <si>
    <t>4层商业</t>
    <phoneticPr fontId="7" type="noConversion"/>
  </si>
  <si>
    <t>收益法 (元)</t>
  </si>
  <si>
    <t>押一</t>
  </si>
  <si>
    <t>钢混</t>
  </si>
  <si>
    <t>非生产用房</t>
  </si>
  <si>
    <t>否</t>
  </si>
  <si>
    <t>自定义容积率</t>
  </si>
  <si>
    <t>不临65条商业街</t>
  </si>
  <si>
    <t>与级别开发程度不一致</t>
  </si>
  <si>
    <t>通路</t>
  </si>
  <si>
    <t>通电</t>
  </si>
  <si>
    <t>通讯</t>
  </si>
  <si>
    <t>通上水</t>
  </si>
  <si>
    <t>通下水</t>
  </si>
  <si>
    <t>燃气</t>
  </si>
  <si>
    <t>平整</t>
  </si>
  <si>
    <t>楼层修正</t>
  </si>
  <si>
    <t>较好</t>
  </si>
  <si>
    <t>一般</t>
  </si>
  <si>
    <t>好</t>
  </si>
  <si>
    <t>未包含在土地购买价格中</t>
  </si>
  <si>
    <t>已包含在土地取得成本中</t>
  </si>
  <si>
    <t>楼面单价</t>
  </si>
  <si>
    <t>成本法 (元)</t>
  </si>
  <si>
    <t>成本比率</t>
  </si>
  <si>
    <r>
      <t>1</t>
    </r>
    <r>
      <rPr>
        <sz val="10"/>
        <color indexed="8"/>
        <rFont val="宋体"/>
        <family val="3"/>
        <charset val="134"/>
      </rPr>
      <t>层</t>
    </r>
    <phoneticPr fontId="3" type="noConversion"/>
  </si>
  <si>
    <t>系数</t>
    <phoneticPr fontId="3" type="noConversion"/>
  </si>
  <si>
    <t>租金</t>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</si>
  <si>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</si>
  <si>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</si>
  <si>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</si>
  <si>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t>朝阳区日坛北路17号院2号楼4层4082商业用房</t>
    <phoneticPr fontId="6" type="noConversion"/>
  </si>
  <si>
    <r>
      <t>1</t>
    </r>
    <r>
      <rPr>
        <sz val="10"/>
        <color indexed="8"/>
        <rFont val="宋体"/>
        <family val="3"/>
        <charset val="134"/>
      </rPr>
      <t>层内铺</t>
    </r>
    <r>
      <rPr>
        <sz val="10"/>
        <color indexed="8"/>
        <rFont val="Arial"/>
        <family val="2"/>
      </rPr>
      <t>5</t>
    </r>
    <r>
      <rPr>
        <sz val="10"/>
        <color indexed="8"/>
        <rFont val="宋体"/>
        <family val="3"/>
        <charset val="134"/>
      </rPr>
      <t>块左右，外铺</t>
    </r>
    <r>
      <rPr>
        <sz val="10"/>
        <color indexed="8"/>
        <rFont val="Arial"/>
        <family val="2"/>
      </rPr>
      <t>7-8</t>
    </r>
    <r>
      <rPr>
        <sz val="10"/>
        <color indexed="8"/>
        <rFont val="宋体"/>
        <family val="3"/>
        <charset val="134"/>
      </rPr>
      <t>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</si>
</sst>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83" fontId="47" fillId="0" borderId="1" xfId="19" applyNumberFormat="1" applyFont="1" applyFill="1" applyBorder="1" applyAlignment="1" applyProtection="1">
      <alignment horizontal="center" vertical="center" shrinkToFit="1"/>
      <protection locked="0"/>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cellXfs>
  <cellStyles count="20">
    <cellStyle name="百分比" xfId="17" builtinId="5"/>
    <cellStyle name="百分比 2" xfId="14"/>
    <cellStyle name="常规" xfId="0" builtinId="0"/>
    <cellStyle name="常规 11" xfId="18"/>
    <cellStyle name="常规 13"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17</xdr:col>
      <xdr:colOff>398543</xdr:colOff>
      <xdr:row>35</xdr:row>
      <xdr:rowOff>46893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0500"/>
          <a:ext cx="12057143" cy="5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656029</xdr:colOff>
      <xdr:row>34</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71429" cy="5847619"/>
        </a:xfrm>
        <a:prstGeom prst="rect">
          <a:avLst/>
        </a:prstGeom>
      </xdr:spPr>
    </xdr:pic>
    <xdr:clientData/>
  </xdr:twoCellAnchor>
  <xdr:twoCellAnchor editAs="oneCell">
    <xdr:from>
      <xdr:col>0</xdr:col>
      <xdr:colOff>0</xdr:colOff>
      <xdr:row>36</xdr:row>
      <xdr:rowOff>0</xdr:rowOff>
    </xdr:from>
    <xdr:to>
      <xdr:col>5</xdr:col>
      <xdr:colOff>428143</xdr:colOff>
      <xdr:row>63</xdr:row>
      <xdr:rowOff>170850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3857143" cy="4800000"/>
        </a:xfrm>
        <a:prstGeom prst="rect">
          <a:avLst/>
        </a:prstGeom>
      </xdr:spPr>
    </xdr:pic>
    <xdr:clientData/>
  </xdr:twoCellAnchor>
  <xdr:twoCellAnchor editAs="oneCell">
    <xdr:from>
      <xdr:col>6</xdr:col>
      <xdr:colOff>0</xdr:colOff>
      <xdr:row>36</xdr:row>
      <xdr:rowOff>0</xdr:rowOff>
    </xdr:from>
    <xdr:to>
      <xdr:col>11</xdr:col>
      <xdr:colOff>313857</xdr:colOff>
      <xdr:row>68</xdr:row>
      <xdr:rowOff>85029</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6172200"/>
          <a:ext cx="3742857" cy="5571429"/>
        </a:xfrm>
        <a:prstGeom prst="rect">
          <a:avLst/>
        </a:prstGeom>
      </xdr:spPr>
    </xdr:pic>
    <xdr:clientData/>
  </xdr:twoCellAnchor>
  <xdr:twoCellAnchor editAs="oneCell">
    <xdr:from>
      <xdr:col>12</xdr:col>
      <xdr:colOff>0</xdr:colOff>
      <xdr:row>36</xdr:row>
      <xdr:rowOff>0</xdr:rowOff>
    </xdr:from>
    <xdr:to>
      <xdr:col>17</xdr:col>
      <xdr:colOff>456715</xdr:colOff>
      <xdr:row>67</xdr:row>
      <xdr:rowOff>151717</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6172200"/>
          <a:ext cx="3885715" cy="5466667"/>
        </a:xfrm>
        <a:prstGeom prst="rect">
          <a:avLst/>
        </a:prstGeom>
      </xdr:spPr>
    </xdr:pic>
    <xdr:clientData/>
  </xdr:twoCellAnchor>
  <xdr:twoCellAnchor editAs="oneCell">
    <xdr:from>
      <xdr:col>0</xdr:col>
      <xdr:colOff>0</xdr:colOff>
      <xdr:row>69</xdr:row>
      <xdr:rowOff>0</xdr:rowOff>
    </xdr:from>
    <xdr:to>
      <xdr:col>5</xdr:col>
      <xdr:colOff>380524</xdr:colOff>
      <xdr:row>101</xdr:row>
      <xdr:rowOff>161219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830050"/>
          <a:ext cx="3809524" cy="5647619"/>
        </a:xfrm>
        <a:prstGeom prst="rect">
          <a:avLst/>
        </a:prstGeom>
      </xdr:spPr>
    </xdr:pic>
    <xdr:clientData/>
  </xdr:twoCellAnchor>
  <xdr:twoCellAnchor editAs="oneCell">
    <xdr:from>
      <xdr:col>6</xdr:col>
      <xdr:colOff>0</xdr:colOff>
      <xdr:row>69</xdr:row>
      <xdr:rowOff>0</xdr:rowOff>
    </xdr:from>
    <xdr:to>
      <xdr:col>11</xdr:col>
      <xdr:colOff>590048</xdr:colOff>
      <xdr:row>101</xdr:row>
      <xdr:rowOff>46934</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11830050"/>
          <a:ext cx="4019048" cy="5533334"/>
        </a:xfrm>
        <a:prstGeom prst="rect">
          <a:avLst/>
        </a:prstGeom>
      </xdr:spPr>
    </xdr:pic>
    <xdr:clientData/>
  </xdr:twoCellAnchor>
  <xdr:twoCellAnchor editAs="oneCell">
    <xdr:from>
      <xdr:col>12</xdr:col>
      <xdr:colOff>0</xdr:colOff>
      <xdr:row>69</xdr:row>
      <xdr:rowOff>0</xdr:rowOff>
    </xdr:from>
    <xdr:to>
      <xdr:col>17</xdr:col>
      <xdr:colOff>342429</xdr:colOff>
      <xdr:row>100</xdr:row>
      <xdr:rowOff>142193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1830050"/>
          <a:ext cx="3771429" cy="5457143"/>
        </a:xfrm>
        <a:prstGeom prst="rect">
          <a:avLst/>
        </a:prstGeom>
      </xdr:spPr>
    </xdr:pic>
    <xdr:clientData/>
  </xdr:twoCellAnchor>
  <xdr:twoCellAnchor editAs="oneCell">
    <xdr:from>
      <xdr:col>0</xdr:col>
      <xdr:colOff>0</xdr:colOff>
      <xdr:row>104</xdr:row>
      <xdr:rowOff>0</xdr:rowOff>
    </xdr:from>
    <xdr:to>
      <xdr:col>12</xdr:col>
      <xdr:colOff>218020</xdr:colOff>
      <xdr:row>136</xdr:row>
      <xdr:rowOff>161219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7830800"/>
          <a:ext cx="8447620" cy="5647619"/>
        </a:xfrm>
        <a:prstGeom prst="rect">
          <a:avLst/>
        </a:prstGeom>
      </xdr:spPr>
    </xdr:pic>
    <xdr:clientData/>
  </xdr:twoCellAnchor>
  <xdr:twoCellAnchor editAs="oneCell">
    <xdr:from>
      <xdr:col>12</xdr:col>
      <xdr:colOff>152400</xdr:colOff>
      <xdr:row>103</xdr:row>
      <xdr:rowOff>123825</xdr:rowOff>
    </xdr:from>
    <xdr:to>
      <xdr:col>18</xdr:col>
      <xdr:colOff>9029</xdr:colOff>
      <xdr:row>125</xdr:row>
      <xdr:rowOff>47163</xdr:rowOff>
    </xdr:to>
    <xdr:pic>
      <xdr:nvPicPr>
        <xdr:cNvPr id="10" name="图片 9"/>
        <xdr:cNvPicPr>
          <a:picLocks noChangeAspect="1"/>
        </xdr:cNvPicPr>
      </xdr:nvPicPr>
      <xdr:blipFill>
        <a:blip xmlns:r="http://schemas.openxmlformats.org/officeDocument/2006/relationships" r:embed="rId9"/>
        <a:stretch>
          <a:fillRect/>
        </a:stretch>
      </xdr:blipFill>
      <xdr:spPr>
        <a:xfrm>
          <a:off x="8382000" y="17783175"/>
          <a:ext cx="3971429" cy="3695238"/>
        </a:xfrm>
        <a:prstGeom prst="rect">
          <a:avLst/>
        </a:prstGeom>
      </xdr:spPr>
    </xdr:pic>
    <xdr:clientData/>
  </xdr:twoCellAnchor>
  <xdr:twoCellAnchor editAs="oneCell">
    <xdr:from>
      <xdr:col>0</xdr:col>
      <xdr:colOff>9525</xdr:colOff>
      <xdr:row>138</xdr:row>
      <xdr:rowOff>9525</xdr:rowOff>
    </xdr:from>
    <xdr:to>
      <xdr:col>6</xdr:col>
      <xdr:colOff>37582</xdr:colOff>
      <xdr:row>161</xdr:row>
      <xdr:rowOff>9032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525" y="23669625"/>
          <a:ext cx="4142857" cy="3942857"/>
        </a:xfrm>
        <a:prstGeom prst="rect">
          <a:avLst/>
        </a:prstGeom>
      </xdr:spPr>
    </xdr:pic>
    <xdr:clientData/>
  </xdr:twoCellAnchor>
  <xdr:twoCellAnchor editAs="oneCell">
    <xdr:from>
      <xdr:col>6</xdr:col>
      <xdr:colOff>0</xdr:colOff>
      <xdr:row>138</xdr:row>
      <xdr:rowOff>0</xdr:rowOff>
    </xdr:from>
    <xdr:to>
      <xdr:col>11</xdr:col>
      <xdr:colOff>371000</xdr:colOff>
      <xdr:row>166</xdr:row>
      <xdr:rowOff>47019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114800" y="23660100"/>
          <a:ext cx="3800000" cy="4847619"/>
        </a:xfrm>
        <a:prstGeom prst="rect">
          <a:avLst/>
        </a:prstGeom>
      </xdr:spPr>
    </xdr:pic>
    <xdr:clientData/>
  </xdr:twoCellAnchor>
  <xdr:twoCellAnchor editAs="oneCell">
    <xdr:from>
      <xdr:col>12</xdr:col>
      <xdr:colOff>0</xdr:colOff>
      <xdr:row>138</xdr:row>
      <xdr:rowOff>0</xdr:rowOff>
    </xdr:from>
    <xdr:to>
      <xdr:col>17</xdr:col>
      <xdr:colOff>485286</xdr:colOff>
      <xdr:row>161</xdr:row>
      <xdr:rowOff>37603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229600" y="23660100"/>
          <a:ext cx="3914286" cy="3980953"/>
        </a:xfrm>
        <a:prstGeom prst="rect">
          <a:avLst/>
        </a:prstGeom>
      </xdr:spPr>
    </xdr:pic>
    <xdr:clientData/>
  </xdr:twoCellAnchor>
  <xdr:twoCellAnchor editAs="oneCell">
    <xdr:from>
      <xdr:col>0</xdr:col>
      <xdr:colOff>38101</xdr:colOff>
      <xdr:row>171</xdr:row>
      <xdr:rowOff>9526</xdr:rowOff>
    </xdr:from>
    <xdr:to>
      <xdr:col>11</xdr:col>
      <xdr:colOff>138539</xdr:colOff>
      <xdr:row>196</xdr:row>
      <xdr:rowOff>142876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38101" y="29327476"/>
          <a:ext cx="7644238" cy="4419600"/>
        </a:xfrm>
        <a:prstGeom prst="rect">
          <a:avLst/>
        </a:prstGeom>
      </xdr:spPr>
    </xdr:pic>
    <xdr:clientData/>
  </xdr:twoCellAnchor>
  <xdr:twoCellAnchor editAs="oneCell">
    <xdr:from>
      <xdr:col>11</xdr:col>
      <xdr:colOff>133350</xdr:colOff>
      <xdr:row>173</xdr:row>
      <xdr:rowOff>161926</xdr:rowOff>
    </xdr:from>
    <xdr:to>
      <xdr:col>23</xdr:col>
      <xdr:colOff>351050</xdr:colOff>
      <xdr:row>197</xdr:row>
      <xdr:rowOff>15018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7677150" y="29822776"/>
          <a:ext cx="8447300" cy="3967892"/>
        </a:xfrm>
        <a:prstGeom prst="rect">
          <a:avLst/>
        </a:prstGeom>
      </xdr:spPr>
    </xdr:pic>
    <xdr:clientData/>
  </xdr:twoCellAnchor>
  <xdr:twoCellAnchor editAs="oneCell">
    <xdr:from>
      <xdr:col>0</xdr:col>
      <xdr:colOff>1</xdr:colOff>
      <xdr:row>199</xdr:row>
      <xdr:rowOff>0</xdr:rowOff>
    </xdr:from>
    <xdr:to>
      <xdr:col>12</xdr:col>
      <xdr:colOff>561479</xdr:colOff>
      <xdr:row>222</xdr:row>
      <xdr:rowOff>104775</xdr:rowOff>
    </xdr:to>
    <xdr:pic>
      <xdr:nvPicPr>
        <xdr:cNvPr id="17" name="图片 16"/>
        <xdr:cNvPicPr>
          <a:picLocks noChangeAspect="1"/>
        </xdr:cNvPicPr>
      </xdr:nvPicPr>
      <xdr:blipFill>
        <a:blip xmlns:r="http://schemas.openxmlformats.org/officeDocument/2006/relationships" r:embed="rId15"/>
        <a:stretch>
          <a:fillRect/>
        </a:stretch>
      </xdr:blipFill>
      <xdr:spPr>
        <a:xfrm>
          <a:off x="1" y="34118550"/>
          <a:ext cx="8791078" cy="4048125"/>
        </a:xfrm>
        <a:prstGeom prst="rect">
          <a:avLst/>
        </a:prstGeom>
      </xdr:spPr>
    </xdr:pic>
    <xdr:clientData/>
  </xdr:twoCellAnchor>
  <xdr:twoCellAnchor editAs="oneCell">
    <xdr:from>
      <xdr:col>0</xdr:col>
      <xdr:colOff>0</xdr:colOff>
      <xdr:row>224</xdr:row>
      <xdr:rowOff>0</xdr:rowOff>
    </xdr:from>
    <xdr:to>
      <xdr:col>5</xdr:col>
      <xdr:colOff>475762</xdr:colOff>
      <xdr:row>250</xdr:row>
      <xdr:rowOff>142300</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38404800"/>
          <a:ext cx="3904762" cy="4600000"/>
        </a:xfrm>
        <a:prstGeom prst="rect">
          <a:avLst/>
        </a:prstGeom>
      </xdr:spPr>
    </xdr:pic>
    <xdr:clientData/>
  </xdr:twoCellAnchor>
  <xdr:twoCellAnchor editAs="oneCell">
    <xdr:from>
      <xdr:col>5</xdr:col>
      <xdr:colOff>415929</xdr:colOff>
      <xdr:row>224</xdr:row>
      <xdr:rowOff>114300</xdr:rowOff>
    </xdr:from>
    <xdr:to>
      <xdr:col>17</xdr:col>
      <xdr:colOff>608209</xdr:colOff>
      <xdr:row>247</xdr:row>
      <xdr:rowOff>28575</xdr:rowOff>
    </xdr:to>
    <xdr:pic>
      <xdr:nvPicPr>
        <xdr:cNvPr id="19" name="图片 18"/>
        <xdr:cNvPicPr>
          <a:picLocks noChangeAspect="1"/>
        </xdr:cNvPicPr>
      </xdr:nvPicPr>
      <xdr:blipFill>
        <a:blip xmlns:r="http://schemas.openxmlformats.org/officeDocument/2006/relationships" r:embed="rId17"/>
        <a:stretch>
          <a:fillRect/>
        </a:stretch>
      </xdr:blipFill>
      <xdr:spPr>
        <a:xfrm>
          <a:off x="3844929" y="38519100"/>
          <a:ext cx="8421880" cy="3857625"/>
        </a:xfrm>
        <a:prstGeom prst="rect">
          <a:avLst/>
        </a:prstGeom>
      </xdr:spPr>
    </xdr:pic>
    <xdr:clientData/>
  </xdr:twoCellAnchor>
  <xdr:twoCellAnchor editAs="oneCell">
    <xdr:from>
      <xdr:col>0</xdr:col>
      <xdr:colOff>0</xdr:colOff>
      <xdr:row>253</xdr:row>
      <xdr:rowOff>0</xdr:rowOff>
    </xdr:from>
    <xdr:to>
      <xdr:col>13</xdr:col>
      <xdr:colOff>46505</xdr:colOff>
      <xdr:row>285</xdr:row>
      <xdr:rowOff>75505</xdr:rowOff>
    </xdr:to>
    <xdr:pic>
      <xdr:nvPicPr>
        <xdr:cNvPr id="20" name="图片 19"/>
        <xdr:cNvPicPr>
          <a:picLocks noChangeAspect="1"/>
        </xdr:cNvPicPr>
      </xdr:nvPicPr>
      <xdr:blipFill>
        <a:blip xmlns:r="http://schemas.openxmlformats.org/officeDocument/2006/relationships" r:embed="rId18"/>
        <a:stretch>
          <a:fillRect/>
        </a:stretch>
      </xdr:blipFill>
      <xdr:spPr>
        <a:xfrm>
          <a:off x="0" y="43376850"/>
          <a:ext cx="8961905" cy="5561905"/>
        </a:xfrm>
        <a:prstGeom prst="rect">
          <a:avLst/>
        </a:prstGeom>
      </xdr:spPr>
    </xdr:pic>
    <xdr:clientData/>
  </xdr:twoCellAnchor>
  <xdr:twoCellAnchor editAs="oneCell">
    <xdr:from>
      <xdr:col>0</xdr:col>
      <xdr:colOff>0</xdr:colOff>
      <xdr:row>287</xdr:row>
      <xdr:rowOff>0</xdr:rowOff>
    </xdr:from>
    <xdr:to>
      <xdr:col>5</xdr:col>
      <xdr:colOff>447191</xdr:colOff>
      <xdr:row>300</xdr:row>
      <xdr:rowOff>104483</xdr:rowOff>
    </xdr:to>
    <xdr:pic>
      <xdr:nvPicPr>
        <xdr:cNvPr id="21" name="图片 20"/>
        <xdr:cNvPicPr>
          <a:picLocks noChangeAspect="1"/>
        </xdr:cNvPicPr>
      </xdr:nvPicPr>
      <xdr:blipFill>
        <a:blip xmlns:r="http://schemas.openxmlformats.org/officeDocument/2006/relationships" r:embed="rId19"/>
        <a:stretch>
          <a:fillRect/>
        </a:stretch>
      </xdr:blipFill>
      <xdr:spPr>
        <a:xfrm>
          <a:off x="0" y="49206150"/>
          <a:ext cx="3876191" cy="2333333"/>
        </a:xfrm>
        <a:prstGeom prst="rect">
          <a:avLst/>
        </a:prstGeom>
      </xdr:spPr>
    </xdr:pic>
    <xdr:clientData/>
  </xdr:twoCellAnchor>
  <xdr:twoCellAnchor editAs="oneCell">
    <xdr:from>
      <xdr:col>6</xdr:col>
      <xdr:colOff>0</xdr:colOff>
      <xdr:row>287</xdr:row>
      <xdr:rowOff>0</xdr:rowOff>
    </xdr:from>
    <xdr:to>
      <xdr:col>11</xdr:col>
      <xdr:colOff>494810</xdr:colOff>
      <xdr:row>307</xdr:row>
      <xdr:rowOff>142429</xdr:rowOff>
    </xdr:to>
    <xdr:pic>
      <xdr:nvPicPr>
        <xdr:cNvPr id="22" name="图片 21"/>
        <xdr:cNvPicPr>
          <a:picLocks noChangeAspect="1"/>
        </xdr:cNvPicPr>
      </xdr:nvPicPr>
      <xdr:blipFill>
        <a:blip xmlns:r="http://schemas.openxmlformats.org/officeDocument/2006/relationships" r:embed="rId20"/>
        <a:stretch>
          <a:fillRect/>
        </a:stretch>
      </xdr:blipFill>
      <xdr:spPr>
        <a:xfrm>
          <a:off x="4114800" y="49206150"/>
          <a:ext cx="3923810" cy="3571429"/>
        </a:xfrm>
        <a:prstGeom prst="rect">
          <a:avLst/>
        </a:prstGeom>
      </xdr:spPr>
    </xdr:pic>
    <xdr:clientData/>
  </xdr:twoCellAnchor>
  <xdr:twoCellAnchor editAs="oneCell">
    <xdr:from>
      <xdr:col>12</xdr:col>
      <xdr:colOff>0</xdr:colOff>
      <xdr:row>287</xdr:row>
      <xdr:rowOff>0</xdr:rowOff>
    </xdr:from>
    <xdr:to>
      <xdr:col>17</xdr:col>
      <xdr:colOff>590048</xdr:colOff>
      <xdr:row>313</xdr:row>
      <xdr:rowOff>161348</xdr:rowOff>
    </xdr:to>
    <xdr:pic>
      <xdr:nvPicPr>
        <xdr:cNvPr id="23" name="图片 22"/>
        <xdr:cNvPicPr>
          <a:picLocks noChangeAspect="1"/>
        </xdr:cNvPicPr>
      </xdr:nvPicPr>
      <xdr:blipFill>
        <a:blip xmlns:r="http://schemas.openxmlformats.org/officeDocument/2006/relationships" r:embed="rId21"/>
        <a:stretch>
          <a:fillRect/>
        </a:stretch>
      </xdr:blipFill>
      <xdr:spPr>
        <a:xfrm>
          <a:off x="8229600" y="49206150"/>
          <a:ext cx="4019048" cy="4619048"/>
        </a:xfrm>
        <a:prstGeom prst="rect">
          <a:avLst/>
        </a:prstGeom>
      </xdr:spPr>
    </xdr:pic>
    <xdr:clientData/>
  </xdr:twoCellAnchor>
  <xdr:twoCellAnchor editAs="oneCell">
    <xdr:from>
      <xdr:col>0</xdr:col>
      <xdr:colOff>0</xdr:colOff>
      <xdr:row>312</xdr:row>
      <xdr:rowOff>0</xdr:rowOff>
    </xdr:from>
    <xdr:to>
      <xdr:col>5</xdr:col>
      <xdr:colOff>447191</xdr:colOff>
      <xdr:row>332</xdr:row>
      <xdr:rowOff>66238</xdr:rowOff>
    </xdr:to>
    <xdr:pic>
      <xdr:nvPicPr>
        <xdr:cNvPr id="24" name="图片 23"/>
        <xdr:cNvPicPr>
          <a:picLocks noChangeAspect="1"/>
        </xdr:cNvPicPr>
      </xdr:nvPicPr>
      <xdr:blipFill>
        <a:blip xmlns:r="http://schemas.openxmlformats.org/officeDocument/2006/relationships" r:embed="rId22"/>
        <a:stretch>
          <a:fillRect/>
        </a:stretch>
      </xdr:blipFill>
      <xdr:spPr>
        <a:xfrm>
          <a:off x="0" y="53492400"/>
          <a:ext cx="3876191" cy="3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北京市朝阳区日坛北路17号院2号楼4层4082商业用房房地产抵押价值预评估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受贵公司委托，我公司对北京市朝阳区日坛北路17号院2号楼4层4082商业用房房地产抵押价值进行了预评估。</v>
      </c>
    </row>
    <row r="7" spans="1:2" s="1203" customFormat="1">
      <c r="A7" s="1201" t="s">
        <v>566</v>
      </c>
      <c r="B7" s="1202" t="str">
        <f>'预评函-1'!A7</f>
        <v>估价对象为北京市朝阳区日坛北路17号院2号楼4层4082商业用房房地产，为所有。根据《国有土地使用证》[]，估价对象（分摊）出让国有建设用地使用权面积为0平方米，建筑面积为212.15平方米。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日坛北路17号院2号楼4层4082商业用房房地产,属开发建设的商业项目，该项目尚在开发建设中。根据《国有土地使用证》[]，估价对象（分摊）出让国有建设用地使用权面积为0平方米，规划建筑面积为212.15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日坛北路17号院2号楼4层4082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2025年5月22日（评估专业人员实地查勘之日）</v>
      </c>
    </row>
    <row r="13" spans="1:2" s="1203" customFormat="1">
      <c r="A13" s="1201" t="s">
        <v>529</v>
      </c>
      <c r="B13" s="1202" t="str">
        <f>'预评函-1'!A18</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480</v>
      </c>
    </row>
    <row r="21" spans="1:2" s="1203" customFormat="1">
      <c r="A21" s="1201" t="s">
        <v>537</v>
      </c>
      <c r="B21" s="1202">
        <f ca="1">'预评函-2'!D7</f>
        <v>22632</v>
      </c>
    </row>
    <row r="22" spans="1:2" s="1203" customFormat="1">
      <c r="A22" s="1201" t="s">
        <v>538</v>
      </c>
      <c r="B22" s="1202" t="str">
        <f ca="1">'预评函-2'!D6</f>
        <v>肆佰捌拾万元整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480</v>
      </c>
    </row>
    <row r="31" spans="1:2" s="1203" customFormat="1">
      <c r="A31" s="1201" t="s">
        <v>576</v>
      </c>
      <c r="B31" s="1202">
        <f ca="1">'预评函-2'!D15</f>
        <v>22632</v>
      </c>
    </row>
    <row r="32" spans="1:2" s="1203" customFormat="1">
      <c r="A32" s="1201" t="s">
        <v>543</v>
      </c>
      <c r="B32" s="1202" t="str">
        <f ca="1">'预评函-2'!D14</f>
        <v>肆佰捌拾万元整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北京市朝阳区日坛北路17号院2号楼4层4082商业用房房地产</v>
      </c>
    </row>
    <row r="42" spans="1:2" s="1203" customFormat="1">
      <c r="A42" s="1201" t="s">
        <v>590</v>
      </c>
      <c r="B42" s="1202" t="str">
        <f>'预评函-3'!B2</f>
        <v>建筑面积</v>
      </c>
    </row>
    <row r="43" spans="1:2" s="1203" customFormat="1">
      <c r="A43" s="1201" t="s">
        <v>591</v>
      </c>
      <c r="B43" s="1202">
        <f>'预评函-3'!B4</f>
        <v>212.15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419</v>
      </c>
    </row>
    <row r="48" spans="1:2" s="1203" customFormat="1">
      <c r="A48" s="1201" t="s">
        <v>549</v>
      </c>
      <c r="B48" s="1202">
        <f ca="1">'预评函-3'!E4</f>
        <v>19735</v>
      </c>
    </row>
    <row r="49" spans="1:2" s="1203" customFormat="1">
      <c r="A49" s="1201" t="s">
        <v>550</v>
      </c>
      <c r="B49" s="1202" t="str">
        <f ca="1">'预评函-3'!D5</f>
        <v>肆佰壹拾玖万元整</v>
      </c>
    </row>
    <row r="50" spans="1:2" s="1203" customFormat="1">
      <c r="A50" s="1201" t="s">
        <v>574</v>
      </c>
      <c r="B50" s="1202" t="str">
        <f>'预评函-3'!F2</f>
        <v>在建建筑物价值</v>
      </c>
    </row>
    <row r="51" spans="1:2" s="1203" customFormat="1">
      <c r="A51" s="1201" t="s">
        <v>551</v>
      </c>
      <c r="B51" s="1202">
        <f ca="1">'预评函-3'!F4</f>
        <v>61</v>
      </c>
    </row>
    <row r="52" spans="1:2" s="1203" customFormat="1">
      <c r="A52" s="1201" t="s">
        <v>552</v>
      </c>
      <c r="B52" s="1202">
        <f ca="1">'预评函-3'!G4</f>
        <v>2897</v>
      </c>
    </row>
    <row r="53" spans="1:2" s="1203" customFormat="1">
      <c r="A53" s="1201" t="s">
        <v>580</v>
      </c>
      <c r="B53" s="1202" t="str">
        <f ca="1">'预评函-3'!F5</f>
        <v>陆拾壹万元整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日坛北路17号院2号楼4层4082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7" t="s">
        <v>2580</v>
      </c>
      <c r="J2" s="3507"/>
      <c r="K2" s="3507"/>
      <c r="L2" s="3507"/>
      <c r="M2" s="3507"/>
      <c r="N2" s="3507"/>
      <c r="O2" s="3507"/>
      <c r="P2" s="3507"/>
      <c r="Q2" s="3507"/>
      <c r="R2" s="3507"/>
    </row>
    <row r="3" spans="1:18">
      <c r="A3" s="3019" t="s">
        <v>2501</v>
      </c>
      <c r="B3" s="3020">
        <f>项目基本情况!D3</f>
        <v>45799</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1.57</v>
      </c>
      <c r="D5" s="3024">
        <f>IF(ISERROR(ROUND(POWER(1+E5,A5-C5)*(POWER(1+E5,C5)-1)/(POWER(1+E5,A5)-1),3)),0,ROUND(POWER(1+E5,A5-C5)*(POWER(1+E5,C5)-1)/(POWER(1+E5,A5)-1),4))</f>
        <v>7.5399999999999995E-2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11.58</v>
      </c>
      <c r="D6" s="3024">
        <f>IF(ISERROR(ROUND(POWER(1+E6,A6-C6)*(POWER(1+E6,C6)-1)/(POWER(1+E6,A6)-1),3)),0,ROUND(POWER(1+E6,A6-C6)*(POWER(1+E6,C6)-1)/(POWER(1+E6,A6)-1),4))</f>
        <v>0.42480000000000001</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31.6</v>
      </c>
      <c r="D7" s="3024">
        <f>IF(ISERROR(ROUND(POWER(1+E7,A7-C7)*(POWER(1+E7,C7)-1)/(POWER(1+E7,A7)-1),3)),0,ROUND(POWER(1+E7,A7-C7)*(POWER(1+E7,C7)-1)/(POWER(1+E7,A7)-1),4))</f>
        <v>0.75919999999999999</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3386</v>
      </c>
    </row>
    <row r="50" spans="1:4">
      <c r="A50" s="3448" t="s">
        <v>3387</v>
      </c>
      <c r="B50" s="3448" t="s">
        <v>3388</v>
      </c>
      <c r="C50" s="3448" t="s">
        <v>3389</v>
      </c>
      <c r="D50" s="3448" t="s">
        <v>3390</v>
      </c>
    </row>
    <row r="51" spans="1:4">
      <c r="A51" s="3448" t="s">
        <v>3391</v>
      </c>
      <c r="B51" s="3021">
        <f>B52+B53</f>
        <v>15000</v>
      </c>
      <c r="C51" s="3449">
        <f>D51/B51</f>
        <v>2666.6666666666665</v>
      </c>
      <c r="D51" s="3021">
        <f>D52+D53</f>
        <v>40000000</v>
      </c>
    </row>
    <row r="52" spans="1:4">
      <c r="A52" s="3450" t="s">
        <v>3392</v>
      </c>
      <c r="B52" s="3451">
        <v>10000</v>
      </c>
      <c r="C52" s="3451">
        <v>1500</v>
      </c>
      <c r="D52" s="3452">
        <f>C52*B52</f>
        <v>15000000</v>
      </c>
    </row>
    <row r="53" spans="1:4">
      <c r="A53" s="3450" t="s">
        <v>3393</v>
      </c>
      <c r="B53" s="3451">
        <v>5000</v>
      </c>
      <c r="C53" s="3451">
        <v>5000</v>
      </c>
      <c r="D53" s="3452">
        <f>C53*B53</f>
        <v>25000000</v>
      </c>
    </row>
    <row r="54" spans="1:4">
      <c r="A54" s="3448" t="s">
        <v>3394</v>
      </c>
      <c r="B54" s="3021">
        <f>B51</f>
        <v>15000</v>
      </c>
      <c r="C54" s="3028">
        <v>700</v>
      </c>
      <c r="D54" s="3021">
        <f t="shared" ref="D54:D55" si="5">C54*B54</f>
        <v>10500000</v>
      </c>
    </row>
    <row r="55" spans="1:4">
      <c r="A55" s="3448" t="s">
        <v>3395</v>
      </c>
      <c r="B55" s="3021">
        <f>B51</f>
        <v>15000</v>
      </c>
      <c r="C55" s="3028">
        <v>1500</v>
      </c>
      <c r="D55" s="3021">
        <f t="shared" si="5"/>
        <v>22500000</v>
      </c>
    </row>
    <row r="56" spans="1:4">
      <c r="A56" s="3448" t="s">
        <v>3396</v>
      </c>
      <c r="B56" s="3021">
        <f>B51</f>
        <v>15000</v>
      </c>
      <c r="C56" s="3453">
        <f>C51+C54+C55</f>
        <v>4866.6666666666661</v>
      </c>
      <c r="D56" s="3021">
        <f>D51+D54+D55</f>
        <v>73000000</v>
      </c>
    </row>
    <row r="58" spans="1:4">
      <c r="A58" s="3448" t="s">
        <v>3397</v>
      </c>
      <c r="B58" s="3454">
        <v>0.05</v>
      </c>
      <c r="C58" s="3021">
        <f>C56*(1+B58)</f>
        <v>5110</v>
      </c>
      <c r="D58" s="3021">
        <f>D56*B58</f>
        <v>3650000</v>
      </c>
    </row>
    <row r="60" spans="1:4">
      <c r="A60" s="3448" t="s">
        <v>3398</v>
      </c>
      <c r="B60" s="3028">
        <v>3500</v>
      </c>
      <c r="C60" s="3028">
        <f>C53</f>
        <v>5000</v>
      </c>
      <c r="D60" s="3021">
        <f>C60*B60</f>
        <v>17500000</v>
      </c>
    </row>
    <row r="62" spans="1:4">
      <c r="A62" s="3448" t="s">
        <v>3399</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北京市朝阳区日坛北路17号院2号楼4层4082商业用房房地产抵押价值预评估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北京市朝阳区日坛北路17号院2号楼4层4082商业用房房地产抵押价值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北京市朝阳区日坛北路17号院2号楼4层4082商业用房房地产</v>
      </c>
      <c r="T2" s="1745"/>
      <c r="U2" s="1745"/>
      <c r="V2" s="1745"/>
      <c r="W2" s="1745"/>
      <c r="X2" s="1745"/>
      <c r="Y2" s="1745"/>
      <c r="Z2" s="1745"/>
      <c r="AA2" s="1745"/>
      <c r="AB2" s="1745"/>
    </row>
    <row r="3" spans="1:30">
      <c r="A3" s="302" t="s">
        <v>2170</v>
      </c>
      <c r="B3" s="2373">
        <v>45799</v>
      </c>
      <c r="C3" s="2374" t="s">
        <v>2171</v>
      </c>
      <c r="D3" s="2373">
        <f>B3</f>
        <v>45799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3411</v>
      </c>
      <c r="C8" s="2390"/>
      <c r="D8" s="3511" t="s">
        <v>2177</v>
      </c>
      <c r="E8" s="2391" t="s">
        <v>3412</v>
      </c>
      <c r="F8" s="2392"/>
      <c r="G8" s="2663"/>
      <c r="H8" s="2663"/>
      <c r="I8" s="2663"/>
      <c r="J8" s="2439"/>
      <c r="K8" s="2614"/>
      <c r="L8" s="2613"/>
      <c r="M8" s="2613"/>
      <c r="N8" s="2439"/>
      <c r="O8" s="2450"/>
      <c r="P8" s="2439"/>
      <c r="Q8" s="2439"/>
      <c r="R8" s="2439"/>
    </row>
    <row r="9" spans="1:30" ht="13.5" thickBot="1">
      <c r="A9" s="2393" t="s">
        <v>2178</v>
      </c>
      <c r="B9" s="2394" t="s">
        <v>3412</v>
      </c>
      <c r="C9" s="2395"/>
      <c r="D9" s="3512"/>
      <c r="E9" s="2394"/>
      <c r="F9" s="2396"/>
      <c r="G9" s="2665"/>
      <c r="H9" s="2665"/>
      <c r="I9" s="2665"/>
      <c r="J9" s="2439"/>
      <c r="K9" s="2616"/>
      <c r="L9" s="2613"/>
      <c r="M9" s="2613"/>
      <c r="N9" s="2439"/>
      <c r="O9" s="2450"/>
      <c r="P9" s="2439"/>
      <c r="Q9" s="2439"/>
      <c r="R9" s="2439"/>
    </row>
    <row r="10" spans="1:30" ht="13.5" thickTop="1">
      <c r="A10" s="2397" t="s">
        <v>2179</v>
      </c>
      <c r="B10" s="2398" t="s">
        <v>3413</v>
      </c>
      <c r="C10" s="2399"/>
      <c r="D10" s="2382"/>
      <c r="E10" s="2400" t="s">
        <v>2180</v>
      </c>
      <c r="F10" s="3807" t="s">
        <v>3452</v>
      </c>
      <c r="G10" s="2666"/>
      <c r="H10" s="2667"/>
      <c r="I10" s="2668"/>
      <c r="J10" s="2439"/>
      <c r="K10" s="2616"/>
      <c r="L10" s="2613"/>
      <c r="M10" s="2613"/>
      <c r="N10" s="2439"/>
      <c r="O10" s="2450"/>
      <c r="P10" s="2439"/>
      <c r="Q10" s="2439"/>
      <c r="R10" s="2439"/>
    </row>
    <row r="11" spans="1:30">
      <c r="A11" s="2401" t="s">
        <v>2181</v>
      </c>
      <c r="B11" s="2402" t="s">
        <v>3414</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3805">
        <v>51810</v>
      </c>
      <c r="E13" s="856"/>
      <c r="F13" s="856"/>
      <c r="G13" s="856"/>
      <c r="H13" s="856"/>
      <c r="I13" s="856"/>
      <c r="J13" s="3061"/>
      <c r="K13" s="2613"/>
      <c r="L13" s="2613"/>
      <c r="M13" s="2439"/>
      <c r="N13" s="2450"/>
      <c r="O13" s="2439"/>
      <c r="P13" s="2439"/>
      <c r="Q13" s="2439"/>
      <c r="AD13" s="1745"/>
    </row>
    <row r="14" spans="1:30">
      <c r="A14" s="1081"/>
      <c r="B14" s="2407" t="s">
        <v>2191</v>
      </c>
      <c r="C14" s="2408"/>
      <c r="D14" s="2408">
        <v>40</v>
      </c>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16.46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212.15</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1" t="s">
        <v>2214</v>
      </c>
      <c r="B27" s="320" t="s">
        <v>2215</v>
      </c>
      <c r="C27" s="2416" t="s">
        <v>3416</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2218</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2219</v>
      </c>
      <c r="B31" s="2422" t="s">
        <v>3417</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0" t="s">
        <v>2228</v>
      </c>
      <c r="T34" s="2428" t="str">
        <f>NUMBERSTRING(7-K34,1)&amp;"通"</f>
        <v>七通</v>
      </c>
      <c r="U34" s="2439"/>
      <c r="V34" s="2439"/>
    </row>
    <row r="35" spans="1:30">
      <c r="A35" s="2429"/>
      <c r="B35" s="3537" t="s">
        <v>2229</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144</v>
      </c>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145</v>
      </c>
      <c r="C38" s="2432" t="s">
        <v>145</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212.15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212.15</v>
      </c>
      <c r="H5" s="13">
        <f t="shared" ref="H5:AT5" si="0">SUM(H13:H656)</f>
        <v>212.15</v>
      </c>
      <c r="I5" s="13">
        <f t="shared" si="0"/>
        <v>212.15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212.15</v>
      </c>
      <c r="BA5" s="15">
        <f t="shared" si="1"/>
        <v>212.15</v>
      </c>
      <c r="BB5" s="15">
        <f t="shared" si="1"/>
        <v>212.15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3418</v>
      </c>
      <c r="E13" s="13">
        <f>IF($C$3="是",ROUND($A$3*G13/$B$3,2),ROUND($A$3*(G13-AT13)/$B$3,2))</f>
        <v>0</v>
      </c>
      <c r="F13" s="29"/>
      <c r="G13" s="30">
        <f>H13+AC13+AT13</f>
        <v>212.15</v>
      </c>
      <c r="H13" s="17">
        <f>SUMIF(I$12:AB$12,"总值",I13:AB13)</f>
        <v>212.15</v>
      </c>
      <c r="I13" s="1626">
        <v>212.15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212.15</v>
      </c>
      <c r="BA13" s="13">
        <f>SUM(BB13:BK13)</f>
        <v>212.15</v>
      </c>
      <c r="BB13" s="13">
        <f>IF($D13="是",I13-J13,0)</f>
        <v>212.15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L9" sqref="L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9"/>
      <c r="G2" s="2650"/>
      <c r="H2" s="2651"/>
      <c r="I2" s="2325" t="s">
        <v>1132</v>
      </c>
      <c r="J2" s="2659"/>
      <c r="K2" s="2659"/>
      <c r="L2" s="2659"/>
      <c r="M2" s="2659"/>
      <c r="N2" s="2661"/>
      <c r="O2" s="2659"/>
      <c r="P2" s="2659"/>
    </row>
    <row r="3" spans="1:16" ht="15.75" thickBot="1">
      <c r="A3" s="3548" t="s">
        <v>1105</v>
      </c>
      <c r="B3" s="3548"/>
      <c r="C3" s="3548"/>
      <c r="D3" s="43">
        <f>'数据-基础表'!AY6</f>
        <v>0</v>
      </c>
      <c r="E3" s="43">
        <f>'数据-基础表'!AZ5</f>
        <v>212.15</v>
      </c>
      <c r="F3" s="2659"/>
      <c r="G3" s="1145"/>
      <c r="H3" s="1026" t="s">
        <v>1106</v>
      </c>
      <c r="I3" s="855" t="e">
        <f>ROUND('数据-基础表'!B3/'数据-基础表'!A3,2)</f>
        <v>#DIV/0!</v>
      </c>
      <c r="J3" s="2659"/>
      <c r="K3" s="2659"/>
      <c r="L3" s="2659"/>
      <c r="M3" s="2659"/>
      <c r="N3" s="2661"/>
      <c r="O3" s="2659"/>
      <c r="P3" s="2659"/>
    </row>
    <row r="4" spans="1:16" ht="15">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2" t="s">
        <v>1110</v>
      </c>
      <c r="C5" s="355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212.15</v>
      </c>
      <c r="F6" s="2659"/>
      <c r="G6" s="2653" t="s">
        <v>1112</v>
      </c>
      <c r="H6" s="1146" t="s">
        <v>1113</v>
      </c>
      <c r="I6" s="2654" t="e">
        <f>ROUND(F31/D31,2)</f>
        <v>#DIV/0!</v>
      </c>
      <c r="J6" s="2659"/>
      <c r="K6" s="2659"/>
      <c r="L6" s="2659"/>
      <c r="M6" s="2659"/>
      <c r="N6" s="2659"/>
      <c r="O6" s="2659"/>
      <c r="P6" s="2659"/>
    </row>
    <row r="7" spans="1:16" ht="15.75" thickBot="1">
      <c r="A7" s="3544"/>
      <c r="B7" s="3545"/>
      <c r="C7" s="3546"/>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212.15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212.15</v>
      </c>
      <c r="F16" s="2659"/>
      <c r="G16" s="2660"/>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3421</v>
      </c>
      <c r="D19" s="45">
        <f>ROUND($D$3*E19/$E$3,2)</f>
        <v>0</v>
      </c>
      <c r="E19" s="53">
        <f t="shared" ref="E19:E26" si="1">SUM(F19:G19)</f>
        <v>212.15</v>
      </c>
      <c r="F19" s="2794">
        <f>'数据-基础表'!I13</f>
        <v>212.15</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212.15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212.15</v>
      </c>
      <c r="F27" s="1140">
        <f>IF(SUM(F19:F26)=E8,SUM(F19:F26),"地上面积有误")</f>
        <v>212.15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212.15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212.15</v>
      </c>
      <c r="F31" s="677">
        <f>F27+F30</f>
        <v>212.15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J20" sqref="AJ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45799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4层商业</v>
      </c>
      <c r="B6" s="1713" t="str">
        <f>IF(A6=0,"","经营性")</f>
        <v>经营性</v>
      </c>
      <c r="C6" s="1714" t="s">
        <v>673</v>
      </c>
      <c r="D6" s="858">
        <f>SUMIF(项目基本情况!C$12:I$12,C6,项目基本情况!C$14:I$14)</f>
        <v>40</v>
      </c>
      <c r="E6" s="857">
        <f>IF(B6="","",SUMIF(项目基本情况!C$12:I$12,C6,项目基本情况!C$13:I$13))</f>
        <v>51810</v>
      </c>
      <c r="F6" s="64">
        <f>SUMIF(项目基本情况!C$12:I$12,C6,项目基本情况!C$15:I$15)</f>
        <v>16.46</v>
      </c>
      <c r="G6" s="65">
        <f>IF(ISERROR(ROUND(POWER(1+H6,D6-F6)*(POWER(1+H6,F6)-1)/(POWER(1+H6,D6)-1),3)),0,ROUND(POWER(1+H6,D6-F6)*(POWER(1+H6,F6)-1)/(POWER(1+H6,D6)-1),3))</f>
        <v>0.64300000000000002</v>
      </c>
      <c r="H6" s="732">
        <v>0.05</v>
      </c>
      <c r="I6" s="732">
        <v>5.5E-2</v>
      </c>
      <c r="J6" s="66">
        <v>7.0000000000000007E-2</v>
      </c>
      <c r="K6" s="1030">
        <f>SUMIF('数据-汇总表'!C$19:C$33,A6,'数据-汇总表'!E$19:E$33)</f>
        <v>212.15</v>
      </c>
      <c r="L6" s="733">
        <v>4000</v>
      </c>
      <c r="M6" s="67">
        <f t="shared" ref="M6:M14" si="0">ROUND(K6*L6/10000,0)</f>
        <v>85</v>
      </c>
      <c r="N6" s="731">
        <f>ROUND(1-(1-0%)*(2025-N19)/60,2)</f>
        <v>0.77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f>V24</f>
        <v>3</v>
      </c>
      <c r="V6" s="70">
        <v>0.02</v>
      </c>
      <c r="W6" s="70">
        <v>0.15</v>
      </c>
      <c r="X6" s="1040"/>
      <c r="Y6" s="71">
        <f>N6</f>
        <v>0.77</v>
      </c>
      <c r="Z6" s="72"/>
      <c r="AA6" s="66"/>
      <c r="AB6" s="66"/>
      <c r="AC6" s="1040"/>
      <c r="AD6" s="73"/>
      <c r="AE6" s="1041">
        <f ca="1">IF(AN6="",0,SUMIF(INDIRECT("'"&amp;AN6&amp;"'"&amp;"!E:E"),$AE$5,INDIRECT("'"&amp;AN6&amp;"'"&amp;"!F:F")))</f>
        <v>16.46</v>
      </c>
      <c r="AF6" s="1348"/>
      <c r="AG6" s="138">
        <f>IF(AF6="",0,AE6-AF6)</f>
        <v>0</v>
      </c>
      <c r="AH6" s="74"/>
      <c r="AI6" s="76">
        <v>365</v>
      </c>
      <c r="AJ6" s="77"/>
      <c r="AK6" s="78">
        <v>5.0000000000000001E-3</v>
      </c>
      <c r="AL6" s="79">
        <v>1E-3</v>
      </c>
      <c r="AM6" s="80">
        <v>0.01</v>
      </c>
      <c r="AN6" s="1715" t="s">
        <v>3422</v>
      </c>
      <c r="AO6" s="52">
        <f ca="1">SUMIF(INDIRECT("'"&amp;AN6&amp;"'"&amp;"!A:A"),"总价",INDIRECT("'"&amp;AN6&amp;"'"&amp;"!B:B"))</f>
        <v>232.6337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0.64300000000000002</v>
      </c>
      <c r="H16" s="90">
        <f>ROUND(SUMPRODUCT(H6:H13,K6:K13)/SUMPRODUCT((H6:H13&gt;0)*(K6:K13)),3)</f>
        <v>0.05</v>
      </c>
      <c r="I16" s="91"/>
      <c r="J16" s="91"/>
      <c r="K16" s="92">
        <f>SUM(K6:K15)</f>
        <v>212.15</v>
      </c>
      <c r="L16" s="93">
        <f>ROUND(M16*10000/SUM(K6:K14),0)</f>
        <v>4007</v>
      </c>
      <c r="M16" s="93">
        <f>SUM(M6:M14)</f>
        <v>85</v>
      </c>
      <c r="N16" s="94">
        <f>ROUND(SUMPRODUCT(M6:M14,N6:N14)/M16,3)</f>
        <v>0.77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f>Q16/B20</f>
        <v>0.1</v>
      </c>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2670"/>
      <c r="N19" s="2670">
        <v>2011</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2670"/>
      <c r="N20" s="2670"/>
      <c r="O20" s="2670"/>
      <c r="P20" s="2670"/>
      <c r="Q20" s="2670"/>
      <c r="R20" s="2670"/>
      <c r="S20" s="2670"/>
      <c r="T20" s="2670"/>
      <c r="U20" s="3806" t="s">
        <v>3447</v>
      </c>
      <c r="V20" s="3806" t="s">
        <v>3448</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t="s">
        <v>3446</v>
      </c>
      <c r="U21" s="2670">
        <v>1</v>
      </c>
      <c r="V21" s="2670">
        <v>5</v>
      </c>
      <c r="W21" s="2670">
        <v>38000</v>
      </c>
      <c r="X21" s="2670" t="s">
        <v>3453</v>
      </c>
      <c r="Y21" s="2670"/>
      <c r="Z21" s="2670"/>
      <c r="AA21" s="2670"/>
      <c r="AB21" s="2670">
        <v>38000</v>
      </c>
      <c r="AC21" s="2670">
        <f>V21*365/AB21</f>
        <v>4.8026315789473681E-2</v>
      </c>
      <c r="AD21" s="2670">
        <v>50000</v>
      </c>
      <c r="AE21" s="2670">
        <f>7*365/AD21</f>
        <v>5.11E-2</v>
      </c>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t="s">
        <v>3449</v>
      </c>
      <c r="U22" s="2670">
        <v>0.75</v>
      </c>
      <c r="V22" s="2670">
        <f>V21*U22</f>
        <v>3.75</v>
      </c>
      <c r="W22" s="2670">
        <f>W21*U22</f>
        <v>28500</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t="s">
        <v>3450</v>
      </c>
      <c r="U23" s="2670">
        <v>0.65</v>
      </c>
      <c r="V23" s="2670">
        <f>V21*U23</f>
        <v>3.25</v>
      </c>
      <c r="W23" s="2670">
        <f>W21*U23</f>
        <v>24700</v>
      </c>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t="s">
        <v>3451</v>
      </c>
      <c r="U24" s="2670">
        <v>0.6</v>
      </c>
      <c r="V24" s="2670">
        <f>V21*U24</f>
        <v>3</v>
      </c>
      <c r="W24" s="2670">
        <f>W21*U24</f>
        <v>22800</v>
      </c>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4.2430000000000003</v>
      </c>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3382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3400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3383</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3384</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2286</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C21" sqref="C2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212.15</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45799</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480</v>
      </c>
      <c r="C5" s="2512">
        <f ca="1">IF(B5=D14,结果表!H102,ROUND(B5*10000/$B$1,0))</f>
        <v>22632</v>
      </c>
      <c r="D5" s="2512" t="e">
        <f ca="1">ROUND(B5*10000/$B$2,0)</f>
        <v>#DIV/0!</v>
      </c>
      <c r="E5" s="2685"/>
      <c r="F5" s="2686"/>
      <c r="G5" s="2686"/>
      <c r="H5" s="2687"/>
      <c r="I5" s="2687"/>
      <c r="J5" s="2687"/>
      <c r="K5" s="2687"/>
    </row>
    <row r="6" spans="1:11" ht="16.5">
      <c r="A6" s="2512" t="s">
        <v>656</v>
      </c>
      <c r="B6" s="2512">
        <f ca="1">SUM(G14:G23)</f>
        <v>480</v>
      </c>
      <c r="C6" s="2512">
        <f ca="1">IF(B6=G14,结果表!H108,ROUND(B6*10000/$B$1,0))</f>
        <v>22632</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3355</v>
      </c>
      <c r="D10" s="2512" t="s">
        <v>3356</v>
      </c>
      <c r="E10" s="3440"/>
      <c r="F10" s="3444" t="s">
        <v>3357</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'数据-汇总表'!F19</f>
        <v>212.15</v>
      </c>
      <c r="C14" s="2518"/>
      <c r="D14" s="2518">
        <f ca="1">结果表!G19</f>
        <v>480</v>
      </c>
      <c r="E14" s="2518">
        <f ca="1">结果表!G20</f>
        <v>22632</v>
      </c>
      <c r="F14" s="2518" t="e">
        <f ca="1">ROUND(D14*10000/C14,0)</f>
        <v>#DIV/0!</v>
      </c>
      <c r="G14" s="2518">
        <f ca="1">D14</f>
        <v>480</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2" sqref="G1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2" t="str">
        <f>项目基本情况!S2</f>
        <v>北京市朝阳区日坛北路17号院2号楼4层4082商业用房房地产</v>
      </c>
      <c r="B2" s="3623"/>
      <c r="C2" s="3623"/>
      <c r="D2" s="3623"/>
      <c r="E2" s="3623"/>
      <c r="F2" s="3623"/>
      <c r="G2" s="3623"/>
      <c r="H2" s="3623"/>
      <c r="I2" s="3624"/>
    </row>
    <row r="3" spans="1:12" ht="12.75">
      <c r="A3" s="3626" t="s">
        <v>1264</v>
      </c>
      <c r="B3" s="3627"/>
      <c r="C3" s="3627"/>
      <c r="D3" s="3627"/>
      <c r="E3" s="3627"/>
      <c r="F3" s="3627"/>
      <c r="G3" s="3627"/>
      <c r="H3" s="3627"/>
      <c r="I3" s="3627"/>
    </row>
    <row r="4" spans="1:12" ht="14.25">
      <c r="A4" s="1754" t="s">
        <v>1265</v>
      </c>
      <c r="B4" s="1755" t="s">
        <v>1266</v>
      </c>
      <c r="C4" s="1756" t="s">
        <v>3444</v>
      </c>
      <c r="D4" s="1756" t="s">
        <v>3422</v>
      </c>
      <c r="E4" s="3631" t="s">
        <v>1267</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625">
        <v>25</v>
      </c>
      <c r="C5" s="3628"/>
      <c r="D5" s="3616"/>
      <c r="E5" s="131" t="s">
        <v>1269</v>
      </c>
      <c r="F5" s="1757"/>
      <c r="G5" s="1757"/>
      <c r="H5" s="1757"/>
      <c r="I5" s="1373"/>
    </row>
    <row r="6" spans="1:12" ht="12.75">
      <c r="A6" s="3570"/>
      <c r="B6" s="3625"/>
      <c r="C6" s="3630"/>
      <c r="D6" s="3616"/>
      <c r="E6" s="131" t="s">
        <v>1270</v>
      </c>
      <c r="F6" s="1757"/>
      <c r="G6" s="1757"/>
      <c r="H6" s="1757"/>
      <c r="I6" s="1373"/>
    </row>
    <row r="7" spans="1:12" ht="12.75">
      <c r="A7" s="3570"/>
      <c r="B7" s="3625"/>
      <c r="C7" s="3629"/>
      <c r="D7" s="3616"/>
      <c r="E7" s="131" t="s">
        <v>1271</v>
      </c>
      <c r="F7" s="1757"/>
      <c r="G7" s="1757"/>
      <c r="H7" s="1757"/>
      <c r="I7" s="1373"/>
    </row>
    <row r="8" spans="1:12" ht="12.75">
      <c r="A8" s="3570" t="s">
        <v>1272</v>
      </c>
      <c r="B8" s="3625">
        <v>15</v>
      </c>
      <c r="C8" s="3628"/>
      <c r="D8" s="3616"/>
      <c r="E8" s="131" t="s">
        <v>1273</v>
      </c>
      <c r="F8" s="1757"/>
      <c r="G8" s="1757"/>
      <c r="H8" s="1757"/>
      <c r="I8" s="1373"/>
    </row>
    <row r="9" spans="1:12" ht="12.75">
      <c r="A9" s="3570"/>
      <c r="B9" s="3625"/>
      <c r="C9" s="3629"/>
      <c r="D9" s="3616"/>
      <c r="E9" s="131" t="s">
        <v>1274</v>
      </c>
      <c r="F9" s="1757"/>
      <c r="G9" s="1757"/>
      <c r="H9" s="1757"/>
      <c r="I9" s="1373"/>
    </row>
    <row r="10" spans="1:12" ht="12.75">
      <c r="A10" s="3570" t="s">
        <v>1275</v>
      </c>
      <c r="B10" s="3625">
        <v>15</v>
      </c>
      <c r="C10" s="3628"/>
      <c r="D10" s="3616"/>
      <c r="E10" s="131" t="s">
        <v>1276</v>
      </c>
      <c r="F10" s="1757"/>
      <c r="G10" s="1757"/>
      <c r="H10" s="1757"/>
      <c r="I10" s="1373"/>
    </row>
    <row r="11" spans="1:12" ht="12.75">
      <c r="A11" s="3570"/>
      <c r="B11" s="3625"/>
      <c r="C11" s="3629"/>
      <c r="D11" s="3616"/>
      <c r="E11" s="131" t="s">
        <v>1277</v>
      </c>
      <c r="F11" s="1757"/>
      <c r="G11" s="1757"/>
      <c r="H11" s="1757"/>
      <c r="I11" s="1373"/>
    </row>
    <row r="12" spans="1:12" ht="12.75">
      <c r="A12" s="3570" t="s">
        <v>1278</v>
      </c>
      <c r="B12" s="3625">
        <v>15</v>
      </c>
      <c r="C12" s="3628"/>
      <c r="D12" s="3616"/>
      <c r="E12" s="131" t="s">
        <v>1279</v>
      </c>
      <c r="F12" s="1757"/>
      <c r="G12" s="1757"/>
      <c r="H12" s="1757"/>
      <c r="I12" s="1373"/>
    </row>
    <row r="13" spans="1:12" ht="12.75">
      <c r="A13" s="3570"/>
      <c r="B13" s="3625"/>
      <c r="C13" s="3629"/>
      <c r="D13" s="3616"/>
      <c r="E13" s="131" t="s">
        <v>1280</v>
      </c>
      <c r="F13" s="1757"/>
      <c r="G13" s="1757"/>
      <c r="H13" s="1757"/>
      <c r="I13" s="1373"/>
    </row>
    <row r="14" spans="1:12" ht="12.75">
      <c r="A14" s="3570" t="s">
        <v>1281</v>
      </c>
      <c r="B14" s="3625">
        <v>30</v>
      </c>
      <c r="C14" s="3628">
        <v>45</v>
      </c>
      <c r="D14" s="3616">
        <v>55</v>
      </c>
      <c r="E14" s="131" t="s">
        <v>1282</v>
      </c>
      <c r="F14" s="1757"/>
      <c r="G14" s="1757"/>
      <c r="H14" s="1757"/>
      <c r="I14" s="1373"/>
    </row>
    <row r="15" spans="1:12" ht="12.75">
      <c r="A15" s="3570"/>
      <c r="B15" s="3625"/>
      <c r="C15" s="3630"/>
      <c r="D15" s="3616"/>
      <c r="E15" s="131" t="s">
        <v>1283</v>
      </c>
      <c r="F15" s="1757"/>
      <c r="G15" s="1757"/>
      <c r="H15" s="1757"/>
      <c r="I15" s="1373"/>
    </row>
    <row r="16" spans="1:12" ht="12.75">
      <c r="A16" s="3570"/>
      <c r="B16" s="3625"/>
      <c r="C16" s="3629"/>
      <c r="D16" s="3616"/>
      <c r="E16" s="131" t="s">
        <v>1284</v>
      </c>
      <c r="F16" s="1757"/>
      <c r="G16" s="1757"/>
      <c r="H16" s="1757"/>
      <c r="I16" s="1373"/>
    </row>
    <row r="17" spans="1:36" ht="15">
      <c r="A17" s="1758" t="s">
        <v>1285</v>
      </c>
      <c r="B17" s="56"/>
      <c r="C17" s="132">
        <f>SUM(C5:C16)</f>
        <v>45</v>
      </c>
      <c r="D17" s="132">
        <f>SUM(D5:D16)</f>
        <v>55</v>
      </c>
      <c r="E17" s="129"/>
      <c r="F17" s="129"/>
      <c r="G17" s="129"/>
      <c r="H17" s="129"/>
      <c r="I17" s="129"/>
      <c r="K17" s="302"/>
      <c r="L17" s="302" t="s">
        <v>1286</v>
      </c>
      <c r="M17" s="302" t="s">
        <v>1287</v>
      </c>
    </row>
    <row r="18" spans="1:36" ht="31.9" customHeight="1" thickBot="1">
      <c r="A18" s="1759" t="s">
        <v>1288</v>
      </c>
      <c r="B18" s="1760"/>
      <c r="C18" s="133">
        <f>ROUND(C17/SUM(C17:D17),2)</f>
        <v>0.45</v>
      </c>
      <c r="D18" s="133">
        <f>1-C18</f>
        <v>0.55000000000000004</v>
      </c>
      <c r="E18" s="3647" t="s">
        <v>2131</v>
      </c>
      <c r="F18" s="3648"/>
      <c r="G18" s="3648"/>
      <c r="H18" s="3648"/>
      <c r="I18" s="3648"/>
      <c r="K18" s="302" t="s">
        <v>1289</v>
      </c>
      <c r="L18" s="302">
        <f>IF(C1="",'数据-汇总表'!E3,SUMIF(项目类型,C1,'数据-汇总表'!E17:E26)+SUMIF(项目类型,C1,'数据-汇总表'!I17:I26))</f>
        <v>212.15</v>
      </c>
      <c r="M18" s="302">
        <f>IF(C1="",'数据-汇总表'!E3,SUMIF(项目类型,C1,'数据-汇总表'!E17:E26))</f>
        <v>212.15</v>
      </c>
    </row>
    <row r="19" spans="1:36" ht="15">
      <c r="A19" s="1761" t="s">
        <v>1290</v>
      </c>
      <c r="B19" s="1762" t="s">
        <v>1291</v>
      </c>
      <c r="C19" s="134">
        <f ca="1">SUMIF(INDIRECT("'"&amp;C4&amp;"'"&amp;"!A:A"),结果表!B19,INDIRECT("'"&amp;C4&amp;"'"&amp;"!B:B"))</f>
        <v>782.6191</v>
      </c>
      <c r="D19" s="135">
        <f ca="1">SUMIF(INDIRECT("'"&amp;D4&amp;"'"&amp;"!A:A"),结果表!B19,INDIRECT("'"&amp;D4&amp;"'"&amp;"!B:B"))</f>
        <v>232.6337</v>
      </c>
      <c r="E19" s="1761" t="s">
        <v>1292</v>
      </c>
      <c r="F19" s="1762" t="s">
        <v>1291</v>
      </c>
      <c r="G19" s="136">
        <f ca="1">ROUND(C19*$C$18+D19*$D$18,0)</f>
        <v>480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36890</v>
      </c>
      <c r="D20" s="138">
        <f ca="1">SUMIF(INDIRECT("'"&amp;D4&amp;"'"&amp;"!A:A"),结果表!B20,INDIRECT("'"&amp;D4&amp;"'"&amp;"!B:B"))</f>
        <v>10966</v>
      </c>
      <c r="E20" s="1764"/>
      <c r="F20" s="1026" t="s">
        <v>1295</v>
      </c>
      <c r="G20" s="139">
        <f ca="1">ROUND(C20*$C$18+D20*$D$18,0)</f>
        <v>22632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2.3641690778249238</v>
      </c>
      <c r="E22" s="129"/>
      <c r="F22" s="129"/>
      <c r="G22" s="129"/>
      <c r="H22" s="129"/>
      <c r="I22" s="129"/>
    </row>
    <row r="23" spans="1:36" ht="13.5" thickBot="1">
      <c r="A23" s="1747"/>
      <c r="B23" s="1747"/>
      <c r="C23" s="1747"/>
      <c r="D23" s="1747"/>
      <c r="E23" s="129"/>
      <c r="F23" s="129"/>
      <c r="G23" s="129"/>
      <c r="H23" s="129"/>
      <c r="I23" s="129"/>
    </row>
    <row r="24" spans="1:36" ht="14.25">
      <c r="A24" s="3640" t="s">
        <v>1299</v>
      </c>
      <c r="B24" s="1762" t="s">
        <v>1291</v>
      </c>
      <c r="C24" s="136">
        <f>IF(B30=0,0,D30)</f>
        <v>0</v>
      </c>
      <c r="D24" s="1769"/>
      <c r="E24" s="129"/>
      <c r="F24" s="129"/>
      <c r="G24" s="129"/>
      <c r="H24" s="129"/>
      <c r="I24" s="129"/>
    </row>
    <row r="25" spans="1:36" ht="14.25">
      <c r="A25" s="364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22632</v>
      </c>
      <c r="D32" s="1775" t="s">
        <v>3443</v>
      </c>
      <c r="E32" s="129"/>
      <c r="F32" s="129"/>
      <c r="G32" s="129"/>
      <c r="H32" s="129"/>
      <c r="I32" s="129"/>
    </row>
    <row r="33" spans="1:15" ht="15">
      <c r="A33" s="786" t="s">
        <v>1306</v>
      </c>
      <c r="B33" s="1776"/>
      <c r="C33" s="1777" t="s">
        <v>3445</v>
      </c>
      <c r="D33" s="1778" t="s">
        <v>3444</v>
      </c>
      <c r="E33" s="1779" t="s">
        <v>1307</v>
      </c>
      <c r="F33" s="1780" t="str">
        <f>IF(D32="楼面单价","取值（单价）","取值（总价）")</f>
        <v>取值（单价）</v>
      </c>
      <c r="G33" s="129"/>
      <c r="H33" s="129"/>
      <c r="I33" s="129"/>
    </row>
    <row r="34" spans="1:15" ht="15">
      <c r="A34" s="1781"/>
      <c r="B34" s="1782" t="s">
        <v>1308</v>
      </c>
      <c r="C34" s="148">
        <f ca="1">IF(C33="自定义",F34,C32-C35)</f>
        <v>19735</v>
      </c>
      <c r="D34" s="861">
        <f ca="1">IF(C33="自定义",ROUND(C34/C32,3),IF(C33="收益比率",SUMIF(INDIRECT("'"&amp;D33&amp;"'"&amp;"!b:b"),"土地收益比率",INDIRECT("'"&amp;D33&amp;"'"&amp;"!c:c")),SUMIF(INDIRECT("'"&amp;D33&amp;"'"&amp;"!b:b"),"土地成本比率",INDIRECT("'"&amp;D33&amp;"'"&amp;"!c:c"))))</f>
        <v>0.872</v>
      </c>
      <c r="E34" s="1783" t="s">
        <v>1309</v>
      </c>
      <c r="F34" s="1330"/>
      <c r="G34" s="129"/>
      <c r="H34" s="129"/>
      <c r="I34" s="129"/>
    </row>
    <row r="35" spans="1:15" ht="15.75" thickBot="1">
      <c r="A35" s="1784"/>
      <c r="B35" s="1785" t="s">
        <v>1310</v>
      </c>
      <c r="C35" s="1170">
        <f ca="1">IF(C33="自定义",F35,ROUND(C32*D35,0))</f>
        <v>2897</v>
      </c>
      <c r="D35" s="1171">
        <f ca="1">IF(C33="自定义",ROUND(C35/C32,3),IF(C33="收益比率",SUMIF(INDIRECT("'"&amp;D33&amp;"'"&amp;"!b:b"),"建筑物收益比率",INDIRECT("'"&amp;D33&amp;"'"&amp;"!c:c")),SUMIF(INDIRECT("'"&amp;D33&amp;"'"&amp;"!b:b"),"建筑物成本比率",INDIRECT("'"&amp;D33&amp;"'"&amp;"!c:c"))))</f>
        <v>0.128</v>
      </c>
      <c r="E35" s="1786" t="s">
        <v>1311</v>
      </c>
      <c r="F35" s="154"/>
      <c r="G35" s="129"/>
      <c r="H35" s="129"/>
      <c r="I35" s="129"/>
    </row>
    <row r="36" spans="1:15" ht="15.75" thickBot="1">
      <c r="A36" s="3617" t="s">
        <v>1312</v>
      </c>
      <c r="B36" s="1787" t="s">
        <v>1313</v>
      </c>
      <c r="C36" s="145"/>
      <c r="D36" s="1788"/>
      <c r="E36" s="1789"/>
      <c r="F36" s="1790"/>
      <c r="G36" s="129"/>
      <c r="H36" s="129"/>
      <c r="I36" s="129"/>
    </row>
    <row r="37" spans="1:15" ht="15.75" thickBot="1">
      <c r="A37" s="3618"/>
      <c r="B37" s="1674" t="s">
        <v>1314</v>
      </c>
      <c r="C37" s="147"/>
      <c r="D37" s="1139"/>
      <c r="E37" s="1139"/>
      <c r="F37" s="1790"/>
      <c r="G37" s="129"/>
      <c r="H37" s="129"/>
      <c r="I37" s="129"/>
    </row>
    <row r="38" spans="1:15" ht="15.75" thickBot="1">
      <c r="A38" s="361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7" t="s">
        <v>1326</v>
      </c>
      <c r="B45" s="3638"/>
      <c r="C45" s="3639"/>
      <c r="D45" s="155">
        <f ca="1">ROUND(H101*F45,0)</f>
        <v>480</v>
      </c>
      <c r="E45" s="156" t="s">
        <v>1327</v>
      </c>
      <c r="F45" s="157">
        <v>1</v>
      </c>
      <c r="G45" s="158" t="s">
        <v>1328</v>
      </c>
      <c r="H45" s="129"/>
      <c r="I45" s="129"/>
      <c r="J45" s="3557" t="s">
        <v>1329</v>
      </c>
      <c r="K45" s="3557"/>
      <c r="L45" s="3557"/>
      <c r="M45" s="3557"/>
      <c r="N45" s="3557"/>
      <c r="O45" s="3557"/>
    </row>
    <row r="46" spans="1:15" ht="14.25" customHeight="1">
      <c r="A46" s="3634" t="s">
        <v>1330</v>
      </c>
      <c r="B46" s="3635"/>
      <c r="C46" s="3635"/>
      <c r="D46" s="3635"/>
      <c r="E46" s="3635"/>
      <c r="F46" s="3635"/>
      <c r="G46" s="3636"/>
      <c r="H46" s="1806"/>
      <c r="I46" s="159"/>
      <c r="J46" s="2523">
        <v>1</v>
      </c>
      <c r="K46" s="3558" t="s">
        <v>1331</v>
      </c>
      <c r="L46" s="3558"/>
      <c r="M46" s="3559"/>
      <c r="N46" s="3559"/>
      <c r="O46" s="3559"/>
    </row>
    <row r="47" spans="1:15" ht="12" customHeight="1">
      <c r="A47" s="160" t="s">
        <v>1332</v>
      </c>
      <c r="B47" s="161"/>
      <c r="C47" s="162"/>
      <c r="D47" s="1087" t="s">
        <v>1333</v>
      </c>
      <c r="E47" s="302" t="s">
        <v>1334</v>
      </c>
      <c r="F47" s="163" t="s">
        <v>1335</v>
      </c>
      <c r="G47" s="2546" t="s">
        <v>1336</v>
      </c>
      <c r="H47" s="2547"/>
      <c r="I47" s="159"/>
      <c r="J47" s="2523">
        <v>2</v>
      </c>
      <c r="K47" s="3558" t="s">
        <v>1337</v>
      </c>
      <c r="L47" s="3558"/>
      <c r="M47" s="3560">
        <f>'数据-取费表'!B2</f>
        <v>45799</v>
      </c>
      <c r="N47" s="3560"/>
      <c r="O47" s="3560"/>
    </row>
    <row r="48" spans="1:15" ht="25.5">
      <c r="A48" s="3620" t="s">
        <v>1338</v>
      </c>
      <c r="B48" s="3621"/>
      <c r="C48" s="362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8" t="s">
        <v>1340</v>
      </c>
      <c r="L48" s="3558"/>
      <c r="M48" s="3561">
        <f ca="1">H101</f>
        <v>480</v>
      </c>
      <c r="N48" s="3561"/>
      <c r="O48" s="3561"/>
    </row>
    <row r="49" spans="1:35" ht="25.5" customHeight="1">
      <c r="A49" s="2333" t="s">
        <v>1341</v>
      </c>
      <c r="B49" s="3606" t="s">
        <v>1342</v>
      </c>
      <c r="C49" s="3606"/>
      <c r="D49" s="1590">
        <v>0</v>
      </c>
      <c r="E49" s="324" t="s">
        <v>1343</v>
      </c>
      <c r="F49" s="2424" t="s">
        <v>28</v>
      </c>
      <c r="G49" s="3589"/>
      <c r="H49" s="2310" t="s">
        <v>2134</v>
      </c>
      <c r="I49" s="2311"/>
      <c r="J49" s="2523">
        <v>4</v>
      </c>
      <c r="K49" s="3558" t="str">
        <f>IF(项目基本情况!E8="房地产抵押价值","房地产抵押价值","抵押担保权已注销时的房地产抵押价值")</f>
        <v>房地产抵押价值</v>
      </c>
      <c r="L49" s="3558"/>
      <c r="M49" s="3561">
        <f ca="1">IF(项目基本情况!E8="房地产抵押价值",H107,H109)</f>
        <v>480</v>
      </c>
      <c r="N49" s="3561"/>
      <c r="O49" s="3561"/>
    </row>
    <row r="50" spans="1:35" ht="25.5" customHeight="1">
      <c r="A50" s="2551"/>
      <c r="B50" s="3606" t="s">
        <v>1344</v>
      </c>
      <c r="C50" s="3606"/>
      <c r="D50" s="2552"/>
      <c r="E50" s="332"/>
      <c r="F50" s="2424"/>
      <c r="G50" s="3590"/>
      <c r="H50" s="2312" t="s">
        <v>2135</v>
      </c>
      <c r="I50" s="2311"/>
      <c r="J50" s="3557" t="s">
        <v>1345</v>
      </c>
      <c r="K50" s="3557"/>
      <c r="L50" s="3557"/>
      <c r="M50" s="3557"/>
      <c r="N50" s="3557"/>
      <c r="O50" s="3557"/>
    </row>
    <row r="51" spans="1:35" ht="20.45" customHeight="1">
      <c r="A51" s="2553"/>
      <c r="B51" s="3606" t="s">
        <v>1346</v>
      </c>
      <c r="C51" s="3606"/>
      <c r="D51" s="1087"/>
      <c r="E51" s="327"/>
      <c r="F51" s="2424"/>
      <c r="G51" s="3591"/>
      <c r="H51" s="2312" t="s">
        <v>2136</v>
      </c>
      <c r="I51" s="2311"/>
      <c r="J51" s="2524" t="s">
        <v>1347</v>
      </c>
      <c r="K51" s="3558" t="s">
        <v>1348</v>
      </c>
      <c r="L51" s="3558"/>
      <c r="M51" s="2524" t="s">
        <v>1349</v>
      </c>
      <c r="N51" s="2524" t="s">
        <v>1350</v>
      </c>
      <c r="O51" s="2524" t="s">
        <v>1351</v>
      </c>
    </row>
    <row r="52" spans="1:35" ht="24" customHeight="1">
      <c r="A52" s="2335" t="s">
        <v>1352</v>
      </c>
      <c r="B52" s="3606" t="s">
        <v>1353</v>
      </c>
      <c r="C52" s="3606"/>
      <c r="D52" s="1087">
        <f ca="1">ROUND(D45*'数据-取费表'!B41/(1+'数据-取费表'!C42),0)</f>
        <v>26</v>
      </c>
      <c r="E52" s="2334" t="s">
        <v>1354</v>
      </c>
      <c r="F52" s="2554">
        <f>'数据-取费表'!B41</f>
        <v>5.6000000000000001E-2</v>
      </c>
      <c r="G52" s="2555"/>
      <c r="H52" s="2544"/>
      <c r="I52" s="1807"/>
      <c r="J52" s="2523">
        <v>1</v>
      </c>
      <c r="K52" s="3583" t="s">
        <v>1355</v>
      </c>
      <c r="L52" s="3583"/>
      <c r="M52" s="2525" t="b">
        <f>D48</f>
        <v>0</v>
      </c>
      <c r="N52" s="2523" t="str">
        <f>E48</f>
        <v>销售额×税（费）率</v>
      </c>
      <c r="O52" s="2526">
        <f>F48</f>
        <v>5.6000000000000001E-2</v>
      </c>
    </row>
    <row r="53" spans="1:35" ht="12" customHeight="1">
      <c r="A53" s="2335" t="s">
        <v>1356</v>
      </c>
      <c r="B53" s="3607" t="s">
        <v>2291</v>
      </c>
      <c r="C53" s="3608"/>
      <c r="D53" s="1087">
        <f ca="1">ROUND(D45*'数据-取费表'!B41/(1+'数据-取费表'!C42),0)</f>
        <v>26</v>
      </c>
      <c r="E53" s="2334" t="s">
        <v>1354</v>
      </c>
      <c r="F53" s="2554">
        <f>'数据-取费表'!B41</f>
        <v>5.6000000000000001E-2</v>
      </c>
      <c r="G53" s="2555"/>
      <c r="H53" s="2544"/>
      <c r="I53" s="1807"/>
      <c r="J53" s="2523">
        <v>2</v>
      </c>
      <c r="K53" s="3583" t="s">
        <v>1357</v>
      </c>
      <c r="L53" s="3583"/>
      <c r="M53" s="2525">
        <f t="shared" ref="M53:O54" ca="1" si="0">D55</f>
        <v>0</v>
      </c>
      <c r="N53" s="2523" t="str">
        <f t="shared" si="0"/>
        <v>销售额×税（费）率</v>
      </c>
      <c r="O53" s="2526" t="str">
        <f t="shared" si="0"/>
        <v>免征</v>
      </c>
    </row>
    <row r="54" spans="1:35" ht="12" customHeight="1">
      <c r="A54" s="2335" t="s">
        <v>1358</v>
      </c>
      <c r="B54" s="3607" t="s">
        <v>2292</v>
      </c>
      <c r="C54" s="3608"/>
      <c r="D54" s="1087">
        <f ca="1">C68</f>
        <v>26</v>
      </c>
      <c r="E54" s="327" t="s">
        <v>1359</v>
      </c>
      <c r="F54" s="2554">
        <f>'数据-取费表'!B41</f>
        <v>5.6000000000000001E-2</v>
      </c>
      <c r="G54" s="2555"/>
      <c r="H54" s="2556"/>
      <c r="I54" s="1807"/>
      <c r="J54" s="2523">
        <v>3</v>
      </c>
      <c r="K54" s="3583" t="s">
        <v>1360</v>
      </c>
      <c r="L54" s="3583"/>
      <c r="M54" s="2525">
        <f t="shared" ca="1" si="0"/>
        <v>271</v>
      </c>
      <c r="N54" s="2523" t="str">
        <f t="shared" si="0"/>
        <v>增值额×税（费）率</v>
      </c>
      <c r="O54" s="2527" t="str">
        <f t="shared" si="0"/>
        <v>免征</v>
      </c>
    </row>
    <row r="55" spans="1:35" ht="24" customHeight="1">
      <c r="A55" s="3643" t="s">
        <v>1361</v>
      </c>
      <c r="B55" s="3621"/>
      <c r="C55" s="3621"/>
      <c r="D55" s="2324">
        <f ca="1">IF(H55="个人住宅",0,ROUND(D45*I55,0))</f>
        <v>0</v>
      </c>
      <c r="E55" s="2334" t="s">
        <v>1362</v>
      </c>
      <c r="F55" s="2554" t="str">
        <f>IF(H55="正常",I55,"免征")</f>
        <v>免征</v>
      </c>
      <c r="G55" s="2555"/>
      <c r="H55" s="2550"/>
      <c r="I55" s="165">
        <f>'数据-取费表'!B49</f>
        <v>5.0000000000000001E-4</v>
      </c>
      <c r="J55" s="2523">
        <f>IF(H59="非个人房产","",4)</f>
        <v>4</v>
      </c>
      <c r="K55" s="3583" t="str">
        <f>IF(H59="非个人房产","——","个人所得税")</f>
        <v>个人所得税</v>
      </c>
      <c r="L55" s="3583"/>
      <c r="M55" s="2528">
        <f ca="1">D59</f>
        <v>5</v>
      </c>
      <c r="N55" s="2040" t="str">
        <f>E59</f>
        <v>差额计税</v>
      </c>
      <c r="O55" s="2529">
        <f>F59</f>
        <v>0.01</v>
      </c>
    </row>
    <row r="56" spans="1:35" ht="24.75">
      <c r="A56" s="3643" t="s">
        <v>1363</v>
      </c>
      <c r="B56" s="3621"/>
      <c r="C56" s="3621"/>
      <c r="D56" s="2324">
        <f ca="1">IF(H56="个人住宅",D57,D58)</f>
        <v>271</v>
      </c>
      <c r="E56" s="2334" t="s">
        <v>1364</v>
      </c>
      <c r="F56" s="2554" t="str">
        <f>IF(H56="正常",F58,"免征")</f>
        <v>免征</v>
      </c>
      <c r="G56" s="2557" t="s">
        <v>1365</v>
      </c>
      <c r="H56" s="2558"/>
      <c r="I56" s="1808"/>
      <c r="J56" s="2523"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2335" t="s">
        <v>1341</v>
      </c>
      <c r="B57" s="3607" t="s">
        <v>1366</v>
      </c>
      <c r="C57" s="3608"/>
      <c r="D57" s="1590">
        <v>0</v>
      </c>
      <c r="E57" s="324" t="s">
        <v>1343</v>
      </c>
      <c r="F57" s="302"/>
      <c r="G57" s="2555"/>
      <c r="H57" s="2559"/>
      <c r="I57" s="1808"/>
      <c r="J57" s="3583">
        <f>IF(AND(J55="",J56=""),4,IF(项目基本情况!K6="上海银行",结果表!J56+1,结果表!J55+1))</f>
        <v>5</v>
      </c>
      <c r="K57" s="3583" t="s">
        <v>1367</v>
      </c>
      <c r="L57" s="2530" t="s">
        <v>1368</v>
      </c>
      <c r="M57" s="2531"/>
      <c r="N57" s="2532">
        <f ca="1">SUMIF(M52:M56,"&lt;9e307")</f>
        <v>276</v>
      </c>
      <c r="O57" s="2533"/>
      <c r="P57" s="2689">
        <f ca="1">N57/M49</f>
        <v>0.57499999999999996</v>
      </c>
    </row>
    <row r="58" spans="1:35" ht="24.75">
      <c r="A58" s="2335" t="s">
        <v>1352</v>
      </c>
      <c r="B58" s="3607" t="s">
        <v>1369</v>
      </c>
      <c r="C58" s="3606"/>
      <c r="D58" s="2324">
        <f ca="1">IF(H58="转让取得",C81,C97)</f>
        <v>271</v>
      </c>
      <c r="E58" s="2334" t="s">
        <v>1364</v>
      </c>
      <c r="F58" s="302" t="s">
        <v>28</v>
      </c>
      <c r="G58" s="2555"/>
      <c r="H58" s="2558"/>
      <c r="I58" s="1808"/>
      <c r="J58" s="3583"/>
      <c r="K58" s="3583"/>
      <c r="L58" s="2530" t="s">
        <v>1370</v>
      </c>
      <c r="M58" s="2534"/>
      <c r="N58" s="2535" t="str">
        <f ca="1">NUMBERSTRING(INT(N57*10000),2)&amp;"元整"</f>
        <v>贰佰柒拾陆万元整</v>
      </c>
      <c r="O58" s="2536"/>
    </row>
    <row r="59" spans="1:35" ht="24.75" thickBot="1">
      <c r="A59" s="3587" t="s">
        <v>1371</v>
      </c>
      <c r="B59" s="3588"/>
      <c r="C59" s="3588"/>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5">
        <f>J57+1</f>
        <v>6</v>
      </c>
      <c r="K59" s="3583" t="s">
        <v>1372</v>
      </c>
      <c r="L59" s="2523" t="s">
        <v>1368</v>
      </c>
      <c r="M59" s="2537"/>
      <c r="N59" s="2538">
        <f ca="1">M49-N57</f>
        <v>204</v>
      </c>
      <c r="O59" s="2539"/>
    </row>
    <row r="60" spans="1:35" ht="12" customHeight="1">
      <c r="A60" s="1809"/>
      <c r="B60" s="1747"/>
      <c r="C60" s="1747"/>
      <c r="D60" s="1747"/>
      <c r="E60" s="1578"/>
      <c r="F60" s="1808"/>
      <c r="G60" s="1808"/>
      <c r="H60" s="1810"/>
      <c r="I60" s="129"/>
      <c r="J60" s="3586"/>
      <c r="K60" s="3583"/>
      <c r="L60" s="2530" t="s">
        <v>1370</v>
      </c>
      <c r="M60" s="2534"/>
      <c r="N60" s="2535" t="str">
        <f ca="1">NUMBERSTRING(INT(N59*10000),2)&amp;"元整"</f>
        <v>贰佰零肆万元整</v>
      </c>
      <c r="O60" s="2536"/>
    </row>
    <row r="61" spans="1:35" ht="13.5" thickBot="1">
      <c r="A61" s="3642" t="s">
        <v>1373</v>
      </c>
      <c r="B61" s="3642"/>
      <c r="C61" s="3642"/>
      <c r="D61" s="3642"/>
      <c r="E61" s="3642"/>
      <c r="F61" s="1808"/>
      <c r="G61" s="1808"/>
      <c r="H61" s="1810"/>
      <c r="I61" s="129"/>
      <c r="J61" s="2523">
        <f>J59+1</f>
        <v>7</v>
      </c>
      <c r="K61" s="3583" t="s">
        <v>1374</v>
      </c>
      <c r="L61" s="3583"/>
      <c r="M61" s="2540"/>
      <c r="N61" s="2541">
        <f ca="1">ROUND(N59*10000/'数据-汇总表'!E3,0)</f>
        <v>9616</v>
      </c>
      <c r="O61" s="2542"/>
    </row>
    <row r="62" spans="1:35" ht="12.75">
      <c r="A62" s="3602" t="s">
        <v>1375</v>
      </c>
      <c r="B62" s="3603"/>
      <c r="C62" s="2021"/>
      <c r="D62" s="2021" t="s">
        <v>1376</v>
      </c>
      <c r="E62" s="166" t="s">
        <v>1377</v>
      </c>
      <c r="F62" s="1808"/>
      <c r="G62" s="1808"/>
      <c r="H62" s="1810"/>
      <c r="I62" s="129"/>
    </row>
    <row r="63" spans="1:35" ht="12.75">
      <c r="A63" s="173" t="s">
        <v>330</v>
      </c>
      <c r="B63" s="167" t="s">
        <v>1378</v>
      </c>
      <c r="C63" s="2564">
        <f ca="1">ROUND((C64+C65)/(1+'数据-取费表'!C42),0)</f>
        <v>457</v>
      </c>
      <c r="D63" s="167"/>
      <c r="E63" s="168"/>
      <c r="F63" s="1808"/>
      <c r="G63" s="1808"/>
      <c r="H63" s="1810"/>
      <c r="I63" s="129"/>
      <c r="J63" s="3566" t="s">
        <v>1379</v>
      </c>
      <c r="K63" s="1332" t="s">
        <v>1380</v>
      </c>
      <c r="L63" s="1332">
        <f ca="1">IF(M49&gt;10000,M49*0.5%,IF(AND(M49&gt;1000,M49&lt;=10000),M49*1%,IF(AND(M49&gt;100,M49&lt;=1000),M49*3%,IF(AND(M49&gt;10,M49&lt;=100),M49*5%,M49*8%))))</f>
        <v>14.399999999999999</v>
      </c>
      <c r="M63" s="302">
        <f ca="1">ROUND(L63,1)</f>
        <v>14.4</v>
      </c>
      <c r="N63" s="2543"/>
      <c r="Z63" s="1752"/>
      <c r="AI63" s="1753"/>
    </row>
    <row r="64" spans="1:35" ht="14.25" customHeight="1">
      <c r="A64" s="169" t="s">
        <v>325</v>
      </c>
      <c r="B64" s="170" t="s">
        <v>1381</v>
      </c>
      <c r="C64" s="2565">
        <f ca="1">D45</f>
        <v>480</v>
      </c>
      <c r="D64" s="170" t="s">
        <v>26</v>
      </c>
      <c r="E64" s="172"/>
      <c r="F64" s="1808"/>
      <c r="G64" s="1808"/>
      <c r="H64" s="1810"/>
      <c r="I64" s="129"/>
      <c r="J64" s="3566"/>
      <c r="K64" s="1332" t="s">
        <v>1382</v>
      </c>
      <c r="L64" s="1332">
        <f ca="1">IF(M49&gt;2000,M49*0.5%,IF(AND(M49&gt;1000,M49&lt;=2000),M49*0.6%,IF(AND(M49&gt;500,M49&lt;=1000),M49*0.7%,IF(AND(M49&gt;200,M49&lt;=500),M49*0.8%,IF(AND(M49&gt;100,M49&lt;=200),M49*0.9%,IF(AND(M49&gt;50,M49&lt;=100),M49*1%,IF(AND(M49&gt;20,M49&lt;=50),M49*1.5%,IF(AND(M49&gt;10,M49&lt;=20),M49*2%,IF(AND(M49&gt;1,M49&lt;=10),M49*2.5%)))))))))</f>
        <v>3.84</v>
      </c>
      <c r="M64" s="302">
        <f t="shared" ref="M64:M65" ca="1" si="1">ROUND(L64,1)</f>
        <v>3.8</v>
      </c>
      <c r="N64" s="2544" t="s">
        <v>1383</v>
      </c>
      <c r="Z64" s="1752"/>
      <c r="AI64" s="1753"/>
    </row>
    <row r="65" spans="1:35" ht="14.25" customHeight="1">
      <c r="A65" s="169" t="s">
        <v>326</v>
      </c>
      <c r="B65" s="170" t="s">
        <v>1384</v>
      </c>
      <c r="C65" s="2566"/>
      <c r="D65" s="170"/>
      <c r="E65" s="172"/>
      <c r="F65" s="1808"/>
      <c r="G65" s="1808"/>
      <c r="H65" s="1810"/>
      <c r="I65" s="129"/>
      <c r="J65" s="3566"/>
      <c r="K65" s="1332" t="s">
        <v>1385</v>
      </c>
      <c r="L65" s="1332">
        <f ca="1">IF(M49&gt;1000,M49*0.1%,IF(AND(M49&gt;500,M49&lt;=1000),M49*0.5%,IF(AND(M49&gt;50,M49&lt;=500),M49*1%,IF(AND(M49&gt;1,M49&lt;=50),M49*1.5%))))</f>
        <v>4.8</v>
      </c>
      <c r="M65" s="302">
        <f t="shared" ca="1" si="1"/>
        <v>4.8</v>
      </c>
      <c r="N65" s="2544" t="s">
        <v>1383</v>
      </c>
      <c r="Z65" s="1752"/>
      <c r="AI65" s="1753"/>
    </row>
    <row r="66" spans="1:35" ht="14.25" customHeight="1">
      <c r="A66" s="173" t="s">
        <v>327</v>
      </c>
      <c r="B66" s="174" t="s">
        <v>1386</v>
      </c>
      <c r="C66" s="2567"/>
      <c r="D66" s="174" t="s">
        <v>26</v>
      </c>
      <c r="E66" s="1338" t="s">
        <v>671</v>
      </c>
      <c r="F66" s="1808"/>
      <c r="G66" s="1808"/>
      <c r="H66" s="1810"/>
      <c r="I66" s="129"/>
      <c r="J66" s="3566"/>
      <c r="K66" s="1332" t="s">
        <v>1387</v>
      </c>
      <c r="L66" s="1332">
        <f ca="1">M49*0.5%</f>
        <v>2.4</v>
      </c>
      <c r="M66" s="302">
        <f ca="1">IF(L66&gt;0.5,0.5,ROUND(L66,0))</f>
        <v>0.5</v>
      </c>
      <c r="N66" s="2544" t="s">
        <v>1388</v>
      </c>
      <c r="Z66" s="1752"/>
      <c r="AI66" s="1753"/>
    </row>
    <row r="67" spans="1:35" ht="14.25" customHeight="1">
      <c r="A67" s="173" t="s">
        <v>328</v>
      </c>
      <c r="B67" s="174" t="s">
        <v>1389</v>
      </c>
      <c r="C67" s="2568">
        <f ca="1">C63-C66</f>
        <v>457</v>
      </c>
      <c r="D67" s="170" t="s">
        <v>26</v>
      </c>
      <c r="E67" s="172"/>
      <c r="F67" s="1808"/>
      <c r="G67" s="1808"/>
      <c r="H67" s="1810"/>
      <c r="I67" s="129"/>
      <c r="J67" s="3566"/>
      <c r="K67" s="1332" t="s">
        <v>1390</v>
      </c>
      <c r="L67" s="1332">
        <f ca="1">IF(M49&gt;=10000,(8.25+(M49-10000)*0.01%),IF(AND(M49&gt;=8000,M49&lt;10000),(7.85+(M49-8000)*0.02%),IF(AND(M49&gt;=5000,M49&lt;8000),(6.65+(M49-5000)*0.04%),IF(AND(M49&gt;=2000,M49&lt;5000),(4.25+(PM49-2000)*0.08%),IF(AND(M49&gt;=1000,M49&lt;2000),(2.75+(M49-1000)*0.15%),IF(AND(M49&gt;=100,M49&lt;1000),(0.5+(M49-100)*0.25%),IF(AND(M49&gt;0,M49&lt;100),M49*0.5%)))))))</f>
        <v>1.4500000000000002</v>
      </c>
      <c r="M67" s="302">
        <f ca="1">ROUND(L67*0.9,1)</f>
        <v>1.3</v>
      </c>
      <c r="N67" s="2543"/>
      <c r="Z67" s="1752"/>
      <c r="AI67" s="1753"/>
    </row>
    <row r="68" spans="1:35" ht="14.25" customHeight="1" thickBot="1">
      <c r="A68" s="176" t="s">
        <v>329</v>
      </c>
      <c r="B68" s="177" t="s">
        <v>1391</v>
      </c>
      <c r="C68" s="2569">
        <f ca="1">IF(C67&lt;=0,0,ROUND(C67*D68,0))</f>
        <v>26</v>
      </c>
      <c r="D68" s="2570">
        <f>'数据-取费表'!B41</f>
        <v>5.6000000000000001E-2</v>
      </c>
      <c r="E68" s="178"/>
      <c r="F68" s="1808"/>
      <c r="G68" s="1808"/>
      <c r="H68" s="1810"/>
      <c r="I68" s="129"/>
      <c r="J68" s="3566"/>
      <c r="K68" s="1332" t="s">
        <v>1392</v>
      </c>
      <c r="L68" s="1332">
        <f ca="1">IF(M49&gt;10000,M49*0.5%,IF(AND(M49&gt;5000,M49&lt;=10000),M49*1%,IF(AND(M49&gt;1000,M49&lt;=5000),M49*2%,IF(AND(M49&gt;200,M49&lt;=1000),M49*3%,M49*5%))))</f>
        <v>14.399999999999999</v>
      </c>
      <c r="M68" s="302">
        <f ca="1">ROUND(L68,1)</f>
        <v>14.4</v>
      </c>
      <c r="N68" s="2543"/>
      <c r="Z68" s="1752"/>
      <c r="AI68" s="1753"/>
    </row>
    <row r="69" spans="1:35" s="1772" customFormat="1" ht="16.5" customHeight="1">
      <c r="A69" s="1811"/>
      <c r="B69" s="1812"/>
      <c r="C69" s="1813"/>
      <c r="D69" s="1814"/>
      <c r="E69" s="1815"/>
      <c r="F69" s="1578"/>
      <c r="G69" s="1578"/>
      <c r="H69" s="1577"/>
      <c r="I69" s="1747"/>
      <c r="J69" s="3566"/>
      <c r="K69" s="1332" t="s">
        <v>1393</v>
      </c>
      <c r="L69" s="1332"/>
      <c r="M69" s="302">
        <f ca="1">ROUND(SUM(M63:M68),0)</f>
        <v>39</v>
      </c>
      <c r="N69" s="2545">
        <f ca="1">M69/M49</f>
        <v>8.1250000000000003E-2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1375</v>
      </c>
      <c r="B71" s="3603"/>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457</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7" t="s">
        <v>1402</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99" t="s">
        <v>1406</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454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151.33333333333334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457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8" t="s">
        <v>2129</v>
      </c>
      <c r="H90" s="356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9" t="s">
        <v>1419</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9" t="s">
        <v>1422</v>
      </c>
      <c r="F92" s="3600"/>
      <c r="G92" s="3600"/>
      <c r="H92" s="360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99" t="s">
        <v>1406</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4" t="s">
        <v>1426</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454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151.33333333333334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271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84"/>
      <c r="E100" s="3550" t="s">
        <v>1429</v>
      </c>
      <c r="F100" s="3550"/>
      <c r="G100" s="3550"/>
      <c r="H100" s="3584"/>
      <c r="I100" s="129"/>
    </row>
    <row r="101" spans="1:35" ht="18.75" customHeight="1">
      <c r="A101" s="3592" t="s">
        <v>1430</v>
      </c>
      <c r="B101" s="3593"/>
      <c r="C101" s="2585" t="str">
        <f>C4</f>
        <v>成本法 (元)</v>
      </c>
      <c r="D101" s="2586" t="str">
        <f>D4</f>
        <v>收益法 (元)</v>
      </c>
      <c r="E101" s="3562" t="s">
        <v>1431</v>
      </c>
      <c r="F101" s="3563"/>
      <c r="G101" s="1827" t="s">
        <v>1432</v>
      </c>
      <c r="H101" s="2595">
        <f ca="1">H118</f>
        <v>480</v>
      </c>
      <c r="I101" s="129"/>
    </row>
    <row r="102" spans="1:35" ht="18.75" customHeight="1">
      <c r="A102" s="3594" t="s">
        <v>1433</v>
      </c>
      <c r="B102" s="2584" t="s">
        <v>1432</v>
      </c>
      <c r="C102" s="2585">
        <f ca="1">IF(D32="楼面单价",ROUND(C19,0),C19)</f>
        <v>783</v>
      </c>
      <c r="D102" s="2586">
        <f ca="1">IF(D32="楼面单价",ROUND(D19,0),D19)</f>
        <v>233</v>
      </c>
      <c r="E102" s="3562"/>
      <c r="F102" s="3563"/>
      <c r="G102" s="1827" t="s">
        <v>1434</v>
      </c>
      <c r="H102" s="2555">
        <f ca="1">I118</f>
        <v>22632</v>
      </c>
      <c r="I102" s="129"/>
    </row>
    <row r="103" spans="1:35" ht="42.75" customHeight="1">
      <c r="A103" s="3594"/>
      <c r="B103" s="2584" t="s">
        <v>1434</v>
      </c>
      <c r="C103" s="2587">
        <f ca="1">C20</f>
        <v>36890</v>
      </c>
      <c r="D103" s="2588">
        <f ca="1">D20</f>
        <v>10966</v>
      </c>
      <c r="E103" s="3555" t="s">
        <v>1435</v>
      </c>
      <c r="F103" s="3556"/>
      <c r="G103" s="1828" t="s">
        <v>1436</v>
      </c>
      <c r="H103" s="2595">
        <f>IF(D36="正常操作",H104+H105+H106,H105+H106)</f>
        <v>0</v>
      </c>
      <c r="I103" s="129"/>
    </row>
    <row r="104" spans="1:35" ht="18.75" customHeight="1">
      <c r="A104" s="3594" t="s">
        <v>1437</v>
      </c>
      <c r="B104" s="2589" t="s">
        <v>1432</v>
      </c>
      <c r="C104" s="2590">
        <f ca="1">H118</f>
        <v>480</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22632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63"/>
      <c r="G107" s="1827" t="s">
        <v>1432</v>
      </c>
      <c r="H107" s="2595">
        <f ca="1">IF(E107="——","——",H101-H103)</f>
        <v>480</v>
      </c>
      <c r="I107" s="129"/>
    </row>
    <row r="108" spans="1:35" ht="18.75" customHeight="1">
      <c r="A108" s="129"/>
      <c r="B108" s="129"/>
      <c r="C108" s="129"/>
      <c r="D108" s="129"/>
      <c r="E108" s="3595"/>
      <c r="F108" s="3563"/>
      <c r="G108" s="1827" t="s">
        <v>1434</v>
      </c>
      <c r="H108" s="2555">
        <f ca="1">IF(H107=H101,H102,ROUND(H107*10000/'数据-汇总表'!E3,0))</f>
        <v>22632</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1432</v>
      </c>
      <c r="H109" s="2598" t="str">
        <f>IF(E109="——","——",H101-H105-H106)</f>
        <v>——</v>
      </c>
      <c r="I109" s="129"/>
    </row>
    <row r="110" spans="1:35" ht="18.75" customHeight="1">
      <c r="A110" s="129"/>
      <c r="B110" s="129"/>
      <c r="C110" s="129"/>
      <c r="D110" s="129"/>
      <c r="E110" s="3595"/>
      <c r="F110" s="3563"/>
      <c r="G110" s="1827" t="s">
        <v>1434</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1432</v>
      </c>
      <c r="H111" s="2595" t="str">
        <f>IF(E111="——","——",N59)</f>
        <v>——</v>
      </c>
      <c r="I111" s="129"/>
    </row>
    <row r="112" spans="1:35" ht="18.75" customHeight="1" thickBot="1">
      <c r="A112" s="129"/>
      <c r="B112" s="129"/>
      <c r="C112" s="129"/>
      <c r="D112" s="129"/>
      <c r="E112" s="3597"/>
      <c r="F112" s="3598"/>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9" t="s">
        <v>1449</v>
      </c>
      <c r="E117" s="2329" t="s">
        <v>1450</v>
      </c>
      <c r="F117" s="2329" t="s">
        <v>1449</v>
      </c>
      <c r="G117" s="2329" t="s">
        <v>1451</v>
      </c>
      <c r="H117" s="2329" t="s">
        <v>1449</v>
      </c>
      <c r="I117" s="2329" t="s">
        <v>1451</v>
      </c>
    </row>
    <row r="118" spans="1:27" ht="24.75" customHeight="1">
      <c r="A118" s="2600" t="str">
        <f>项目基本情况!S2</f>
        <v>北京市朝阳区日坛北路17号院2号楼4层4082商业用房房地产</v>
      </c>
      <c r="B118" s="2329">
        <f>M18</f>
        <v>212.15</v>
      </c>
      <c r="C118" s="2329">
        <f>M19</f>
        <v>0</v>
      </c>
      <c r="D118" s="2329">
        <f ca="1">ROUND(IF(D32="总价",C34,E118*B118/10000),0)</f>
        <v>419</v>
      </c>
      <c r="E118" s="2329">
        <f ca="1">ROUND(IF(C33="自定义",IF(D32="楼面单价",C34,D118*10000/B118),I118-G118),0)</f>
        <v>19735</v>
      </c>
      <c r="F118" s="2329">
        <f ca="1">ROUND(IF(D32="总价",C35,G118*B118/10000),0)</f>
        <v>61</v>
      </c>
      <c r="G118" s="2329">
        <f ca="1">ROUND(IF(D32="楼面单价",C35,F118*10000/B118),0)</f>
        <v>2897</v>
      </c>
      <c r="H118" s="2329">
        <f ca="1">ROUND(IF(D32="总价",C32,I118*B118/10000),0)</f>
        <v>480</v>
      </c>
      <c r="I118" s="2329">
        <f ca="1">ROUND(IF(D32="楼面单价",C32,H118*10000/B118),0)</f>
        <v>22632</v>
      </c>
    </row>
    <row r="119" spans="1:27" ht="18.75" customHeight="1">
      <c r="A119" s="3570" t="s">
        <v>1452</v>
      </c>
      <c r="B119" s="3570"/>
      <c r="C119" s="3570"/>
      <c r="D119" s="3576" t="str">
        <f ca="1">NUMBERSTRING(INT(D118*10000),2)&amp;"元整"</f>
        <v>肆佰壹拾玖万元整</v>
      </c>
      <c r="E119" s="3577"/>
      <c r="F119" s="3576" t="str">
        <f ca="1">NUMBERSTRING(INT(F118*10000),2)&amp;"元整"</f>
        <v>陆拾壹万元整</v>
      </c>
      <c r="G119" s="3577"/>
      <c r="H119" s="3576" t="str">
        <f ca="1">NUMBERSTRING(INT(H118*10000),2)&amp;"元整"</f>
        <v>肆佰捌拾万元整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1452</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480</v>
      </c>
      <c r="E122" s="3572"/>
      <c r="F122" s="3572"/>
      <c r="G122" s="3572"/>
      <c r="H122" s="3572"/>
      <c r="I122" s="3573"/>
      <c r="AA122" s="725"/>
    </row>
    <row r="123" spans="1:27" ht="18.75" customHeight="1">
      <c r="A123" s="3570" t="s">
        <v>1452</v>
      </c>
      <c r="B123" s="3570"/>
      <c r="C123" s="3570"/>
      <c r="D123" s="3576" t="str">
        <f ca="1">NUMBERSTRING(INT(D122*10000),2)&amp;"元整"</f>
        <v>肆佰捌拾万元整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1452</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1452</v>
      </c>
      <c r="B127" s="3570"/>
      <c r="C127" s="3570"/>
      <c r="D127" s="3576" t="e">
        <f>NUMBERSTRING(INT(D126*10000),2)&amp;"元整"</f>
        <v>#VALUE!</v>
      </c>
      <c r="E127" s="3578"/>
      <c r="F127" s="3578"/>
      <c r="G127" s="3578"/>
      <c r="H127" s="3578"/>
      <c r="I127" s="3577"/>
      <c r="AA127" s="725"/>
    </row>
    <row r="128" spans="1:27" ht="21.75" customHeight="1">
      <c r="A128" s="3579" t="s">
        <v>1453</v>
      </c>
      <c r="B128" s="3579"/>
      <c r="C128" s="3579"/>
      <c r="D128" s="3579"/>
      <c r="E128" s="3579"/>
      <c r="F128" s="3579"/>
      <c r="G128" s="3579"/>
      <c r="H128" s="3579"/>
      <c r="I128" s="357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5279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4.2430000000000003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4.2430000000000003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212.15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212.15</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85</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212.15</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5.9999999999999995E-4</v>
      </c>
      <c r="D44" s="238"/>
      <c r="E44" s="238"/>
      <c r="F44" s="239"/>
      <c r="G44" s="3651"/>
    </row>
    <row r="45" spans="1:7" s="214" customFormat="1" ht="13.5" customHeight="1">
      <c r="A45" s="255" t="s">
        <v>1547</v>
      </c>
      <c r="B45" s="244" t="s">
        <v>1513</v>
      </c>
      <c r="C45" s="245">
        <f ca="1">C46</f>
        <v>20</v>
      </c>
      <c r="D45" s="235">
        <f ca="1">C47</f>
        <v>4.0000000000000001E-3</v>
      </c>
      <c r="E45" s="236" t="s">
        <v>1539</v>
      </c>
      <c r="F45" s="246">
        <f ca="1">F27</f>
        <v>0.2</v>
      </c>
      <c r="G45" s="247" t="s">
        <v>1548</v>
      </c>
    </row>
    <row r="46" spans="1:7" s="214" customFormat="1" ht="13.5" customHeight="1">
      <c r="A46" s="780" t="s">
        <v>346</v>
      </c>
      <c r="B46" s="248" t="s">
        <v>1549</v>
      </c>
      <c r="C46" s="249">
        <f ca="1">ROUND((C33+C39)*F27,0)</f>
        <v>20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131</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101</v>
      </c>
      <c r="D51" s="232"/>
      <c r="E51" s="232"/>
      <c r="F51" s="264"/>
      <c r="G51" s="234" t="s">
        <v>1560</v>
      </c>
    </row>
    <row r="52" spans="1:7" s="208" customFormat="1" ht="16.5" thickBot="1">
      <c r="A52" s="265" t="s">
        <v>1561</v>
      </c>
      <c r="B52" s="266"/>
      <c r="C52" s="267">
        <f ca="1">C31+C51</f>
        <v>112</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北京市朝阳区日坛北路17号院2号楼4层4082商业用房房地产抵押价值预评估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0" sqref="J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782.6191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36890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4846180</v>
      </c>
      <c r="D5" s="211" t="s">
        <v>1469</v>
      </c>
      <c r="E5" s="212" t="s">
        <v>1470</v>
      </c>
      <c r="F5" s="212" t="s">
        <v>1471</v>
      </c>
      <c r="G5" s="213"/>
    </row>
    <row r="6" spans="1:8" s="214" customFormat="1" ht="13.5" customHeight="1">
      <c r="A6" s="778" t="s">
        <v>1472</v>
      </c>
      <c r="B6" s="215" t="s">
        <v>1473</v>
      </c>
      <c r="C6" s="216">
        <f ca="1">ROUND(基准地价修正!T5*D10,0)</f>
        <v>4661572</v>
      </c>
      <c r="D6" s="217"/>
      <c r="E6" s="218"/>
      <c r="F6" s="218"/>
      <c r="G6" s="219"/>
    </row>
    <row r="7" spans="1:8" s="214" customFormat="1" ht="13.5" customHeight="1">
      <c r="A7" s="778" t="s">
        <v>1474</v>
      </c>
      <c r="B7" s="215" t="s">
        <v>1475</v>
      </c>
      <c r="C7" s="220">
        <f ca="1">ROUND(C6*F7,0)</f>
        <v>142178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42430</v>
      </c>
      <c r="D8" s="222"/>
      <c r="E8" s="220"/>
      <c r="F8" s="221"/>
      <c r="G8" s="1856" t="s">
        <v>3441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42430</v>
      </c>
      <c r="D10" s="845">
        <f ca="1">IF(B1="",'数据-汇总表'!E6,IF(INDIRECT("'数据-取费表'!c"&amp;$G$1)="住宅",INDIRECT("'数据-取费表'!s"&amp;$G$1),INDIRECT("'数据-取费表'!k"&amp;$G$1)+INDIRECT("'数据-取费表'!s"&amp;$G$1)))</f>
        <v>212.15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212.15</v>
      </c>
      <c r="E19" s="211">
        <f>'数据-取费表'!B31</f>
        <v>200</v>
      </c>
      <c r="F19" s="231"/>
      <c r="G19" s="1856" t="s">
        <v>3442</v>
      </c>
    </row>
    <row r="20" spans="1:7" s="214" customFormat="1" ht="13.5" customHeight="1">
      <c r="A20" s="255" t="s">
        <v>1574</v>
      </c>
      <c r="B20" s="210" t="s">
        <v>1575</v>
      </c>
      <c r="C20" s="232">
        <f ca="1">ROUND((C5+C19)*F20,0)</f>
        <v>145385</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299494</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295132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4362</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998313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998313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6820705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950432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848600</v>
      </c>
      <c r="D34" s="217"/>
      <c r="E34" s="220"/>
      <c r="F34" s="257"/>
      <c r="G34" s="219"/>
    </row>
    <row r="35" spans="1:7" ht="13.5" customHeight="1">
      <c r="A35" s="780" t="s">
        <v>351</v>
      </c>
      <c r="B35" s="215" t="s">
        <v>1527</v>
      </c>
      <c r="C35" s="220">
        <f ca="1">ROUND(C34*F35,0)</f>
        <v>42430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42430</v>
      </c>
      <c r="D37" s="217">
        <f ca="1">D19</f>
        <v>212.15</v>
      </c>
      <c r="E37" s="249">
        <f>'数据-取费表'!B35</f>
        <v>200</v>
      </c>
      <c r="F37" s="259"/>
      <c r="G37" s="261"/>
    </row>
    <row r="38" spans="1:7" ht="13.5" customHeight="1">
      <c r="A38" s="780" t="s">
        <v>354</v>
      </c>
      <c r="B38" s="215" t="s">
        <v>1533</v>
      </c>
      <c r="C38" s="220">
        <f ca="1">ROUND(C34*F38,0)</f>
        <v>16972</v>
      </c>
      <c r="D38" s="220"/>
      <c r="E38" s="220"/>
      <c r="F38" s="259">
        <f>'数据-取费表'!B36</f>
        <v>0.02</v>
      </c>
      <c r="G38" s="219" t="s">
        <v>1528</v>
      </c>
    </row>
    <row r="39" spans="1:7" s="214" customFormat="1" ht="13.5" customHeight="1">
      <c r="A39" s="255" t="s">
        <v>1534</v>
      </c>
      <c r="B39" s="210" t="s">
        <v>1535</v>
      </c>
      <c r="C39" s="232">
        <f ca="1">ROUND(C33*F20,0)</f>
        <v>28513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29368</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28513</v>
      </c>
      <c r="D42" s="238"/>
      <c r="E42" s="238"/>
      <c r="F42" s="239"/>
      <c r="G42" s="3649" t="s">
        <v>1591</v>
      </c>
    </row>
    <row r="43" spans="1:7" ht="13.5" customHeight="1">
      <c r="A43" s="780" t="s">
        <v>347</v>
      </c>
      <c r="B43" s="215" t="s">
        <v>1545</v>
      </c>
      <c r="C43" s="238">
        <f ca="1">ROUND(IF('数据-取费表'!B22&lt;=1,C39*F22*'数据-取费表'!B20/2,C39*(POWER((1+F22),'数据-取费表'!B20/2)-1)),0)</f>
        <v>855</v>
      </c>
      <c r="D43" s="238"/>
      <c r="E43" s="238"/>
      <c r="F43" s="239"/>
      <c r="G43" s="3650"/>
    </row>
    <row r="44" spans="1:7" ht="13.5" customHeight="1">
      <c r="A44" s="780" t="s">
        <v>348</v>
      </c>
      <c r="B44" s="215" t="s">
        <v>1546</v>
      </c>
      <c r="C44" s="238">
        <f ca="1">ROUND(IF('数据-取费表'!B22&lt;=1,C40*F22*'数据-取费表'!B20/2,C40*(POWER((1+F22),'数据-取费表'!B20/2)-1)),4)</f>
        <v>5.9999999999999995E-4</v>
      </c>
      <c r="D44" s="238"/>
      <c r="E44" s="238"/>
      <c r="F44" s="239"/>
      <c r="G44" s="3651"/>
    </row>
    <row r="45" spans="1:7" s="214" customFormat="1" ht="13.5" customHeight="1">
      <c r="A45" s="255" t="s">
        <v>1547</v>
      </c>
      <c r="B45" s="244" t="s">
        <v>1513</v>
      </c>
      <c r="C45" s="245">
        <f ca="1">C46</f>
        <v>195789</v>
      </c>
      <c r="D45" s="235">
        <f ca="1">C47</f>
        <v>4.0000000000000001E-3</v>
      </c>
      <c r="E45" s="236" t="s">
        <v>1539</v>
      </c>
      <c r="F45" s="246">
        <f ca="1">F27</f>
        <v>0.2</v>
      </c>
      <c r="G45" s="247" t="s">
        <v>1548</v>
      </c>
    </row>
    <row r="46" spans="1:7" s="214" customFormat="1" ht="13.5" customHeight="1">
      <c r="A46" s="780" t="s">
        <v>346</v>
      </c>
      <c r="B46" s="248" t="s">
        <v>1549</v>
      </c>
      <c r="C46" s="249">
        <f ca="1">ROUND((C33+C39)*F27,0)</f>
        <v>195789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1305826</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1005486</v>
      </c>
      <c r="D51" s="232"/>
      <c r="E51" s="232"/>
      <c r="F51" s="264"/>
      <c r="G51" s="234" t="s">
        <v>1560</v>
      </c>
    </row>
    <row r="52" spans="1:7" s="208" customFormat="1" ht="16.5" thickBot="1">
      <c r="A52" s="265" t="s">
        <v>1561</v>
      </c>
      <c r="B52" s="266"/>
      <c r="C52" s="267">
        <f ca="1">C31+C51</f>
        <v>7826191</v>
      </c>
      <c r="D52" s="266"/>
      <c r="E52" s="266"/>
      <c r="F52" s="266"/>
      <c r="G52" s="268"/>
    </row>
    <row r="55" spans="1:7" ht="15">
      <c r="B55" s="270" t="s">
        <v>1562</v>
      </c>
      <c r="C55" s="271"/>
    </row>
    <row r="56" spans="1:7">
      <c r="B56" s="273" t="s">
        <v>802</v>
      </c>
      <c r="C56" s="275">
        <f ca="1">1-C57</f>
        <v>0.872</v>
      </c>
    </row>
    <row r="57" spans="1:7">
      <c r="B57" s="273" t="s">
        <v>803</v>
      </c>
      <c r="C57" s="274">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25" zoomScale="70" zoomScaleNormal="70" zoomScaleSheetLayoutView="70" workbookViewId="0">
      <selection activeCell="Q59" sqref="Q5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212.15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212.15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-0.24300000000000033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212.15</v>
      </c>
      <c r="E20" s="21">
        <f>'数据-取费表'!B28</f>
        <v>200</v>
      </c>
      <c r="F20" s="804"/>
      <c r="G20" s="12"/>
      <c r="H20" s="809"/>
      <c r="I20" s="809"/>
      <c r="J20" s="809"/>
      <c r="K20" s="810"/>
    </row>
    <row r="21" spans="1:33" s="803" customFormat="1" ht="13.5" customHeight="1">
      <c r="A21" s="790" t="s">
        <v>357</v>
      </c>
      <c r="B21" s="813" t="s">
        <v>1628</v>
      </c>
      <c r="C21" s="814">
        <f ca="1">C16+C17+C18</f>
        <v>-0.24300000000000033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2109</v>
      </c>
      <c r="E6" s="302" t="s">
        <v>696</v>
      </c>
      <c r="F6" s="303">
        <f ca="1">INDIRECT("'数据-取费表'!u"&amp;$G$1)</f>
        <v>0</v>
      </c>
      <c r="G6" s="1384"/>
      <c r="H6" s="1069" t="s">
        <v>398</v>
      </c>
      <c r="I6" s="3654" t="s">
        <v>694</v>
      </c>
      <c r="J6" s="301">
        <f ca="1">ROUND(M6*M8*M7*(1-M9)/10000,0)</f>
        <v>0</v>
      </c>
      <c r="K6" s="155" t="s">
        <v>2108</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zoomScaleSheetLayoutView="100" workbookViewId="0">
      <selection activeCell="Q15" sqref="Q1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212.15</v>
      </c>
      <c r="E1" s="1995"/>
      <c r="F1" s="1995"/>
      <c r="G1" s="1995"/>
      <c r="H1" s="1995"/>
      <c r="I1" s="1995"/>
      <c r="J1" s="1995"/>
      <c r="K1" s="1119"/>
      <c r="L1" s="1996" t="s">
        <v>1928</v>
      </c>
      <c r="M1" s="863">
        <f>SUMPRODUCT((区片价!B5:B9=I2)*(区片价!C3:G3=E2)*(区片价!C5:G9))</f>
        <v>32630</v>
      </c>
      <c r="N1" s="866">
        <f>SUMPRODUCT((因素修正幅度!B5:B9=I2)*(因素修正幅度!C3:G3=E2)*(因素修正幅度!C5:G9))</f>
        <v>8.1000000000000003E-2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466</v>
      </c>
      <c r="C2" s="1999" t="s">
        <v>1935</v>
      </c>
      <c r="D2" s="2000" t="s">
        <v>1936</v>
      </c>
      <c r="E2" s="3421"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1.5206</v>
      </c>
      <c r="T2" s="3360">
        <f t="shared" ref="T2:T16" si="0">ROUND($C$5*$C$22*$C$23*$C$24*S2*$C$28,0)</f>
        <v>35398</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21966</v>
      </c>
      <c r="C3" s="1999" t="s">
        <v>1941</v>
      </c>
      <c r="D3" s="2000" t="s">
        <v>1942</v>
      </c>
      <c r="E3" s="3419" t="s">
        <v>2439</v>
      </c>
      <c r="F3" s="2004" t="s">
        <v>3427</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28102</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24282</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32613</v>
      </c>
      <c r="D5" s="1339">
        <f>ROUND(C6*C17+C20,0)</f>
        <v>32613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21973</v>
      </c>
      <c r="U5" s="1213">
        <f>'数据-汇总表'!F19</f>
        <v>212.15</v>
      </c>
      <c r="V5" s="3360">
        <f t="shared" si="1"/>
        <v>466</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32630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20941</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8"/>
      <c r="B8" s="170" t="s">
        <v>1957</v>
      </c>
      <c r="C8" s="2026" t="s">
        <v>3428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8" t="s">
        <v>1960</v>
      </c>
      <c r="X8" s="375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0"/>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5" t="s">
        <v>3254</v>
      </c>
      <c r="B20" s="167" t="s">
        <v>1994</v>
      </c>
      <c r="C20" s="3324">
        <f>ROUND(IF(F21="与级别开发程度一致",0,(G21-E21)/C21),0)</f>
        <v>-17</v>
      </c>
      <c r="D20" s="3340" t="s">
        <v>1998</v>
      </c>
      <c r="E20" s="3341"/>
      <c r="F20" s="3771" t="s">
        <v>1995</v>
      </c>
      <c r="G20" s="3772"/>
      <c r="H20" s="3325" t="s">
        <v>3430</v>
      </c>
      <c r="I20" s="3325" t="s">
        <v>3431</v>
      </c>
      <c r="J20" s="3326" t="s">
        <v>3432</v>
      </c>
      <c r="K20" s="2047" t="s">
        <v>3433</v>
      </c>
      <c r="L20" s="2047" t="s">
        <v>3434</v>
      </c>
      <c r="M20" s="2047" t="s">
        <v>3435</v>
      </c>
      <c r="N20" s="2047" t="s">
        <v>3436</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6"/>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3429</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20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2054" t="s">
        <v>2002</v>
      </c>
      <c r="E23" s="761">
        <v>44197</v>
      </c>
      <c r="F23" s="2054" t="s">
        <v>2003</v>
      </c>
      <c r="G23" s="762">
        <f>'数据-取费表'!B2</f>
        <v>45799</v>
      </c>
      <c r="H23" s="3342" t="s">
        <v>3256</v>
      </c>
      <c r="I23" s="3343" t="str">
        <f>IF(H23="季度增幅（自定义）",SUMIF(N25:N28,E2,O25:O28),"")</f>
        <v/>
      </c>
      <c r="J23" s="3445" t="s">
        <v>3255</v>
      </c>
      <c r="K23" s="1125"/>
      <c r="L23" s="2055" t="s">
        <v>2004</v>
      </c>
      <c r="M23" s="1328">
        <f>ROUND(SUMIF(地价!B2:G2,E2,地价!B16:G16),0)</f>
        <v>350</v>
      </c>
      <c r="N23" s="2056"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0.66369999999999996</v>
      </c>
      <c r="D24" s="2060" t="s">
        <v>2007</v>
      </c>
      <c r="E24" s="1335">
        <f>存贷款利率!E28/100</f>
        <v>4.3499999999999997E-2</v>
      </c>
      <c r="F24" s="2060" t="s">
        <v>1999</v>
      </c>
      <c r="G24" s="768">
        <f>SUMIF(M30:Q30,E2,M33:Q33)</f>
        <v>5.5E-2</v>
      </c>
      <c r="H24" s="2060" t="s">
        <v>2008</v>
      </c>
      <c r="I24" s="769">
        <f>SUMIF('数据-取费表'!C6:C15,E2,'数据-取费表'!F6:F15)/COUNTIF('数据-取费表'!C6:C15,E2)</f>
        <v>16.46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3437</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1.0402</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466</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212.15</v>
      </c>
      <c r="E33" s="773">
        <f>ROUND(C33*D33/10000,0)</f>
        <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2036</v>
      </c>
      <c r="C37" s="175">
        <f>ROUND(D5*C22*C23*C24*C28*F37,0)</f>
        <v>16295</v>
      </c>
      <c r="D37" s="2098"/>
      <c r="E37" s="171">
        <f>ROUND(C37*D37/10000,0)</f>
        <v>0</v>
      </c>
      <c r="F37" s="171">
        <f>SUMIF(修正!A57:A68,G2,修正!B57:B68)</f>
        <v>0.7</v>
      </c>
      <c r="G37" s="171">
        <f>ROUND(IF(E2="工业",C37*$M$42,C37*$M$41),0)</f>
        <v>4074</v>
      </c>
      <c r="H37" s="171">
        <f>D37</f>
        <v>0</v>
      </c>
      <c r="I37" s="171">
        <f>ROUND(G37*H37/10000,0)</f>
        <v>0</v>
      </c>
      <c r="J37" s="3011"/>
      <c r="K37" s="3358" t="s">
        <v>3266</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2037</v>
      </c>
      <c r="C38" s="175">
        <f>ROUND(D5*C22*C23*C24*C28*F38,0)</f>
        <v>9311</v>
      </c>
      <c r="D38" s="2098"/>
      <c r="E38" s="171">
        <f t="shared" ref="E38:E42" si="4">ROUND(C38*D38/10000,0)</f>
        <v>0</v>
      </c>
      <c r="F38" s="171">
        <f>SUMIF(修正!A57:A68,G2,修正!C57:C68)</f>
        <v>0.4</v>
      </c>
      <c r="G38" s="171">
        <f>ROUND(IF(E2="工业",C38*$M$42,C38*$M$41),0)</f>
        <v>2328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0"/>
      <c r="B39" s="2041" t="s">
        <v>3259</v>
      </c>
      <c r="C39" s="175">
        <f>ROUND(D5*C22*C23*C24*C28*F39,0)</f>
        <v>6984</v>
      </c>
      <c r="D39" s="2098"/>
      <c r="E39" s="171">
        <f t="shared" si="4"/>
        <v>0</v>
      </c>
      <c r="F39" s="171">
        <f>SUMIF(修正!A57:A68,G2,修正!D57:D68)</f>
        <v>0.3</v>
      </c>
      <c r="G39" s="171">
        <f>ROUND(IF(E2="工业",C39*$M$42,C39*$M$41),0)</f>
        <v>1746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6984</v>
      </c>
      <c r="D40" s="2098"/>
      <c r="E40" s="171">
        <f t="shared" si="4"/>
        <v>0</v>
      </c>
      <c r="F40" s="175">
        <f>SUMIF(修正!A57:A68,G2,修正!E57:E68)</f>
        <v>0.3</v>
      </c>
      <c r="G40" s="171">
        <f>ROUND(IF(E2="工业",C40*$M$42,C40*$M$41),0)</f>
        <v>1746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6618</v>
      </c>
      <c r="D41" s="2098"/>
      <c r="E41" s="171">
        <f t="shared" si="4"/>
        <v>0</v>
      </c>
      <c r="F41" s="175">
        <f>SUMIF(修正!A57:A68,G2,修正!F57:F68)</f>
        <v>0.3</v>
      </c>
      <c r="G41" s="171">
        <f>ROUND(IF(E2="工业",C41*$M$42,C41*$M$41),0)</f>
        <v>1655</v>
      </c>
      <c r="H41" s="171">
        <f t="shared" si="5"/>
        <v>0</v>
      </c>
      <c r="I41" s="171">
        <f t="shared" si="6"/>
        <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4412</v>
      </c>
      <c r="D42" s="2103"/>
      <c r="E42" s="187">
        <f t="shared" si="4"/>
        <v>0</v>
      </c>
      <c r="F42" s="767">
        <f>SUMIF(修正!A57:A68,G2,修正!G57:G68)</f>
        <v>0.2</v>
      </c>
      <c r="G42" s="187">
        <f>ROUND(IF(E2="工业",C42*$M$42,C42*$M$41),0)</f>
        <v>1103</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0.629</v>
      </c>
      <c r="D44" s="171" t="s">
        <v>1999</v>
      </c>
      <c r="E44" s="2153">
        <f>G24</f>
        <v>5.5E-2</v>
      </c>
      <c r="F44" s="171" t="s">
        <v>2008</v>
      </c>
      <c r="G44" s="183">
        <f>项目基本情况!D15</f>
        <v>16.46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1.0402</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3438</v>
      </c>
      <c r="D50" s="1065">
        <f t="shared" ref="D50:D58" si="7">SUMIF($J$49:$N$49,C50,J50:N50)</f>
        <v>1.21E-2</v>
      </c>
      <c r="E50" s="744">
        <f>ROUND(SUM(D50:D58),4)</f>
        <v>4.02E-2</v>
      </c>
      <c r="F50" s="1814">
        <f>IF(E2="商业",SUMIF(L1:L12,G2,N1:N12),"——")</f>
        <v>8.1000000000000003E-2</v>
      </c>
      <c r="G50" s="1063">
        <f>H50</f>
        <v>1.21E-2</v>
      </c>
      <c r="H50" s="1066">
        <f t="shared" ref="H50:H58" si="8">IFERROR(ROUNDDOWN($F$50*I50/2,4),"——")</f>
        <v>1.21E-2</v>
      </c>
      <c r="I50" s="3366">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3438</v>
      </c>
      <c r="D51" s="1065">
        <f t="shared" si="7"/>
        <v>8.8999999999999999E-3</v>
      </c>
      <c r="E51" s="745"/>
      <c r="F51" s="1814"/>
      <c r="G51" s="1063">
        <f t="shared" ref="G51:G58" si="12">H51</f>
        <v>8.8999999999999999E-3</v>
      </c>
      <c r="H51" s="1066">
        <f t="shared" si="8"/>
        <v>8.8999999999999999E-3</v>
      </c>
      <c r="I51" s="3366">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t="s">
        <v>3438</v>
      </c>
      <c r="D52" s="1065">
        <f t="shared" si="7"/>
        <v>4.7999999999999996E-3</v>
      </c>
      <c r="E52" s="745"/>
      <c r="F52" s="1814"/>
      <c r="G52" s="1063">
        <f t="shared" si="12"/>
        <v>4.7999999999999996E-3</v>
      </c>
      <c r="H52" s="1066">
        <f t="shared" si="8"/>
        <v>4.7999999999999996E-3</v>
      </c>
      <c r="I52" s="3366">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30" t="s">
        <v>2054</v>
      </c>
      <c r="B53" s="2135" t="s">
        <v>2055</v>
      </c>
      <c r="C53" s="2044" t="s">
        <v>3438</v>
      </c>
      <c r="D53" s="1065">
        <f t="shared" si="7"/>
        <v>2E-3</v>
      </c>
      <c r="E53" s="745"/>
      <c r="F53" s="1814"/>
      <c r="G53" s="1063">
        <f t="shared" si="12"/>
        <v>2E-3</v>
      </c>
      <c r="H53" s="1066">
        <f t="shared" si="8"/>
        <v>2E-3</v>
      </c>
      <c r="I53" s="3366">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3439</v>
      </c>
      <c r="D54" s="1065">
        <f t="shared" si="7"/>
        <v>0</v>
      </c>
      <c r="E54" s="745"/>
      <c r="F54" s="1814"/>
      <c r="G54" s="1063">
        <f t="shared" si="12"/>
        <v>3.2000000000000002E-3</v>
      </c>
      <c r="H54" s="1066">
        <f t="shared" si="8"/>
        <v>3.2000000000000002E-3</v>
      </c>
      <c r="I54" s="3366">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2057</v>
      </c>
      <c r="B55" s="2136" t="s">
        <v>2058</v>
      </c>
      <c r="C55" s="2044" t="s">
        <v>3438</v>
      </c>
      <c r="D55" s="1065">
        <f t="shared" si="7"/>
        <v>2E-3</v>
      </c>
      <c r="E55" s="745"/>
      <c r="F55" s="1814"/>
      <c r="G55" s="1063">
        <f t="shared" si="12"/>
        <v>2E-3</v>
      </c>
      <c r="H55" s="1066">
        <f t="shared" si="8"/>
        <v>2E-3</v>
      </c>
      <c r="I55" s="3366">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3438</v>
      </c>
      <c r="D56" s="1065">
        <f t="shared" si="7"/>
        <v>2E-3</v>
      </c>
      <c r="E56" s="745"/>
      <c r="F56" s="1814"/>
      <c r="G56" s="1063">
        <f t="shared" si="12"/>
        <v>2E-3</v>
      </c>
      <c r="H56" s="1066">
        <f t="shared" si="8"/>
        <v>2E-3</v>
      </c>
      <c r="I56" s="3366">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3440</v>
      </c>
      <c r="D57" s="1065">
        <f t="shared" si="7"/>
        <v>6.4000000000000003E-3</v>
      </c>
      <c r="E57" s="745"/>
      <c r="F57" s="1814"/>
      <c r="G57" s="1063">
        <f t="shared" si="12"/>
        <v>3.2000000000000002E-3</v>
      </c>
      <c r="H57" s="1066">
        <f t="shared" si="8"/>
        <v>3.2000000000000002E-3</v>
      </c>
      <c r="I57" s="3366">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3438</v>
      </c>
      <c r="D58" s="1065">
        <f t="shared" si="7"/>
        <v>2E-3</v>
      </c>
      <c r="E58" s="746"/>
      <c r="F58" s="1814"/>
      <c r="G58" s="1063">
        <f t="shared" si="12"/>
        <v>2E-3</v>
      </c>
      <c r="H58" s="1066">
        <f t="shared" si="8"/>
        <v>2E-3</v>
      </c>
      <c r="I58" s="3367">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3"/>
        <v>0</v>
      </c>
      <c r="E63" s="745"/>
      <c r="F63" s="1814"/>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3270</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7" t="s">
        <v>3294</v>
      </c>
      <c r="B103" s="3767"/>
      <c r="C103" s="3767"/>
      <c r="D103" s="3767"/>
      <c r="E103" s="3767"/>
      <c r="F103" s="3767"/>
      <c r="G103" s="3767"/>
      <c r="H103" s="3767"/>
      <c r="I103" s="3767"/>
      <c r="J103" s="3767"/>
      <c r="K103" s="3389"/>
      <c r="L103" s="3389"/>
      <c r="M103" s="3389"/>
      <c r="N103" s="3389"/>
    </row>
    <row r="104" spans="1:14">
      <c r="A104" s="3768" t="s">
        <v>3295</v>
      </c>
      <c r="B104" s="3768" t="s">
        <v>3296</v>
      </c>
      <c r="C104" s="3390" t="s">
        <v>3297</v>
      </c>
      <c r="D104" s="3391"/>
      <c r="E104" s="3391"/>
      <c r="F104" s="3391"/>
      <c r="G104" s="3391"/>
      <c r="H104" s="3391"/>
      <c r="I104" s="3391"/>
      <c r="J104" s="3392"/>
      <c r="K104" s="3393"/>
      <c r="L104" s="3393"/>
      <c r="M104" s="3393"/>
      <c r="N104" s="3393"/>
    </row>
    <row r="105" spans="1:14">
      <c r="A105" s="3768"/>
      <c r="B105" s="3768"/>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4"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5"/>
      <c r="B111" s="3394" t="s">
        <v>3268</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6"/>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7" t="s">
        <v>3311</v>
      </c>
      <c r="B113" s="3757"/>
      <c r="C113" s="3757"/>
      <c r="D113" s="3757"/>
      <c r="E113" s="3757"/>
      <c r="F113" s="3757"/>
      <c r="G113" s="3757"/>
      <c r="H113" s="3757"/>
      <c r="I113" s="3757"/>
      <c r="J113" s="375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3.5</v>
      </c>
      <c r="C116" s="3399" t="s">
        <v>3313</v>
      </c>
      <c r="D116" s="3400">
        <f>SUMPRODUCT((A118:A122=F116)*(B117:M117=H116)*B118:M122)</f>
        <v>0.95830000000000004</v>
      </c>
      <c r="E116" s="2000" t="s">
        <v>3314</v>
      </c>
      <c r="F116" s="3401" t="str">
        <f>E2</f>
        <v>商业</v>
      </c>
      <c r="G116" s="2000" t="s">
        <v>3315</v>
      </c>
      <c r="H116" s="3401" t="str">
        <f>G2</f>
        <v>一级</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0.95830000000000004</v>
      </c>
      <c r="C118" s="3387">
        <f>B118</f>
        <v>0.95830000000000004</v>
      </c>
      <c r="D118" s="3387">
        <f>ROUND(0.949-0.014*B116,4)</f>
        <v>0.9</v>
      </c>
      <c r="E118" s="3387">
        <f>D118</f>
        <v>0.9</v>
      </c>
      <c r="F118" s="3387">
        <f>E118</f>
        <v>0.9</v>
      </c>
      <c r="G118" s="3387">
        <f>F118</f>
        <v>0.9</v>
      </c>
      <c r="H118" s="3387">
        <f>G118</f>
        <v>0.9</v>
      </c>
      <c r="I118" s="3387">
        <f>ROUND(0.8486-0.018*B116,4)</f>
        <v>0.78559999999999997</v>
      </c>
      <c r="J118" s="3387">
        <f t="shared" ref="J118:M122" si="36">I118</f>
        <v>0.78559999999999997</v>
      </c>
      <c r="K118" s="3387">
        <f t="shared" si="36"/>
        <v>0.78559999999999997</v>
      </c>
      <c r="L118" s="3387">
        <f t="shared" si="36"/>
        <v>0.78559999999999997</v>
      </c>
      <c r="M118" s="3410">
        <f t="shared" si="36"/>
        <v>0.78559999999999997</v>
      </c>
      <c r="N118" s="3397"/>
    </row>
    <row r="119" spans="1:14">
      <c r="A119" s="3409" t="s">
        <v>3329</v>
      </c>
      <c r="B119" s="3387">
        <f>ROUND(0.993-0.0112*B116,4)</f>
        <v>0.95379999999999998</v>
      </c>
      <c r="C119" s="3387">
        <f>B119</f>
        <v>0.95379999999999998</v>
      </c>
      <c r="D119" s="3387">
        <f>ROUND(0.9415-0.0142*B116,4)</f>
        <v>0.89180000000000004</v>
      </c>
      <c r="E119" s="3387">
        <f t="shared" ref="E119:H120" si="37">D119</f>
        <v>0.89180000000000004</v>
      </c>
      <c r="F119" s="3387">
        <f t="shared" si="37"/>
        <v>0.89180000000000004</v>
      </c>
      <c r="G119" s="3387">
        <f t="shared" si="37"/>
        <v>0.89180000000000004</v>
      </c>
      <c r="H119" s="3387">
        <f t="shared" si="37"/>
        <v>0.89180000000000004</v>
      </c>
      <c r="I119" s="3387">
        <f>ROUND(0.838-0.0182*B116,4)</f>
        <v>0.77429999999999999</v>
      </c>
      <c r="J119" s="3387">
        <f t="shared" si="36"/>
        <v>0.77429999999999999</v>
      </c>
      <c r="K119" s="3387">
        <f t="shared" si="36"/>
        <v>0.77429999999999999</v>
      </c>
      <c r="L119" s="3387">
        <f t="shared" si="36"/>
        <v>0.77429999999999999</v>
      </c>
      <c r="M119" s="3410">
        <f t="shared" si="36"/>
        <v>0.77429999999999999</v>
      </c>
      <c r="N119" s="3397"/>
    </row>
    <row r="120" spans="1:14">
      <c r="A120" s="3409" t="s">
        <v>3330</v>
      </c>
      <c r="B120" s="3387">
        <f>ROUND(0.9448-0.0115*B116,4)</f>
        <v>0.90459999999999996</v>
      </c>
      <c r="C120" s="3387">
        <f>B120</f>
        <v>0.90459999999999996</v>
      </c>
      <c r="D120" s="3387">
        <f>ROUND(0.937-0.0145*B116,4)</f>
        <v>0.88629999999999998</v>
      </c>
      <c r="E120" s="3387">
        <f t="shared" si="37"/>
        <v>0.88629999999999998</v>
      </c>
      <c r="F120" s="3387">
        <f t="shared" si="37"/>
        <v>0.88629999999999998</v>
      </c>
      <c r="G120" s="3387">
        <f t="shared" si="37"/>
        <v>0.88629999999999998</v>
      </c>
      <c r="H120" s="3387">
        <f t="shared" si="37"/>
        <v>0.88629999999999998</v>
      </c>
      <c r="I120" s="3387">
        <f>ROUND(0.7965-0.0185*B116,4)</f>
        <v>0.73180000000000001</v>
      </c>
      <c r="J120" s="3387">
        <f t="shared" si="36"/>
        <v>0.73180000000000001</v>
      </c>
      <c r="K120" s="3387">
        <f t="shared" si="36"/>
        <v>0.73180000000000001</v>
      </c>
      <c r="L120" s="3387">
        <f t="shared" si="36"/>
        <v>0.73180000000000001</v>
      </c>
      <c r="M120" s="3410">
        <f t="shared" si="36"/>
        <v>0.73180000000000001</v>
      </c>
      <c r="N120" s="3397"/>
    </row>
    <row r="121" spans="1:14" ht="13.5" thickBot="1">
      <c r="A121" s="3411" t="s">
        <v>3331</v>
      </c>
      <c r="B121" s="3412">
        <f>ROUND(0.7836-0.012*B116,4)</f>
        <v>0.74160000000000004</v>
      </c>
      <c r="C121" s="3412">
        <f>B121</f>
        <v>0.74160000000000004</v>
      </c>
      <c r="D121" s="3412">
        <f>ROUND(0.753-0.015*B116,4)</f>
        <v>0.70050000000000001</v>
      </c>
      <c r="E121" s="3412">
        <f>D121</f>
        <v>0.70050000000000001</v>
      </c>
      <c r="F121" s="3412">
        <f>E121</f>
        <v>0.70050000000000001</v>
      </c>
      <c r="G121" s="3412">
        <f>ROUND(0.6612-0.018*B116,4)</f>
        <v>0.59819999999999995</v>
      </c>
      <c r="H121" s="3412">
        <f>G121</f>
        <v>0.59819999999999995</v>
      </c>
      <c r="I121" s="3412">
        <f>ROUND(0.5905-0.019*B116,4)</f>
        <v>0.52400000000000002</v>
      </c>
      <c r="J121" s="3412">
        <f t="shared" si="36"/>
        <v>0.52400000000000002</v>
      </c>
      <c r="K121" s="3412">
        <f t="shared" si="36"/>
        <v>0.52400000000000002</v>
      </c>
      <c r="L121" s="3412">
        <f t="shared" si="36"/>
        <v>0.52400000000000002</v>
      </c>
      <c r="M121" s="3413">
        <f t="shared" si="36"/>
        <v>0.52400000000000002</v>
      </c>
      <c r="N121" s="3397"/>
    </row>
    <row r="122" spans="1:14">
      <c r="A122" s="3414" t="s">
        <v>2612</v>
      </c>
      <c r="B122" s="3387">
        <f>ROUND(0.9404-0.0106*B116,4)</f>
        <v>0.90329999999999999</v>
      </c>
      <c r="C122" s="3387">
        <f>B122</f>
        <v>0.90329999999999999</v>
      </c>
      <c r="D122" s="3387">
        <f>ROUND(0.8955-0.0135*B116,4)</f>
        <v>0.84830000000000005</v>
      </c>
      <c r="E122" s="3387">
        <f t="shared" ref="E122:H122" si="38">D122</f>
        <v>0.84830000000000005</v>
      </c>
      <c r="F122" s="3387">
        <f t="shared" si="38"/>
        <v>0.84830000000000005</v>
      </c>
      <c r="G122" s="3387">
        <f t="shared" si="38"/>
        <v>0.84830000000000005</v>
      </c>
      <c r="H122" s="3387">
        <f t="shared" si="38"/>
        <v>0.84830000000000005</v>
      </c>
      <c r="I122" s="3387">
        <f>ROUND(0.7632-0.0166*B116,4)</f>
        <v>0.70509999999999995</v>
      </c>
      <c r="J122" s="3387">
        <f t="shared" si="36"/>
        <v>0.70509999999999995</v>
      </c>
      <c r="K122" s="3387">
        <f t="shared" si="36"/>
        <v>0.70509999999999995</v>
      </c>
      <c r="L122" s="3387">
        <f t="shared" si="36"/>
        <v>0.70509999999999995</v>
      </c>
      <c r="M122" s="3410">
        <f t="shared" si="36"/>
        <v>0.70509999999999995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0" zoomScaleNormal="70" zoomScaleSheetLayoutView="80" workbookViewId="0">
      <selection activeCell="H43" sqref="H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3420</v>
      </c>
      <c r="D1" s="1362" t="s">
        <v>43</v>
      </c>
      <c r="E1" s="1363" t="s">
        <v>678</v>
      </c>
      <c r="F1" s="1062">
        <f ca="1">J53</f>
        <v>16.46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232.6337</v>
      </c>
      <c r="C2" s="1387" t="s">
        <v>879</v>
      </c>
      <c r="D2" s="1471">
        <f ca="1">C40+J29+L46</f>
        <v>2326337</v>
      </c>
      <c r="E2" s="1388" t="s">
        <v>880</v>
      </c>
      <c r="F2" s="1389"/>
      <c r="G2" s="2705"/>
      <c r="H2" s="2694"/>
      <c r="I2" s="2694"/>
      <c r="J2" s="2694"/>
      <c r="K2" s="2695"/>
      <c r="L2" s="2694"/>
      <c r="M2" s="2694"/>
    </row>
    <row r="3" spans="1:37" ht="18" customHeight="1" thickBot="1">
      <c r="A3" s="1390" t="s">
        <v>881</v>
      </c>
      <c r="B3" s="1391">
        <f ca="1">IF(ISERROR(D2/F43),0,ROUND(D2/F43,0))</f>
        <v>10966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197706</v>
      </c>
      <c r="D5" s="1364" t="s">
        <v>889</v>
      </c>
      <c r="E5" s="1071"/>
      <c r="F5" s="1072"/>
      <c r="G5" s="1384"/>
      <c r="H5" s="299">
        <v>1</v>
      </c>
      <c r="I5" s="300" t="s">
        <v>888</v>
      </c>
      <c r="J5" s="1070">
        <f ca="1">J6+J10+J12</f>
        <v>0</v>
      </c>
      <c r="K5" s="1364" t="s">
        <v>889</v>
      </c>
      <c r="L5" s="1071"/>
      <c r="M5" s="1072"/>
    </row>
    <row r="6" spans="1:37" ht="18" customHeight="1">
      <c r="A6" s="1069" t="s">
        <v>398</v>
      </c>
      <c r="B6" s="3654" t="s">
        <v>694</v>
      </c>
      <c r="C6" s="1074">
        <f ca="1">ROUND(F6*F8*F7*(1-F9),0)</f>
        <v>197459</v>
      </c>
      <c r="D6" s="155" t="s">
        <v>2106</v>
      </c>
      <c r="E6" s="302" t="s">
        <v>696</v>
      </c>
      <c r="F6" s="303">
        <f ca="1">INDIRECT("'数据-取费表'!u"&amp;$G$1)</f>
        <v>3</v>
      </c>
      <c r="G6" s="1384"/>
      <c r="H6" s="1069" t="s">
        <v>398</v>
      </c>
      <c r="I6" s="3654" t="s">
        <v>694</v>
      </c>
      <c r="J6" s="301">
        <f ca="1">ROUND(M6*M8*M7*(1-M9),0)</f>
        <v>0</v>
      </c>
      <c r="K6" s="1376" t="s">
        <v>2107</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212.15</v>
      </c>
      <c r="G7" s="1384"/>
      <c r="H7" s="304"/>
      <c r="I7" s="3655"/>
      <c r="J7" s="306"/>
      <c r="K7" s="307"/>
      <c r="L7" s="302" t="s">
        <v>697</v>
      </c>
      <c r="M7" s="303">
        <f ca="1">F7</f>
        <v>212.15</v>
      </c>
    </row>
    <row r="8" spans="1:37" ht="18" customHeight="1">
      <c r="A8" s="304"/>
      <c r="B8" s="3655"/>
      <c r="C8" s="306"/>
      <c r="D8" s="307"/>
      <c r="E8" s="302" t="s">
        <v>698</v>
      </c>
      <c r="F8" s="303">
        <f ca="1">INDIRECT("'数据-取费表'!ai"&amp;$G$1)</f>
        <v>365</v>
      </c>
      <c r="G8" s="1384"/>
      <c r="H8" s="304"/>
      <c r="I8" s="3655"/>
      <c r="J8" s="306"/>
      <c r="K8" s="307"/>
      <c r="L8" s="302" t="s">
        <v>698</v>
      </c>
      <c r="M8" s="303">
        <f ca="1">INDIRECT("'数据-取费表'!ai"&amp;$G$1)</f>
        <v>365</v>
      </c>
    </row>
    <row r="9" spans="1:37" ht="18" customHeight="1">
      <c r="A9" s="304"/>
      <c r="B9" s="3656"/>
      <c r="C9" s="306"/>
      <c r="D9" s="307"/>
      <c r="E9" s="302" t="s">
        <v>699</v>
      </c>
      <c r="F9" s="312">
        <f ca="1">INDIRECT("'数据-取费表'!w"&amp;$G$1)</f>
        <v>0.15</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247</v>
      </c>
      <c r="D10" s="1366" t="s">
        <v>2116</v>
      </c>
      <c r="E10" s="313" t="s">
        <v>701</v>
      </c>
      <c r="F10" s="1116" t="s">
        <v>3423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1005486</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848600</v>
      </c>
      <c r="D14" s="1345" t="s">
        <v>708</v>
      </c>
      <c r="E14" s="1342"/>
      <c r="F14" s="319"/>
      <c r="G14" s="1384"/>
      <c r="H14" s="982" t="s">
        <v>398</v>
      </c>
      <c r="I14" s="302" t="s">
        <v>709</v>
      </c>
      <c r="J14" s="21">
        <f ca="1">C29</f>
        <v>1305826</v>
      </c>
      <c r="K14" s="12"/>
      <c r="L14" s="807"/>
      <c r="M14" s="808"/>
    </row>
    <row r="15" spans="1:37" s="1397" customFormat="1" ht="18" customHeight="1" thickBot="1">
      <c r="A15" s="982" t="s">
        <v>399</v>
      </c>
      <c r="B15" s="302" t="s">
        <v>710</v>
      </c>
      <c r="C15" s="21">
        <f ca="1">ROUND(C14*F15,0)</f>
        <v>42430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6529</v>
      </c>
      <c r="K16" s="1087" t="s">
        <v>715</v>
      </c>
      <c r="L16" s="1088"/>
      <c r="M16" s="1072"/>
    </row>
    <row r="17" spans="1:37" s="1397" customFormat="1" ht="18" customHeight="1">
      <c r="A17" s="982" t="s">
        <v>681</v>
      </c>
      <c r="B17" s="302" t="s">
        <v>716</v>
      </c>
      <c r="C17" s="21">
        <f ca="1">ROUND(F17*(F43+INDIRECT("'数据-取费表'!S"&amp;$G$1)),0)</f>
        <v>42430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16972</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950432</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28513</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6529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29368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-6529</v>
      </c>
      <c r="K25" s="1095" t="s">
        <v>753</v>
      </c>
      <c r="L25" s="1096"/>
      <c r="M25" s="1097"/>
    </row>
    <row r="26" spans="1:37" ht="18" customHeight="1">
      <c r="A26" s="982" t="s">
        <v>397</v>
      </c>
      <c r="B26" s="302" t="s">
        <v>754</v>
      </c>
      <c r="C26" s="21">
        <f ca="1">ROUND((C19+C20)*F26,0)</f>
        <v>195789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1305826</v>
      </c>
      <c r="D29" s="1092"/>
      <c r="E29" s="1090"/>
      <c r="F29" s="1093"/>
      <c r="G29" s="1396"/>
      <c r="H29" s="334" t="s">
        <v>396</v>
      </c>
      <c r="I29" s="335" t="s">
        <v>768</v>
      </c>
      <c r="J29" s="336">
        <f ca="1">ROUND(J26/(1+F40)^F41,0)</f>
        <v>0</v>
      </c>
      <c r="K29" s="337" t="s">
        <v>769</v>
      </c>
      <c r="L29" s="338"/>
      <c r="M29" s="339">
        <f ca="1">INDIRECT("'数据-取费表'!k"&amp;$G$1)</f>
        <v>212.15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22675</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13164</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6529</v>
      </c>
      <c r="D36" s="1344" t="s">
        <v>771</v>
      </c>
      <c r="E36" s="302" t="s">
        <v>712</v>
      </c>
      <c r="F36" s="328">
        <f ca="1">INDIRECT("'数据-取费表'!Ak"&amp;$G$1)</f>
        <v>5.0000000000000001E-3</v>
      </c>
      <c r="G36" s="1384"/>
      <c r="H36" s="2699"/>
      <c r="I36" s="1398"/>
      <c r="J36" s="1399"/>
      <c r="K36" s="2544"/>
      <c r="L36" s="2699"/>
      <c r="M36" s="2699"/>
    </row>
    <row r="37" spans="1:18" ht="18" customHeight="1">
      <c r="A37" s="982" t="s">
        <v>437</v>
      </c>
      <c r="B37" s="302" t="s">
        <v>742</v>
      </c>
      <c r="C37" s="21">
        <f ca="1">ROUND(C13*F37,0)</f>
        <v>1005</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1977</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175031</v>
      </c>
      <c r="D39" s="1095" t="s">
        <v>773</v>
      </c>
      <c r="E39" s="1096"/>
      <c r="F39" s="1097"/>
      <c r="G39" s="1384"/>
      <c r="H39" s="2699"/>
      <c r="I39" s="1398"/>
      <c r="J39" s="1399"/>
      <c r="K39" s="2703"/>
      <c r="L39" s="2699"/>
      <c r="M39" s="2699"/>
    </row>
    <row r="40" spans="1:18" ht="18" customHeight="1">
      <c r="A40" s="299" t="s">
        <v>395</v>
      </c>
      <c r="B40" s="300" t="s">
        <v>774</v>
      </c>
      <c r="C40" s="301">
        <f ca="1">ROUND(C39*(1-((1+F42)/(1+F40))^F41)/(F40-F42),0)</f>
        <v>2130963</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16.46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10045</v>
      </c>
      <c r="D43" s="337" t="s">
        <v>777</v>
      </c>
      <c r="E43" s="338" t="s">
        <v>778</v>
      </c>
      <c r="F43" s="339">
        <f ca="1">INDIRECT("'数据-取费表'!k"&amp;$G$1)</f>
        <v>212.15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3351</v>
      </c>
      <c r="B45" s="1400"/>
      <c r="C45" s="1472">
        <f ca="1">ROUND((C68-C40)/10000,4)</f>
        <v>-221.12</v>
      </c>
      <c r="D45" s="3431" t="s">
        <v>3352</v>
      </c>
      <c r="E45" s="1400"/>
      <c r="F45" s="1400"/>
      <c r="O45" s="1403" t="s">
        <v>808</v>
      </c>
      <c r="P45" s="1461"/>
      <c r="Q45" s="1461"/>
      <c r="R45" s="1461"/>
    </row>
    <row r="46" spans="1:18" s="1384" customFormat="1" ht="13.5" thickBot="1">
      <c r="A46" s="1404" t="s">
        <v>809</v>
      </c>
      <c r="C46" s="1405">
        <f ca="1">ROUND(C45,0)</f>
        <v>-221</v>
      </c>
      <c r="D46" s="1406" t="str">
        <f>C2</f>
        <v>万元</v>
      </c>
      <c r="I46" s="1407" t="s">
        <v>810</v>
      </c>
      <c r="J46" s="1408"/>
      <c r="K46" s="1409"/>
      <c r="L46" s="1410">
        <f ca="1">IF(M47="住宅",0,IF(L48&gt;J51,L60,J60))</f>
        <v>195374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3424</v>
      </c>
      <c r="K47" s="1416" t="s">
        <v>816</v>
      </c>
      <c r="L47" s="1417">
        <f ca="1">INDIRECT("'数据-取费表'!d"&amp;$G$1)</f>
        <v>40</v>
      </c>
      <c r="M47" s="1380" t="str">
        <f>IF(ISNUMBER(FIND("住宅",C1)),"住宅","非住宅")</f>
        <v>非住宅</v>
      </c>
      <c r="O47" s="1418" t="s">
        <v>403</v>
      </c>
      <c r="P47" s="1419" t="s">
        <v>817</v>
      </c>
      <c r="Q47" s="1420">
        <f ca="1">C40+J29</f>
        <v>2130963</v>
      </c>
      <c r="R47" s="1420" t="s">
        <v>818</v>
      </c>
    </row>
    <row r="48" spans="1:18" s="1384" customFormat="1" ht="28.5" thickBot="1">
      <c r="A48" s="1110" t="s">
        <v>438</v>
      </c>
      <c r="B48" s="300" t="s">
        <v>692</v>
      </c>
      <c r="C48" s="1359">
        <f ca="1">C49+C53+C55</f>
        <v>0</v>
      </c>
      <c r="D48" s="1112"/>
      <c r="E48" s="1113"/>
      <c r="F48" s="962"/>
      <c r="G48" s="722"/>
      <c r="H48" s="723"/>
      <c r="I48" s="1421" t="s">
        <v>819</v>
      </c>
      <c r="J48" s="1422" t="s">
        <v>3425</v>
      </c>
      <c r="K48" s="1423" t="s">
        <v>820</v>
      </c>
      <c r="L48" s="1424">
        <f ca="1">INDIRECT("'数据-取费表'!f"&amp;$G$1)</f>
        <v>16.46</v>
      </c>
      <c r="O48" s="1418" t="s">
        <v>404</v>
      </c>
      <c r="P48" s="1419" t="s">
        <v>821</v>
      </c>
      <c r="Q48" s="1420">
        <f ca="1">J60</f>
        <v>195374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2011</v>
      </c>
      <c r="K49" s="1423" t="s">
        <v>824</v>
      </c>
      <c r="L49" s="1427"/>
      <c r="O49" s="1428" t="s">
        <v>405</v>
      </c>
      <c r="P49" s="1419" t="s">
        <v>825</v>
      </c>
      <c r="Q49" s="1420">
        <f ca="1">C29</f>
        <v>1305826</v>
      </c>
      <c r="R49" s="1420" t="s">
        <v>818</v>
      </c>
    </row>
    <row r="50" spans="1:18" s="1384" customFormat="1" ht="13.5" thickBot="1">
      <c r="A50" s="976"/>
      <c r="B50" s="979"/>
      <c r="C50" s="980"/>
      <c r="D50" s="953"/>
      <c r="E50" s="1056" t="s">
        <v>697</v>
      </c>
      <c r="F50" s="1057">
        <f ca="1">F7</f>
        <v>212.15</v>
      </c>
      <c r="H50" s="723"/>
      <c r="I50" s="1421" t="s">
        <v>826</v>
      </c>
      <c r="J50" s="1429">
        <f>SUMPRODUCT((I63:I65=J47)*(J62:L62=J48)*(J63:L65))</f>
        <v>60</v>
      </c>
      <c r="K50" s="1423" t="s">
        <v>827</v>
      </c>
      <c r="L50" s="1427"/>
      <c r="M50" s="1430"/>
      <c r="O50" s="1428" t="s">
        <v>406</v>
      </c>
      <c r="P50" s="1419" t="s">
        <v>828</v>
      </c>
      <c r="Q50" s="1431">
        <f ca="1">J58</f>
        <v>0.49199999999999999</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1871095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16.46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16.46</v>
      </c>
      <c r="K53" s="3652" t="s">
        <v>837</v>
      </c>
      <c r="L53" s="3653"/>
      <c r="O53" s="1418" t="s">
        <v>409</v>
      </c>
      <c r="P53" s="1419" t="s">
        <v>838</v>
      </c>
      <c r="Q53" s="1420">
        <f ca="1">Q47+Q48</f>
        <v>2326337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0.49199999999999999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1005486</v>
      </c>
      <c r="D56" s="1447"/>
      <c r="E56" s="1448"/>
      <c r="F56" s="1440"/>
      <c r="I56" s="1449" t="s">
        <v>842</v>
      </c>
      <c r="J56" s="1450" t="s">
        <v>3426</v>
      </c>
      <c r="K56" s="1421" t="s">
        <v>843</v>
      </c>
      <c r="L56" s="1424" t="str">
        <f ca="1">IF(L48&lt;J51,"——",L48-J51)</f>
        <v>——</v>
      </c>
      <c r="O56" s="1418" t="s">
        <v>403</v>
      </c>
      <c r="P56" s="1419" t="s">
        <v>817</v>
      </c>
      <c r="Q56" s="1420">
        <f ca="1">C40+J29</f>
        <v>2130963</v>
      </c>
      <c r="R56" s="1420" t="s">
        <v>818</v>
      </c>
    </row>
    <row r="57" spans="1:18" s="1384" customFormat="1" ht="24.75" thickBot="1">
      <c r="A57" s="1451"/>
      <c r="B57" s="950" t="s">
        <v>767</v>
      </c>
      <c r="C57" s="238">
        <f ca="1">C29</f>
        <v>1305826</v>
      </c>
      <c r="D57" s="1452"/>
      <c r="E57" s="1453"/>
      <c r="F57" s="1454"/>
      <c r="I57" s="1455" t="s">
        <v>844</v>
      </c>
      <c r="J57" s="1456">
        <f ca="1">IF(OR(M47="住宅",J51&lt;L48,J56="是"),"——",J51-L48)</f>
        <v>29.54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7534</v>
      </c>
      <c r="D58" s="960" t="s">
        <v>715</v>
      </c>
      <c r="E58" s="961"/>
      <c r="F58" s="962"/>
      <c r="I58" s="1455" t="s">
        <v>848</v>
      </c>
      <c r="J58" s="1457">
        <f ca="1">IF(J55&lt;0.4,0.4,J55)</f>
        <v>0.49199999999999999</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642466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195374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2130963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6529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1005</v>
      </c>
      <c r="D65" s="964" t="s">
        <v>743</v>
      </c>
      <c r="E65" s="950" t="s">
        <v>744</v>
      </c>
      <c r="F65" s="330">
        <f t="shared" ca="1" si="0"/>
        <v>1E-3</v>
      </c>
      <c r="I65" s="1462" t="s">
        <v>867</v>
      </c>
      <c r="J65" s="1463">
        <v>40</v>
      </c>
      <c r="K65" s="1463">
        <v>30</v>
      </c>
      <c r="L65" s="1463">
        <v>50</v>
      </c>
      <c r="M65" s="1465">
        <v>0.02</v>
      </c>
      <c r="O65" s="1418" t="s">
        <v>403</v>
      </c>
      <c r="P65" s="1419" t="s">
        <v>868</v>
      </c>
      <c r="Q65" s="1420">
        <f ca="1">C40+J29</f>
        <v>2130963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-7534</v>
      </c>
      <c r="D67" s="963" t="s">
        <v>753</v>
      </c>
      <c r="E67" s="968"/>
      <c r="F67" s="969"/>
      <c r="O67" s="1428" t="s">
        <v>405</v>
      </c>
      <c r="P67" s="1419" t="s">
        <v>850</v>
      </c>
      <c r="Q67" s="1466">
        <f ca="1">L51</f>
        <v>1871095</v>
      </c>
      <c r="R67" s="1420" t="s">
        <v>870</v>
      </c>
    </row>
    <row r="68" spans="1:18" s="1384" customFormat="1" ht="16.5" thickBot="1">
      <c r="A68" s="947" t="s">
        <v>395</v>
      </c>
      <c r="B68" s="948" t="s">
        <v>774</v>
      </c>
      <c r="C68" s="301">
        <f ca="1">ROUND(C67*(1-((1+F70)/(1+F68))^F69)/(F68-F70),0)</f>
        <v>-80237</v>
      </c>
      <c r="D68" s="965" t="s">
        <v>758</v>
      </c>
      <c r="E68" s="950" t="s">
        <v>759</v>
      </c>
      <c r="F68" s="312">
        <f ca="1">F40</f>
        <v>5.5E-2</v>
      </c>
      <c r="O68" s="1428" t="s">
        <v>406</v>
      </c>
      <c r="P68" s="1467" t="s">
        <v>871</v>
      </c>
      <c r="Q68" s="1420">
        <f ca="1">ROUND(Q69-Q70*Q71,0)</f>
        <v>104647</v>
      </c>
      <c r="R68" s="1420" t="s">
        <v>414</v>
      </c>
    </row>
    <row r="69" spans="1:18" s="1384" customFormat="1" ht="13.5" thickBot="1">
      <c r="A69" s="951"/>
      <c r="B69" s="952"/>
      <c r="C69" s="306"/>
      <c r="D69" s="970" t="s">
        <v>762</v>
      </c>
      <c r="E69" s="950" t="s">
        <v>763</v>
      </c>
      <c r="F69" s="333">
        <f ca="1">F41</f>
        <v>16.46</v>
      </c>
      <c r="O69" s="1428" t="s">
        <v>411</v>
      </c>
      <c r="P69" s="1467" t="s">
        <v>872</v>
      </c>
      <c r="Q69" s="1420">
        <f ca="1">C39</f>
        <v>175031</v>
      </c>
      <c r="R69" s="1420" t="s">
        <v>818</v>
      </c>
    </row>
    <row r="70" spans="1:18" s="1384" customFormat="1" ht="13.5" thickBot="1">
      <c r="A70" s="954"/>
      <c r="B70" s="955"/>
      <c r="C70" s="310"/>
      <c r="D70" s="966"/>
      <c r="E70" s="950" t="s">
        <v>766</v>
      </c>
      <c r="F70" s="1054"/>
      <c r="O70" s="1428" t="s">
        <v>412</v>
      </c>
      <c r="P70" s="1467" t="s">
        <v>873</v>
      </c>
      <c r="Q70" s="1420">
        <f ca="1">C13</f>
        <v>1005486</v>
      </c>
      <c r="R70" s="1420" t="s">
        <v>818</v>
      </c>
    </row>
    <row r="71" spans="1:18" s="1384" customFormat="1" ht="13.5" thickBot="1">
      <c r="A71" s="971" t="s">
        <v>396</v>
      </c>
      <c r="B71" s="972" t="s">
        <v>776</v>
      </c>
      <c r="C71" s="336">
        <f ca="1">ROUND(C68/F71,0)</f>
        <v>-378</v>
      </c>
      <c r="D71" s="973" t="s">
        <v>777</v>
      </c>
      <c r="E71" s="974" t="s">
        <v>778</v>
      </c>
      <c r="F71" s="339">
        <f ca="1">F43</f>
        <v>212.15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70384</v>
      </c>
      <c r="D75" s="1384"/>
      <c r="E75" s="1384"/>
      <c r="F75" s="1384"/>
      <c r="K75" s="1402"/>
      <c r="L75" s="1384"/>
      <c r="O75" s="1418" t="s">
        <v>409</v>
      </c>
      <c r="P75" s="1419" t="s">
        <v>838</v>
      </c>
      <c r="Q75" s="1420">
        <f ca="1">Q65+Q66</f>
        <v>2130963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0.59799999999999998</v>
      </c>
    </row>
    <row r="80" spans="1:18">
      <c r="B80" s="340" t="s">
        <v>800</v>
      </c>
      <c r="C80" s="274">
        <f ca="1">ROUND(C75/C39,3)</f>
        <v>0.40200000000000002</v>
      </c>
    </row>
    <row r="81" spans="2:3">
      <c r="B81" s="270" t="s">
        <v>801</v>
      </c>
      <c r="C81" s="238"/>
    </row>
    <row r="82" spans="2:3">
      <c r="B82" s="273" t="s">
        <v>802</v>
      </c>
      <c r="C82" s="275">
        <f ca="1">1-C83</f>
        <v>0.52800000000000002</v>
      </c>
    </row>
    <row r="83" spans="2:3">
      <c r="B83" s="273" t="s">
        <v>803</v>
      </c>
      <c r="C83" s="274">
        <f ca="1">ROUND(C13/C40,3)</f>
        <v>0.47199999999999998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3358</v>
      </c>
      <c r="E2" s="3443"/>
      <c r="F2" s="2845"/>
      <c r="G2" s="2846"/>
      <c r="H2" s="2847"/>
      <c r="I2" s="2848"/>
      <c r="J2" s="3657" t="s">
        <v>2317</v>
      </c>
      <c r="K2" s="3658"/>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59" t="s">
        <v>2327</v>
      </c>
      <c r="K3" s="3660"/>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59" t="s">
        <v>2329</v>
      </c>
      <c r="K4" s="3660"/>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61" t="s">
        <v>2333</v>
      </c>
      <c r="B6" s="3662"/>
      <c r="C6" s="3663"/>
      <c r="D6" s="2869"/>
      <c r="E6" s="2870"/>
      <c r="F6" s="2871"/>
      <c r="G6" s="2872"/>
      <c r="H6" s="2847"/>
      <c r="I6" s="2848"/>
      <c r="J6" s="3664">
        <v>1</v>
      </c>
      <c r="K6" s="3665"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4"/>
      <c r="K7" s="3666"/>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68" t="s">
        <v>2347</v>
      </c>
      <c r="C8" s="3669"/>
      <c r="D8" s="2888" t="s">
        <v>2348</v>
      </c>
      <c r="E8" s="2889" t="s">
        <v>2349</v>
      </c>
      <c r="F8" s="2890" t="s">
        <v>2350</v>
      </c>
      <c r="G8" s="2891"/>
      <c r="H8" s="2847"/>
      <c r="I8" s="2848"/>
      <c r="J8" s="3664"/>
      <c r="K8" s="3666"/>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68" t="s">
        <v>2353</v>
      </c>
      <c r="C9" s="3669"/>
      <c r="D9" s="2888">
        <f>ROUND(D6*E9,0)</f>
        <v>0</v>
      </c>
      <c r="E9" s="2892"/>
      <c r="F9" s="2893" t="s">
        <v>2354</v>
      </c>
      <c r="G9" s="2872"/>
      <c r="H9" s="2847"/>
      <c r="I9" s="2848"/>
      <c r="J9" s="3664"/>
      <c r="K9" s="3666"/>
      <c r="L9" s="2882" t="s">
        <v>2355</v>
      </c>
      <c r="M9" s="2883"/>
      <c r="N9" s="2859"/>
      <c r="O9" s="2884"/>
      <c r="P9" s="2884"/>
      <c r="Q9" s="2885">
        <v>365</v>
      </c>
      <c r="R9" s="2886">
        <f t="shared" si="0"/>
        <v>0</v>
      </c>
      <c r="S9" s="2840"/>
      <c r="T9" s="2840"/>
      <c r="U9" s="2840"/>
      <c r="V9" s="2848"/>
    </row>
    <row r="10" spans="1:22" s="2852" customFormat="1" ht="13.15" customHeight="1">
      <c r="A10" s="2887">
        <v>2</v>
      </c>
      <c r="B10" s="3668" t="s">
        <v>2356</v>
      </c>
      <c r="C10" s="3669"/>
      <c r="D10" s="2888">
        <f>ROUND(D6*E10,0)</f>
        <v>0</v>
      </c>
      <c r="E10" s="2892"/>
      <c r="F10" s="2893" t="s">
        <v>2357</v>
      </c>
      <c r="G10" s="2872"/>
      <c r="H10" s="2847"/>
      <c r="I10" s="2848"/>
      <c r="J10" s="3664"/>
      <c r="K10" s="3666"/>
      <c r="L10" s="2882" t="s">
        <v>2358</v>
      </c>
      <c r="M10" s="2883"/>
      <c r="N10" s="2859"/>
      <c r="O10" s="2884"/>
      <c r="P10" s="2884"/>
      <c r="Q10" s="2885">
        <v>365</v>
      </c>
      <c r="R10" s="2886">
        <f t="shared" si="0"/>
        <v>0</v>
      </c>
      <c r="S10" s="2840"/>
      <c r="T10" s="2840"/>
      <c r="U10" s="2840"/>
      <c r="V10" s="2848"/>
    </row>
    <row r="11" spans="1:22" s="2852" customFormat="1" ht="13.15" customHeight="1">
      <c r="A11" s="2887">
        <v>3</v>
      </c>
      <c r="B11" s="3668" t="s">
        <v>2359</v>
      </c>
      <c r="C11" s="3669"/>
      <c r="D11" s="2888">
        <f>D12+D14+D15+D16</f>
        <v>0</v>
      </c>
      <c r="E11" s="2894" t="e">
        <f>D11/D6</f>
        <v>#DIV/0!</v>
      </c>
      <c r="F11" s="2890"/>
      <c r="G11" s="2891"/>
      <c r="H11" s="2847"/>
      <c r="I11" s="2848"/>
      <c r="J11" s="3664"/>
      <c r="K11" s="3666"/>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70" t="s">
        <v>2362</v>
      </c>
      <c r="C12" s="3671"/>
      <c r="D12" s="2896">
        <f>ROUND(D13*1.2%*(1-30%),0)</f>
        <v>0</v>
      </c>
      <c r="E12" s="2897">
        <v>1.2E-2</v>
      </c>
      <c r="F12" s="2890" t="s">
        <v>2363</v>
      </c>
      <c r="G12" s="2891"/>
      <c r="H12" s="2847"/>
      <c r="I12" s="2848"/>
      <c r="J12" s="3664"/>
      <c r="K12" s="3666"/>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4"/>
      <c r="K13" s="3666"/>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70" t="s">
        <v>2368</v>
      </c>
      <c r="C14" s="3671"/>
      <c r="D14" s="2896">
        <f>ROUND(E14*B5/10000,0)</f>
        <v>0</v>
      </c>
      <c r="E14" s="2885"/>
      <c r="F14" s="2890" t="s">
        <v>2369</v>
      </c>
      <c r="G14" s="2891"/>
      <c r="H14" s="2847"/>
      <c r="I14" s="2848"/>
      <c r="J14" s="3664"/>
      <c r="K14" s="3667"/>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70" t="s">
        <v>2372</v>
      </c>
      <c r="C15" s="3671"/>
      <c r="D15" s="2896">
        <f>ROUND(D6*E15,0)</f>
        <v>0</v>
      </c>
      <c r="E15" s="2897">
        <v>5.5E-2</v>
      </c>
      <c r="F15" s="2890" t="s">
        <v>2373</v>
      </c>
      <c r="G15" s="2872"/>
      <c r="H15" s="2847"/>
      <c r="I15" s="2848"/>
      <c r="J15" s="3664">
        <v>2</v>
      </c>
      <c r="K15" s="3665"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70" t="s">
        <v>2381</v>
      </c>
      <c r="C16" s="3671"/>
      <c r="D16" s="2907">
        <f>D6*E16</f>
        <v>0</v>
      </c>
      <c r="E16" s="2908"/>
      <c r="F16" s="2893" t="s">
        <v>2382</v>
      </c>
      <c r="G16" s="2872"/>
      <c r="H16" s="2847"/>
      <c r="I16" s="2848"/>
      <c r="J16" s="3664"/>
      <c r="K16" s="3666"/>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2" t="s">
        <v>2384</v>
      </c>
      <c r="C17" s="3673"/>
      <c r="D17" s="2910">
        <f>ROUND(D6*E17,0)</f>
        <v>0</v>
      </c>
      <c r="E17" s="2911"/>
      <c r="F17" s="2912" t="s">
        <v>2385</v>
      </c>
      <c r="G17" s="2872"/>
      <c r="H17" s="2847"/>
      <c r="I17" s="2848"/>
      <c r="J17" s="3664"/>
      <c r="K17" s="3666"/>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4"/>
      <c r="K18" s="3666"/>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4"/>
      <c r="K19" s="3667"/>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4">
        <v>3</v>
      </c>
      <c r="K20" s="3665"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4"/>
      <c r="K21" s="3666"/>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4"/>
      <c r="K22" s="3666"/>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4"/>
      <c r="K23" s="3666"/>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4"/>
      <c r="K24" s="3667"/>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4">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57" t="s">
        <v>2317</v>
      </c>
      <c r="K32" s="3658"/>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59" t="s">
        <v>2327</v>
      </c>
      <c r="K33" s="3660"/>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59" t="s">
        <v>2329</v>
      </c>
      <c r="K34" s="366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4">
        <v>1</v>
      </c>
      <c r="K36" s="3665"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4"/>
      <c r="K37" s="3666"/>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4"/>
      <c r="K38" s="3666"/>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4"/>
      <c r="K39" s="3666"/>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4"/>
      <c r="K40" s="3667"/>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4">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232.6337</v>
      </c>
      <c r="C2" s="1872" t="s">
        <v>1651</v>
      </c>
      <c r="D2" s="1873" t="s">
        <v>1652</v>
      </c>
      <c r="E2" s="2607">
        <f>SUM(E6:E13)</f>
        <v>212.15</v>
      </c>
      <c r="F2" s="2706"/>
      <c r="G2" s="1489"/>
      <c r="H2" s="1489"/>
      <c r="I2" s="1489"/>
      <c r="J2" s="1489"/>
      <c r="K2" s="1489"/>
      <c r="L2" s="1489"/>
      <c r="M2" s="1489"/>
      <c r="N2" s="1489"/>
      <c r="O2" s="1489"/>
      <c r="P2" s="1489"/>
      <c r="Q2" s="1489"/>
      <c r="R2" s="1489"/>
      <c r="S2" s="1489"/>
    </row>
    <row r="3" spans="1:22" ht="15.75">
      <c r="A3" s="1870" t="s">
        <v>686</v>
      </c>
      <c r="B3" s="2601">
        <f ca="1">ROUND(B2*10000/E2,0)</f>
        <v>10966</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76" t="s">
        <v>1654</v>
      </c>
      <c r="C5" s="3677"/>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232.6337</v>
      </c>
      <c r="C6" s="1872" t="s">
        <v>1651</v>
      </c>
      <c r="D6" s="2708"/>
      <c r="E6" s="2606">
        <f>IF(OR(A6=0,F6="否"),0,'数据-取费表'!K6+'数据-取费表'!S6)</f>
        <v>212.15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212.15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6" t="s">
        <v>1667</v>
      </c>
      <c r="D4" s="3697"/>
      <c r="E4" s="3698" t="s">
        <v>1668</v>
      </c>
      <c r="F4" s="3699"/>
      <c r="G4" s="3696" t="s">
        <v>1669</v>
      </c>
      <c r="H4" s="3697"/>
      <c r="I4" s="3696" t="s">
        <v>1670</v>
      </c>
      <c r="J4" s="3697"/>
      <c r="K4" s="1889" t="s">
        <v>1671</v>
      </c>
      <c r="L4" s="2714"/>
      <c r="M4" s="2715"/>
      <c r="N4" s="2715"/>
      <c r="O4" s="2715"/>
      <c r="P4" s="3700" t="s">
        <v>1672</v>
      </c>
      <c r="Q4" s="3701"/>
      <c r="R4" s="3683" t="s">
        <v>1668</v>
      </c>
      <c r="S4" s="3684"/>
      <c r="T4" s="3683" t="s">
        <v>1669</v>
      </c>
      <c r="U4" s="3684"/>
      <c r="V4" s="3708" t="s">
        <v>1670</v>
      </c>
      <c r="W4" s="3708"/>
      <c r="X4" s="1355"/>
      <c r="Y4" s="3683" t="s">
        <v>1672</v>
      </c>
      <c r="Z4" s="3684"/>
      <c r="AA4" s="3678" t="s">
        <v>1668</v>
      </c>
      <c r="AB4" s="3678" t="s">
        <v>1669</v>
      </c>
      <c r="AC4" s="3678" t="s">
        <v>1670</v>
      </c>
    </row>
    <row r="5" spans="1:29" ht="15">
      <c r="A5" s="358"/>
      <c r="B5" s="359"/>
      <c r="C5" s="3689" t="s">
        <v>1673</v>
      </c>
      <c r="D5" s="3690"/>
      <c r="E5" s="3687" t="s">
        <v>1674</v>
      </c>
      <c r="F5" s="3688"/>
      <c r="G5" s="3689" t="s">
        <v>1675</v>
      </c>
      <c r="H5" s="3690"/>
      <c r="I5" s="3689" t="s">
        <v>1676</v>
      </c>
      <c r="J5" s="3690"/>
      <c r="K5" s="1890"/>
      <c r="L5" s="2714"/>
      <c r="M5" s="2715"/>
      <c r="N5" s="2715"/>
      <c r="O5" s="2715"/>
      <c r="P5" s="3702"/>
      <c r="Q5" s="3703"/>
      <c r="R5" s="3685"/>
      <c r="S5" s="3686"/>
      <c r="T5" s="3685"/>
      <c r="U5" s="3686"/>
      <c r="V5" s="3708"/>
      <c r="W5" s="3708"/>
      <c r="X5" s="1355"/>
      <c r="Y5" s="3685"/>
      <c r="Z5" s="3686"/>
      <c r="AA5" s="3679"/>
      <c r="AB5" s="3679"/>
      <c r="AC5" s="3679"/>
    </row>
    <row r="6" spans="1:29" ht="15.75" thickBot="1">
      <c r="A6" s="360"/>
      <c r="B6" s="361"/>
      <c r="C6" s="3691" t="s">
        <v>1677</v>
      </c>
      <c r="D6" s="3692"/>
      <c r="E6" s="3693" t="s">
        <v>1677</v>
      </c>
      <c r="F6" s="3694"/>
      <c r="G6" s="3691" t="s">
        <v>1677</v>
      </c>
      <c r="H6" s="3692"/>
      <c r="I6" s="3691" t="s">
        <v>1677</v>
      </c>
      <c r="J6" s="3692"/>
      <c r="K6" s="1890" t="s">
        <v>1678</v>
      </c>
      <c r="L6" s="2714"/>
      <c r="M6" s="2715"/>
      <c r="N6" s="2715"/>
      <c r="O6" s="2715"/>
      <c r="P6" s="3704"/>
      <c r="Q6" s="3705"/>
      <c r="R6" s="3685"/>
      <c r="S6" s="3686"/>
      <c r="T6" s="3706"/>
      <c r="U6" s="3707"/>
      <c r="V6" s="3708"/>
      <c r="W6" s="3708"/>
      <c r="X6" s="1355"/>
      <c r="Y6" s="3706"/>
      <c r="Z6" s="3707"/>
      <c r="AA6" s="3680"/>
      <c r="AB6" s="3680"/>
      <c r="AC6" s="3680"/>
    </row>
    <row r="7" spans="1:29" s="108" customFormat="1" ht="15.75" thickBot="1">
      <c r="A7" s="362" t="s">
        <v>1679</v>
      </c>
      <c r="B7" s="363"/>
      <c r="C7" s="364">
        <f>'数据-取费表'!B2</f>
        <v>45799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1" t="s">
        <v>1680</v>
      </c>
      <c r="Q7" s="3709"/>
      <c r="R7" s="701" t="s">
        <v>20</v>
      </c>
      <c r="S7" s="702">
        <f t="shared" ref="S7:S15" si="0">F7</f>
        <v>0</v>
      </c>
      <c r="T7" s="701" t="s">
        <v>20</v>
      </c>
      <c r="U7" s="702">
        <f t="shared" ref="U7:U15" si="1">H7</f>
        <v>0</v>
      </c>
      <c r="V7" s="701" t="s">
        <v>20</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1" t="s">
        <v>1683</v>
      </c>
      <c r="Q8" s="3682"/>
      <c r="R8" s="701" t="s">
        <v>20</v>
      </c>
      <c r="S8" s="702">
        <f t="shared" si="0"/>
        <v>100</v>
      </c>
      <c r="T8" s="701" t="s">
        <v>20</v>
      </c>
      <c r="U8" s="702">
        <f t="shared" si="1"/>
        <v>100</v>
      </c>
      <c r="V8" s="701" t="s">
        <v>20</v>
      </c>
      <c r="W8" s="702">
        <f t="shared" si="2"/>
        <v>100</v>
      </c>
      <c r="X8" s="703"/>
      <c r="Y8" s="3681" t="s">
        <v>1683</v>
      </c>
      <c r="Z8" s="368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5"/>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5"/>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5"/>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5"/>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2" t="s">
        <v>1691</v>
      </c>
      <c r="Q15" s="1352" t="str">
        <f t="shared" si="6"/>
        <v>居住社区成熟度</v>
      </c>
      <c r="R15" s="705" t="s">
        <v>18</v>
      </c>
      <c r="S15" s="706">
        <f t="shared" si="0"/>
        <v>100</v>
      </c>
      <c r="T15" s="705" t="s">
        <v>18</v>
      </c>
      <c r="U15" s="706">
        <f t="shared" si="1"/>
        <v>100</v>
      </c>
      <c r="V15" s="705" t="s">
        <v>18</v>
      </c>
      <c r="W15" s="706">
        <f t="shared" si="2"/>
        <v>100</v>
      </c>
      <c r="X15" s="1355"/>
      <c r="Y15" s="371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3"/>
      <c r="Q16" s="1352"/>
      <c r="R16" s="705"/>
      <c r="S16" s="706"/>
      <c r="T16" s="705"/>
      <c r="U16" s="706"/>
      <c r="V16" s="705"/>
      <c r="W16" s="706"/>
      <c r="X16" s="1355"/>
      <c r="Y16" s="371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3"/>
      <c r="Q17" s="1352" t="str">
        <f>B17</f>
        <v>交通便捷度</v>
      </c>
      <c r="R17" s="705" t="s">
        <v>18</v>
      </c>
      <c r="S17" s="706">
        <f>F17</f>
        <v>100</v>
      </c>
      <c r="T17" s="705" t="s">
        <v>18</v>
      </c>
      <c r="U17" s="706">
        <f>H17</f>
        <v>100</v>
      </c>
      <c r="V17" s="705" t="s">
        <v>18</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3"/>
      <c r="Q18" s="1352"/>
      <c r="R18" s="705"/>
      <c r="S18" s="706"/>
      <c r="T18" s="705"/>
      <c r="U18" s="706"/>
      <c r="V18" s="705"/>
      <c r="W18" s="706"/>
      <c r="X18" s="1355"/>
      <c r="Y18" s="371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3"/>
      <c r="Q19" s="1352" t="str">
        <f>B19</f>
        <v>公共配套设施</v>
      </c>
      <c r="R19" s="705" t="s">
        <v>18</v>
      </c>
      <c r="S19" s="706">
        <f>F19</f>
        <v>100</v>
      </c>
      <c r="T19" s="705" t="s">
        <v>18</v>
      </c>
      <c r="U19" s="706">
        <f>H19</f>
        <v>100</v>
      </c>
      <c r="V19" s="705" t="s">
        <v>18</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3"/>
      <c r="Q20" s="1352"/>
      <c r="R20" s="705"/>
      <c r="S20" s="706"/>
      <c r="T20" s="705"/>
      <c r="U20" s="706"/>
      <c r="V20" s="705"/>
      <c r="W20" s="706"/>
      <c r="X20" s="1355"/>
      <c r="Y20" s="371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3"/>
      <c r="Q22" s="1352"/>
      <c r="R22" s="705"/>
      <c r="S22" s="706"/>
      <c r="T22" s="705"/>
      <c r="U22" s="706"/>
      <c r="V22" s="705"/>
      <c r="W22" s="706"/>
      <c r="X22" s="1355"/>
      <c r="Y22" s="371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3"/>
      <c r="Q23" s="1352" t="str">
        <f>B23</f>
        <v>自然及人文环境</v>
      </c>
      <c r="R23" s="705" t="s">
        <v>18</v>
      </c>
      <c r="S23" s="706">
        <f>F23</f>
        <v>100</v>
      </c>
      <c r="T23" s="705" t="s">
        <v>18</v>
      </c>
      <c r="U23" s="706">
        <f>H23</f>
        <v>100</v>
      </c>
      <c r="V23" s="705" t="s">
        <v>18</v>
      </c>
      <c r="W23" s="706">
        <f>J23</f>
        <v>100</v>
      </c>
      <c r="X23" s="1355"/>
      <c r="Y23" s="371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3"/>
      <c r="Q24" s="1352"/>
      <c r="R24" s="705"/>
      <c r="S24" s="706"/>
      <c r="T24" s="705"/>
      <c r="U24" s="706"/>
      <c r="V24" s="705"/>
      <c r="W24" s="706"/>
      <c r="X24" s="1355"/>
      <c r="Y24" s="371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3"/>
      <c r="Q26" s="1352" t="str">
        <f t="shared" si="11"/>
        <v>朝向</v>
      </c>
      <c r="R26" s="705" t="s">
        <v>18</v>
      </c>
      <c r="S26" s="706">
        <f t="shared" si="12"/>
        <v>100</v>
      </c>
      <c r="T26" s="705" t="s">
        <v>18</v>
      </c>
      <c r="U26" s="706">
        <f t="shared" si="13"/>
        <v>100</v>
      </c>
      <c r="V26" s="705" t="s">
        <v>18</v>
      </c>
      <c r="W26" s="706">
        <f t="shared" si="14"/>
        <v>100</v>
      </c>
      <c r="X26" s="1355"/>
      <c r="Y26" s="371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3"/>
      <c r="Q27" s="1343">
        <f t="shared" si="11"/>
        <v>111</v>
      </c>
      <c r="R27" s="701" t="s">
        <v>18</v>
      </c>
      <c r="S27" s="702">
        <f t="shared" si="12"/>
        <v>100</v>
      </c>
      <c r="T27" s="701" t="s">
        <v>18</v>
      </c>
      <c r="U27" s="702">
        <f t="shared" si="13"/>
        <v>100</v>
      </c>
      <c r="V27" s="701" t="s">
        <v>18</v>
      </c>
      <c r="W27" s="702">
        <f t="shared" si="14"/>
        <v>100</v>
      </c>
      <c r="X27" s="703"/>
      <c r="Y27" s="371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3"/>
      <c r="Q28" s="1352">
        <f t="shared" si="11"/>
        <v>111</v>
      </c>
      <c r="R28" s="705" t="s">
        <v>18</v>
      </c>
      <c r="S28" s="706">
        <f t="shared" si="12"/>
        <v>100</v>
      </c>
      <c r="T28" s="705" t="s">
        <v>18</v>
      </c>
      <c r="U28" s="706">
        <f t="shared" si="13"/>
        <v>100</v>
      </c>
      <c r="V28" s="705" t="s">
        <v>18</v>
      </c>
      <c r="W28" s="706">
        <f t="shared" si="14"/>
        <v>100</v>
      </c>
      <c r="X28" s="1355"/>
      <c r="Y28" s="371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3"/>
      <c r="Q29" s="1352">
        <f t="shared" si="11"/>
        <v>111</v>
      </c>
      <c r="R29" s="705" t="s">
        <v>18</v>
      </c>
      <c r="S29" s="706">
        <f t="shared" si="12"/>
        <v>100</v>
      </c>
      <c r="T29" s="705" t="s">
        <v>18</v>
      </c>
      <c r="U29" s="706">
        <f t="shared" si="13"/>
        <v>100</v>
      </c>
      <c r="V29" s="705" t="s">
        <v>18</v>
      </c>
      <c r="W29" s="706">
        <f t="shared" si="14"/>
        <v>100</v>
      </c>
      <c r="X29" s="1355"/>
      <c r="Y29" s="371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3"/>
      <c r="Q30" s="1352">
        <f t="shared" si="11"/>
        <v>111</v>
      </c>
      <c r="R30" s="705" t="s">
        <v>18</v>
      </c>
      <c r="S30" s="706">
        <f t="shared" si="12"/>
        <v>100</v>
      </c>
      <c r="T30" s="705" t="s">
        <v>18</v>
      </c>
      <c r="U30" s="706">
        <f t="shared" si="13"/>
        <v>100</v>
      </c>
      <c r="V30" s="705" t="s">
        <v>18</v>
      </c>
      <c r="W30" s="706">
        <f t="shared" si="14"/>
        <v>100</v>
      </c>
      <c r="X30" s="1355"/>
      <c r="Y30" s="371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3"/>
      <c r="Q31" s="1352">
        <f t="shared" si="11"/>
        <v>111</v>
      </c>
      <c r="R31" s="705" t="s">
        <v>18</v>
      </c>
      <c r="S31" s="706">
        <f t="shared" si="12"/>
        <v>100</v>
      </c>
      <c r="T31" s="705" t="s">
        <v>18</v>
      </c>
      <c r="U31" s="706">
        <f t="shared" si="13"/>
        <v>100</v>
      </c>
      <c r="V31" s="705" t="s">
        <v>18</v>
      </c>
      <c r="W31" s="706">
        <f t="shared" si="14"/>
        <v>100</v>
      </c>
      <c r="X31" s="1355"/>
      <c r="Y31" s="371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7" t="s">
        <v>1696</v>
      </c>
      <c r="Q32" s="1352" t="str">
        <f t="shared" si="11"/>
        <v>建筑类型</v>
      </c>
      <c r="R32" s="705" t="s">
        <v>18</v>
      </c>
      <c r="S32" s="706">
        <f t="shared" si="12"/>
        <v>100</v>
      </c>
      <c r="T32" s="705" t="s">
        <v>18</v>
      </c>
      <c r="U32" s="706">
        <f t="shared" si="13"/>
        <v>100</v>
      </c>
      <c r="V32" s="705" t="s">
        <v>18</v>
      </c>
      <c r="W32" s="706">
        <f t="shared" si="14"/>
        <v>100</v>
      </c>
      <c r="X32" s="1355"/>
      <c r="Y32" s="372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8"/>
      <c r="Q33" s="707" t="str">
        <f t="shared" si="11"/>
        <v>项目建筑规模</v>
      </c>
      <c r="R33" s="708" t="s">
        <v>18</v>
      </c>
      <c r="S33" s="709" t="e">
        <f t="shared" si="12"/>
        <v>#N/A</v>
      </c>
      <c r="T33" s="708" t="s">
        <v>18</v>
      </c>
      <c r="U33" s="709" t="e">
        <f t="shared" si="13"/>
        <v>#N/A</v>
      </c>
      <c r="V33" s="708" t="s">
        <v>18</v>
      </c>
      <c r="W33" s="709" t="e">
        <f t="shared" si="14"/>
        <v>#N/A</v>
      </c>
      <c r="X33" s="710"/>
      <c r="Y33" s="372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8"/>
      <c r="Q34" s="1352" t="str">
        <f t="shared" si="11"/>
        <v>建筑结构</v>
      </c>
      <c r="R34" s="705" t="s">
        <v>18</v>
      </c>
      <c r="S34" s="706">
        <f t="shared" si="12"/>
        <v>100</v>
      </c>
      <c r="T34" s="705" t="s">
        <v>18</v>
      </c>
      <c r="U34" s="706">
        <f t="shared" si="13"/>
        <v>100</v>
      </c>
      <c r="V34" s="705" t="s">
        <v>18</v>
      </c>
      <c r="W34" s="706">
        <f t="shared" si="14"/>
        <v>100</v>
      </c>
      <c r="X34" s="1355"/>
      <c r="Y34" s="372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8"/>
      <c r="Q35" s="1352" t="str">
        <f t="shared" si="11"/>
        <v>建筑品质</v>
      </c>
      <c r="R35" s="705" t="s">
        <v>18</v>
      </c>
      <c r="S35" s="706">
        <f t="shared" si="12"/>
        <v>100</v>
      </c>
      <c r="T35" s="705" t="s">
        <v>18</v>
      </c>
      <c r="U35" s="706">
        <f t="shared" si="13"/>
        <v>100</v>
      </c>
      <c r="V35" s="705" t="s">
        <v>18</v>
      </c>
      <c r="W35" s="706">
        <f t="shared" si="14"/>
        <v>100</v>
      </c>
      <c r="X35" s="1355"/>
      <c r="Y35" s="372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8"/>
      <c r="Q36" s="1352" t="str">
        <f t="shared" si="11"/>
        <v>公共部分装修</v>
      </c>
      <c r="R36" s="705" t="s">
        <v>18</v>
      </c>
      <c r="S36" s="706">
        <f t="shared" si="12"/>
        <v>100</v>
      </c>
      <c r="T36" s="705" t="s">
        <v>18</v>
      </c>
      <c r="U36" s="706">
        <f t="shared" si="13"/>
        <v>100</v>
      </c>
      <c r="V36" s="705" t="s">
        <v>18</v>
      </c>
      <c r="W36" s="706">
        <f t="shared" si="14"/>
        <v>100</v>
      </c>
      <c r="X36" s="1355"/>
      <c r="Y36" s="372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8"/>
      <c r="Q37" s="1343" t="str">
        <f t="shared" si="11"/>
        <v>成新度</v>
      </c>
      <c r="R37" s="701" t="s">
        <v>18</v>
      </c>
      <c r="S37" s="702" t="e">
        <f t="shared" si="12"/>
        <v>#N/A</v>
      </c>
      <c r="T37" s="701" t="s">
        <v>18</v>
      </c>
      <c r="U37" s="702" t="e">
        <f t="shared" si="13"/>
        <v>#N/A</v>
      </c>
      <c r="V37" s="701" t="s">
        <v>18</v>
      </c>
      <c r="W37" s="702" t="e">
        <f t="shared" si="14"/>
        <v>#N/A</v>
      </c>
      <c r="X37" s="703"/>
      <c r="Y37" s="372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8" t="s">
        <v>1696</v>
      </c>
      <c r="Q38" s="1352" t="str">
        <f t="shared" si="11"/>
        <v>物业管理</v>
      </c>
      <c r="R38" s="705" t="s">
        <v>18</v>
      </c>
      <c r="S38" s="706">
        <f t="shared" si="12"/>
        <v>100</v>
      </c>
      <c r="T38" s="705" t="s">
        <v>18</v>
      </c>
      <c r="U38" s="706">
        <f t="shared" si="13"/>
        <v>100</v>
      </c>
      <c r="V38" s="705" t="s">
        <v>18</v>
      </c>
      <c r="W38" s="706">
        <f t="shared" si="14"/>
        <v>100</v>
      </c>
      <c r="X38" s="1355"/>
      <c r="Y38" s="372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8"/>
      <c r="Q39" s="1352" t="str">
        <f t="shared" si="11"/>
        <v>市政基础设施</v>
      </c>
      <c r="R39" s="705" t="s">
        <v>18</v>
      </c>
      <c r="S39" s="706">
        <f t="shared" si="12"/>
        <v>100</v>
      </c>
      <c r="T39" s="705" t="s">
        <v>18</v>
      </c>
      <c r="U39" s="706">
        <f t="shared" si="13"/>
        <v>100</v>
      </c>
      <c r="V39" s="705" t="s">
        <v>18</v>
      </c>
      <c r="W39" s="706">
        <f t="shared" si="14"/>
        <v>100</v>
      </c>
      <c r="X39" s="1355"/>
      <c r="Y39" s="372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8"/>
      <c r="Q40" s="1352" t="str">
        <f t="shared" si="11"/>
        <v>房型</v>
      </c>
      <c r="R40" s="705" t="s">
        <v>18</v>
      </c>
      <c r="S40" s="706">
        <f t="shared" si="12"/>
        <v>100</v>
      </c>
      <c r="T40" s="705" t="s">
        <v>18</v>
      </c>
      <c r="U40" s="706">
        <f t="shared" si="13"/>
        <v>100</v>
      </c>
      <c r="V40" s="705" t="s">
        <v>18</v>
      </c>
      <c r="W40" s="706">
        <f t="shared" si="14"/>
        <v>100</v>
      </c>
      <c r="X40" s="1355"/>
      <c r="Y40" s="372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8"/>
      <c r="Q41" s="707" t="str">
        <f t="shared" si="11"/>
        <v>单套/主力户型建筑面积</v>
      </c>
      <c r="R41" s="708" t="s">
        <v>18</v>
      </c>
      <c r="S41" s="709">
        <f t="shared" si="12"/>
        <v>100</v>
      </c>
      <c r="T41" s="708" t="s">
        <v>18</v>
      </c>
      <c r="U41" s="709">
        <f t="shared" si="13"/>
        <v>100</v>
      </c>
      <c r="V41" s="708" t="s">
        <v>18</v>
      </c>
      <c r="W41" s="709">
        <f t="shared" si="14"/>
        <v>100</v>
      </c>
      <c r="X41" s="710"/>
      <c r="Y41" s="372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8"/>
      <c r="Q42" s="1352" t="str">
        <f t="shared" si="11"/>
        <v>内部装修</v>
      </c>
      <c r="R42" s="705" t="s">
        <v>18</v>
      </c>
      <c r="S42" s="706">
        <f t="shared" si="12"/>
        <v>100</v>
      </c>
      <c r="T42" s="705" t="s">
        <v>18</v>
      </c>
      <c r="U42" s="706">
        <f t="shared" si="13"/>
        <v>100</v>
      </c>
      <c r="V42" s="705" t="s">
        <v>18</v>
      </c>
      <c r="W42" s="706">
        <f t="shared" si="14"/>
        <v>100</v>
      </c>
      <c r="X42" s="1355"/>
      <c r="Y42" s="372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8"/>
      <c r="Q43" s="1352" t="str">
        <f t="shared" si="11"/>
        <v>内部装修维护情况</v>
      </c>
      <c r="R43" s="705" t="s">
        <v>18</v>
      </c>
      <c r="S43" s="706">
        <f t="shared" si="12"/>
        <v>100</v>
      </c>
      <c r="T43" s="705" t="s">
        <v>18</v>
      </c>
      <c r="U43" s="706">
        <f t="shared" si="13"/>
        <v>100</v>
      </c>
      <c r="V43" s="705" t="s">
        <v>18</v>
      </c>
      <c r="W43" s="706">
        <f t="shared" si="14"/>
        <v>100</v>
      </c>
      <c r="X43" s="1355"/>
      <c r="Y43" s="372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8"/>
      <c r="Q44" s="1343">
        <f t="shared" si="11"/>
        <v>111</v>
      </c>
      <c r="R44" s="701" t="s">
        <v>18</v>
      </c>
      <c r="S44" s="702">
        <f t="shared" si="12"/>
        <v>100</v>
      </c>
      <c r="T44" s="701" t="s">
        <v>18</v>
      </c>
      <c r="U44" s="702">
        <f t="shared" si="13"/>
        <v>100</v>
      </c>
      <c r="V44" s="701" t="s">
        <v>18</v>
      </c>
      <c r="W44" s="702">
        <f t="shared" si="14"/>
        <v>100</v>
      </c>
      <c r="X44" s="703"/>
      <c r="Y44" s="372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8"/>
      <c r="Q45" s="1352">
        <f t="shared" si="11"/>
        <v>111</v>
      </c>
      <c r="R45" s="705" t="s">
        <v>18</v>
      </c>
      <c r="S45" s="706">
        <f t="shared" si="12"/>
        <v>100</v>
      </c>
      <c r="T45" s="705" t="s">
        <v>18</v>
      </c>
      <c r="U45" s="706">
        <f t="shared" si="13"/>
        <v>100</v>
      </c>
      <c r="V45" s="705" t="s">
        <v>18</v>
      </c>
      <c r="W45" s="706">
        <f t="shared" si="14"/>
        <v>100</v>
      </c>
      <c r="X45" s="1355"/>
      <c r="Y45" s="372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9"/>
      <c r="Q46" s="1352">
        <f t="shared" si="11"/>
        <v>111</v>
      </c>
      <c r="R46" s="705" t="s">
        <v>17</v>
      </c>
      <c r="S46" s="706">
        <f t="shared" si="12"/>
        <v>100</v>
      </c>
      <c r="T46" s="705" t="s">
        <v>17</v>
      </c>
      <c r="U46" s="706">
        <f t="shared" si="13"/>
        <v>100</v>
      </c>
      <c r="V46" s="705" t="s">
        <v>17</v>
      </c>
      <c r="W46" s="706">
        <f t="shared" si="14"/>
        <v>100</v>
      </c>
      <c r="X46" s="1355"/>
      <c r="Y46" s="372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13" t="str">
        <f>A47</f>
        <v>成交单价（元/平方米）</v>
      </c>
      <c r="Q47" s="3713"/>
      <c r="R47" s="3714">
        <f>E47</f>
        <v>0</v>
      </c>
      <c r="S47" s="3714"/>
      <c r="T47" s="3714">
        <f>G47</f>
        <v>0</v>
      </c>
      <c r="U47" s="3714"/>
      <c r="V47" s="3714">
        <f>I47</f>
        <v>0</v>
      </c>
      <c r="W47" s="371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212.15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683" t="s">
        <v>1771</v>
      </c>
      <c r="S4" s="3684"/>
      <c r="T4" s="3683" t="s">
        <v>1772</v>
      </c>
      <c r="U4" s="3684"/>
      <c r="V4" s="3708" t="s">
        <v>1773</v>
      </c>
      <c r="W4" s="3708"/>
      <c r="X4" s="1355"/>
      <c r="Y4" s="3683" t="s">
        <v>1775</v>
      </c>
      <c r="Z4" s="3684"/>
      <c r="AA4" s="3678" t="s">
        <v>1771</v>
      </c>
      <c r="AB4" s="3708" t="s">
        <v>1772</v>
      </c>
      <c r="AC4" s="3678" t="s">
        <v>1773</v>
      </c>
    </row>
    <row r="5" spans="1:29" ht="15">
      <c r="A5" s="358"/>
      <c r="B5" s="359"/>
      <c r="C5" s="3689" t="s">
        <v>1673</v>
      </c>
      <c r="D5" s="3690"/>
      <c r="E5" s="3687" t="s">
        <v>1674</v>
      </c>
      <c r="F5" s="3688"/>
      <c r="G5" s="3689" t="s">
        <v>1675</v>
      </c>
      <c r="H5" s="3690"/>
      <c r="I5" s="3689" t="s">
        <v>1676</v>
      </c>
      <c r="J5" s="3690"/>
      <c r="K5" s="559"/>
      <c r="L5" s="2714"/>
      <c r="M5" s="2715"/>
      <c r="N5" s="2715"/>
      <c r="O5" s="2715"/>
      <c r="P5" s="3702"/>
      <c r="Q5" s="3703"/>
      <c r="R5" s="3685"/>
      <c r="S5" s="3686"/>
      <c r="T5" s="3685"/>
      <c r="U5" s="3686"/>
      <c r="V5" s="3708"/>
      <c r="W5" s="3708"/>
      <c r="X5" s="1355"/>
      <c r="Y5" s="3685"/>
      <c r="Z5" s="3686"/>
      <c r="AA5" s="3679"/>
      <c r="AB5" s="3708"/>
      <c r="AC5" s="3679"/>
    </row>
    <row r="6" spans="1:29" ht="15.75" thickBot="1">
      <c r="A6" s="360"/>
      <c r="B6" s="361"/>
      <c r="C6" s="3691" t="s">
        <v>1677</v>
      </c>
      <c r="D6" s="3692"/>
      <c r="E6" s="3693" t="s">
        <v>1677</v>
      </c>
      <c r="F6" s="3694"/>
      <c r="G6" s="3691" t="s">
        <v>1677</v>
      </c>
      <c r="H6" s="3692"/>
      <c r="I6" s="3691" t="s">
        <v>1677</v>
      </c>
      <c r="J6" s="3692"/>
      <c r="K6" s="559" t="s">
        <v>1678</v>
      </c>
      <c r="L6" s="2714"/>
      <c r="M6" s="2715"/>
      <c r="N6" s="2715"/>
      <c r="O6" s="2715"/>
      <c r="P6" s="3704"/>
      <c r="Q6" s="3705"/>
      <c r="R6" s="3685"/>
      <c r="S6" s="3686"/>
      <c r="T6" s="3706"/>
      <c r="U6" s="3707"/>
      <c r="V6" s="3708"/>
      <c r="W6" s="3708"/>
      <c r="X6" s="1355"/>
      <c r="Y6" s="3706"/>
      <c r="Z6" s="3707"/>
      <c r="AA6" s="3680"/>
      <c r="AB6" s="3708"/>
      <c r="AC6" s="3680"/>
    </row>
    <row r="7" spans="1:29" s="108" customFormat="1" ht="15.75" thickBot="1">
      <c r="A7" s="362" t="s">
        <v>1679</v>
      </c>
      <c r="B7" s="363"/>
      <c r="C7" s="364">
        <f>'数据-取费表'!B2</f>
        <v>45799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1" t="s">
        <v>1683</v>
      </c>
      <c r="Q8" s="3682"/>
      <c r="R8" s="701" t="s">
        <v>14</v>
      </c>
      <c r="S8" s="702">
        <f t="shared" si="0"/>
        <v>100</v>
      </c>
      <c r="T8" s="701" t="s">
        <v>14</v>
      </c>
      <c r="U8" s="702">
        <f t="shared" si="1"/>
        <v>100</v>
      </c>
      <c r="V8" s="701" t="s">
        <v>14</v>
      </c>
      <c r="W8" s="702">
        <f t="shared" si="2"/>
        <v>100</v>
      </c>
      <c r="X8" s="703"/>
      <c r="Y8" s="3681" t="s">
        <v>1683</v>
      </c>
      <c r="Z8" s="368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5"/>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2" t="s">
        <v>1691</v>
      </c>
      <c r="Q15" s="1352" t="str">
        <f t="shared" si="6"/>
        <v>商业繁华度</v>
      </c>
      <c r="R15" s="705" t="s">
        <v>14</v>
      </c>
      <c r="S15" s="706">
        <f t="shared" si="0"/>
        <v>100</v>
      </c>
      <c r="T15" s="705" t="s">
        <v>14</v>
      </c>
      <c r="U15" s="706">
        <f t="shared" si="1"/>
        <v>100</v>
      </c>
      <c r="V15" s="705" t="s">
        <v>14</v>
      </c>
      <c r="W15" s="706">
        <f t="shared" si="2"/>
        <v>100</v>
      </c>
      <c r="X15" s="1355"/>
      <c r="Y15" s="371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3"/>
      <c r="Q16" s="1352"/>
      <c r="R16" s="705"/>
      <c r="S16" s="706"/>
      <c r="T16" s="705"/>
      <c r="U16" s="706"/>
      <c r="V16" s="705"/>
      <c r="W16" s="706"/>
      <c r="X16" s="1355"/>
      <c r="Y16" s="371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3"/>
      <c r="Q18" s="1352"/>
      <c r="R18" s="705"/>
      <c r="S18" s="706"/>
      <c r="T18" s="705"/>
      <c r="U18" s="706"/>
      <c r="V18" s="705"/>
      <c r="W18" s="706"/>
      <c r="X18" s="1355"/>
      <c r="Y18" s="371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3"/>
      <c r="Q20" s="1352"/>
      <c r="R20" s="705"/>
      <c r="S20" s="706"/>
      <c r="T20" s="705"/>
      <c r="U20" s="706"/>
      <c r="V20" s="705"/>
      <c r="W20" s="706"/>
      <c r="X20" s="1355"/>
      <c r="Y20" s="371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3"/>
      <c r="Q22" s="1352"/>
      <c r="R22" s="705"/>
      <c r="S22" s="706"/>
      <c r="T22" s="705"/>
      <c r="U22" s="706"/>
      <c r="V22" s="705"/>
      <c r="W22" s="706"/>
      <c r="X22" s="1355"/>
      <c r="Y22" s="371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3"/>
      <c r="Q23" s="1352" t="str">
        <f>B23</f>
        <v>自然及人文环境</v>
      </c>
      <c r="R23" s="705" t="s">
        <v>14</v>
      </c>
      <c r="S23" s="706">
        <f>F23</f>
        <v>100</v>
      </c>
      <c r="T23" s="705" t="s">
        <v>14</v>
      </c>
      <c r="U23" s="706">
        <f>H23</f>
        <v>100</v>
      </c>
      <c r="V23" s="705" t="s">
        <v>14</v>
      </c>
      <c r="W23" s="706">
        <f>J23</f>
        <v>100</v>
      </c>
      <c r="X23" s="1355"/>
      <c r="Y23" s="371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3"/>
      <c r="Q24" s="1352"/>
      <c r="R24" s="705"/>
      <c r="S24" s="706"/>
      <c r="T24" s="705"/>
      <c r="U24" s="706"/>
      <c r="V24" s="705"/>
      <c r="W24" s="706"/>
      <c r="X24" s="1355"/>
      <c r="Y24" s="371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3"/>
      <c r="Q25" s="1352" t="str">
        <f t="shared" ref="Q25:Q46" si="11">B25</f>
        <v>临街状况</v>
      </c>
      <c r="R25" s="705" t="s">
        <v>14</v>
      </c>
      <c r="S25" s="706">
        <f>F25</f>
        <v>100</v>
      </c>
      <c r="T25" s="705" t="s">
        <v>14</v>
      </c>
      <c r="U25" s="706">
        <f>H25</f>
        <v>100</v>
      </c>
      <c r="V25" s="705" t="s">
        <v>14</v>
      </c>
      <c r="W25" s="706">
        <f>J25</f>
        <v>100</v>
      </c>
      <c r="X25" s="1355"/>
      <c r="Y25" s="371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3"/>
      <c r="Q26" s="1352" t="str">
        <f t="shared" si="11"/>
        <v>平面位置/可视性</v>
      </c>
      <c r="R26" s="705" t="s">
        <v>14</v>
      </c>
      <c r="S26" s="706">
        <f>F26</f>
        <v>100</v>
      </c>
      <c r="T26" s="705" t="s">
        <v>14</v>
      </c>
      <c r="U26" s="706">
        <f>H26</f>
        <v>100</v>
      </c>
      <c r="V26" s="705" t="s">
        <v>14</v>
      </c>
      <c r="W26" s="706">
        <f>J26</f>
        <v>100</v>
      </c>
      <c r="X26" s="1355"/>
      <c r="Y26" s="371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3"/>
      <c r="Q27" s="1343" t="str">
        <f t="shared" si="11"/>
        <v>人流量</v>
      </c>
      <c r="R27" s="701" t="s">
        <v>14</v>
      </c>
      <c r="S27" s="702">
        <f>F27</f>
        <v>100</v>
      </c>
      <c r="T27" s="701" t="s">
        <v>14</v>
      </c>
      <c r="U27" s="702">
        <f>H27</f>
        <v>100</v>
      </c>
      <c r="V27" s="701" t="s">
        <v>14</v>
      </c>
      <c r="W27" s="702">
        <f>J27</f>
        <v>100</v>
      </c>
      <c r="X27" s="703"/>
      <c r="Y27" s="371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3"/>
      <c r="Q29" s="1352">
        <f t="shared" si="11"/>
        <v>111</v>
      </c>
      <c r="R29" s="705" t="s">
        <v>14</v>
      </c>
      <c r="S29" s="706">
        <f t="shared" si="12"/>
        <v>100</v>
      </c>
      <c r="T29" s="705" t="s">
        <v>14</v>
      </c>
      <c r="U29" s="706">
        <f t="shared" si="13"/>
        <v>100</v>
      </c>
      <c r="V29" s="705" t="s">
        <v>14</v>
      </c>
      <c r="W29" s="706">
        <f t="shared" si="14"/>
        <v>100</v>
      </c>
      <c r="X29" s="1355"/>
      <c r="Y29" s="371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7" t="s">
        <v>1696</v>
      </c>
      <c r="Q32" s="1352" t="str">
        <f t="shared" si="11"/>
        <v>商业类型</v>
      </c>
      <c r="R32" s="705" t="s">
        <v>14</v>
      </c>
      <c r="S32" s="706">
        <f t="shared" si="12"/>
        <v>100</v>
      </c>
      <c r="T32" s="705" t="s">
        <v>14</v>
      </c>
      <c r="U32" s="706">
        <f t="shared" si="13"/>
        <v>100</v>
      </c>
      <c r="V32" s="705" t="s">
        <v>14</v>
      </c>
      <c r="W32" s="706">
        <f t="shared" si="14"/>
        <v>100</v>
      </c>
      <c r="X32" s="1355"/>
      <c r="Y32" s="372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8"/>
      <c r="Q33" s="707" t="str">
        <f t="shared" si="11"/>
        <v>项目建筑规模</v>
      </c>
      <c r="R33" s="708" t="s">
        <v>14</v>
      </c>
      <c r="S33" s="709" t="e">
        <f t="shared" si="12"/>
        <v>#N/A</v>
      </c>
      <c r="T33" s="708" t="s">
        <v>14</v>
      </c>
      <c r="U33" s="709" t="e">
        <f t="shared" si="13"/>
        <v>#N/A</v>
      </c>
      <c r="V33" s="708" t="s">
        <v>14</v>
      </c>
      <c r="W33" s="709" t="e">
        <f t="shared" si="14"/>
        <v>#N/A</v>
      </c>
      <c r="X33" s="710"/>
      <c r="Y33" s="372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8"/>
      <c r="Q34" s="1352" t="str">
        <f t="shared" si="11"/>
        <v>建筑结构</v>
      </c>
      <c r="R34" s="705" t="s">
        <v>14</v>
      </c>
      <c r="S34" s="706">
        <f t="shared" si="12"/>
        <v>100</v>
      </c>
      <c r="T34" s="705" t="s">
        <v>14</v>
      </c>
      <c r="U34" s="706">
        <f t="shared" si="13"/>
        <v>100</v>
      </c>
      <c r="V34" s="705" t="s">
        <v>14</v>
      </c>
      <c r="W34" s="706">
        <f t="shared" si="14"/>
        <v>100</v>
      </c>
      <c r="X34" s="1355"/>
      <c r="Y34" s="372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8"/>
      <c r="Q35" s="1352" t="str">
        <f t="shared" si="11"/>
        <v>公共部分装修</v>
      </c>
      <c r="R35" s="705" t="s">
        <v>14</v>
      </c>
      <c r="S35" s="706">
        <f t="shared" si="12"/>
        <v>100</v>
      </c>
      <c r="T35" s="705" t="s">
        <v>14</v>
      </c>
      <c r="U35" s="706">
        <f t="shared" si="13"/>
        <v>100</v>
      </c>
      <c r="V35" s="705" t="s">
        <v>14</v>
      </c>
      <c r="W35" s="706">
        <f t="shared" si="14"/>
        <v>100</v>
      </c>
      <c r="X35" s="1355"/>
      <c r="Y35" s="372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8"/>
      <c r="Q36" s="1352" t="str">
        <f t="shared" si="11"/>
        <v>成新度</v>
      </c>
      <c r="R36" s="705" t="s">
        <v>14</v>
      </c>
      <c r="S36" s="706" t="e">
        <f t="shared" si="12"/>
        <v>#N/A</v>
      </c>
      <c r="T36" s="705" t="s">
        <v>14</v>
      </c>
      <c r="U36" s="706" t="e">
        <f t="shared" si="13"/>
        <v>#N/A</v>
      </c>
      <c r="V36" s="705" t="s">
        <v>14</v>
      </c>
      <c r="W36" s="706" t="e">
        <f t="shared" si="14"/>
        <v>#N/A</v>
      </c>
      <c r="X36" s="1355"/>
      <c r="Y36" s="372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8"/>
      <c r="Q37" s="1343" t="str">
        <f t="shared" si="11"/>
        <v>市政基础设施</v>
      </c>
      <c r="R37" s="701" t="s">
        <v>14</v>
      </c>
      <c r="S37" s="702">
        <f t="shared" si="12"/>
        <v>100</v>
      </c>
      <c r="T37" s="701" t="s">
        <v>14</v>
      </c>
      <c r="U37" s="702">
        <f t="shared" si="13"/>
        <v>100</v>
      </c>
      <c r="V37" s="701" t="s">
        <v>14</v>
      </c>
      <c r="W37" s="702">
        <f t="shared" si="14"/>
        <v>100</v>
      </c>
      <c r="X37" s="703"/>
      <c r="Y37" s="372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8" t="s">
        <v>1696</v>
      </c>
      <c r="Q38" s="1352" t="str">
        <f t="shared" si="11"/>
        <v>业态</v>
      </c>
      <c r="R38" s="705" t="s">
        <v>14</v>
      </c>
      <c r="S38" s="706">
        <f t="shared" si="12"/>
        <v>100</v>
      </c>
      <c r="T38" s="705" t="s">
        <v>14</v>
      </c>
      <c r="U38" s="706">
        <f t="shared" si="13"/>
        <v>100</v>
      </c>
      <c r="V38" s="705" t="s">
        <v>14</v>
      </c>
      <c r="W38" s="706">
        <f t="shared" si="14"/>
        <v>100</v>
      </c>
      <c r="X38" s="1355"/>
      <c r="Y38" s="372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8"/>
      <c r="Q39" s="1352" t="str">
        <f t="shared" si="11"/>
        <v>层高</v>
      </c>
      <c r="R39" s="705" t="s">
        <v>14</v>
      </c>
      <c r="S39" s="706">
        <f t="shared" si="12"/>
        <v>100</v>
      </c>
      <c r="T39" s="705" t="s">
        <v>14</v>
      </c>
      <c r="U39" s="706">
        <f t="shared" si="13"/>
        <v>100</v>
      </c>
      <c r="V39" s="705" t="s">
        <v>14</v>
      </c>
      <c r="W39" s="706">
        <f t="shared" si="14"/>
        <v>100</v>
      </c>
      <c r="X39" s="1355"/>
      <c r="Y39" s="372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8"/>
      <c r="Q40" s="1352" t="str">
        <f t="shared" si="11"/>
        <v>单套建筑面积</v>
      </c>
      <c r="R40" s="705" t="s">
        <v>14</v>
      </c>
      <c r="S40" s="706">
        <f t="shared" si="12"/>
        <v>100</v>
      </c>
      <c r="T40" s="705" t="s">
        <v>14</v>
      </c>
      <c r="U40" s="706">
        <f t="shared" si="13"/>
        <v>100</v>
      </c>
      <c r="V40" s="705" t="s">
        <v>14</v>
      </c>
      <c r="W40" s="706">
        <f t="shared" si="14"/>
        <v>100</v>
      </c>
      <c r="X40" s="1355"/>
      <c r="Y40" s="372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8"/>
      <c r="Q41" s="707" t="str">
        <f t="shared" si="11"/>
        <v>进深比</v>
      </c>
      <c r="R41" s="708" t="s">
        <v>14</v>
      </c>
      <c r="S41" s="709">
        <f t="shared" si="12"/>
        <v>100</v>
      </c>
      <c r="T41" s="708" t="s">
        <v>14</v>
      </c>
      <c r="U41" s="709">
        <f t="shared" si="13"/>
        <v>100</v>
      </c>
      <c r="V41" s="708" t="s">
        <v>14</v>
      </c>
      <c r="W41" s="709">
        <f t="shared" si="14"/>
        <v>100</v>
      </c>
      <c r="X41" s="710"/>
      <c r="Y41" s="372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8"/>
      <c r="Q42" s="1352" t="str">
        <f t="shared" si="11"/>
        <v>内部装修</v>
      </c>
      <c r="R42" s="705" t="s">
        <v>14</v>
      </c>
      <c r="S42" s="706">
        <f t="shared" si="12"/>
        <v>100</v>
      </c>
      <c r="T42" s="705" t="s">
        <v>14</v>
      </c>
      <c r="U42" s="706">
        <f t="shared" si="13"/>
        <v>100</v>
      </c>
      <c r="V42" s="705" t="s">
        <v>14</v>
      </c>
      <c r="W42" s="706">
        <f t="shared" si="14"/>
        <v>100</v>
      </c>
      <c r="X42" s="1355"/>
      <c r="Y42" s="372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8"/>
      <c r="Q43" s="1352" t="str">
        <f t="shared" si="11"/>
        <v>内部装修维护情况</v>
      </c>
      <c r="R43" s="705" t="s">
        <v>14</v>
      </c>
      <c r="S43" s="706">
        <f t="shared" si="12"/>
        <v>100</v>
      </c>
      <c r="T43" s="705" t="s">
        <v>14</v>
      </c>
      <c r="U43" s="706">
        <f t="shared" si="13"/>
        <v>100</v>
      </c>
      <c r="V43" s="705" t="s">
        <v>14</v>
      </c>
      <c r="W43" s="706">
        <f t="shared" si="14"/>
        <v>100</v>
      </c>
      <c r="X43" s="1355"/>
      <c r="Y43" s="372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8"/>
      <c r="Q44" s="1343">
        <f t="shared" si="11"/>
        <v>111</v>
      </c>
      <c r="R44" s="701" t="s">
        <v>14</v>
      </c>
      <c r="S44" s="702">
        <f t="shared" si="12"/>
        <v>100</v>
      </c>
      <c r="T44" s="701" t="s">
        <v>14</v>
      </c>
      <c r="U44" s="702">
        <f t="shared" si="13"/>
        <v>100</v>
      </c>
      <c r="V44" s="701" t="s">
        <v>14</v>
      </c>
      <c r="W44" s="702">
        <f t="shared" si="14"/>
        <v>100</v>
      </c>
      <c r="X44" s="703"/>
      <c r="Y44" s="372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8"/>
      <c r="Q45" s="1352">
        <f t="shared" si="11"/>
        <v>111</v>
      </c>
      <c r="R45" s="705" t="s">
        <v>14</v>
      </c>
      <c r="S45" s="706">
        <f t="shared" si="12"/>
        <v>100</v>
      </c>
      <c r="T45" s="705" t="s">
        <v>14</v>
      </c>
      <c r="U45" s="706">
        <f t="shared" si="13"/>
        <v>100</v>
      </c>
      <c r="V45" s="705" t="s">
        <v>14</v>
      </c>
      <c r="W45" s="706">
        <f t="shared" si="14"/>
        <v>100</v>
      </c>
      <c r="X45" s="1355"/>
      <c r="Y45" s="372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3" t="str">
        <f>A47</f>
        <v>成交单价（元/平方米）</v>
      </c>
      <c r="Q47" s="3713"/>
      <c r="R47" s="3708">
        <f>E47</f>
        <v>0</v>
      </c>
      <c r="S47" s="3708"/>
      <c r="T47" s="3708">
        <f>G47</f>
        <v>0</v>
      </c>
      <c r="U47" s="3708"/>
      <c r="V47" s="3708">
        <f>I47</f>
        <v>0</v>
      </c>
      <c r="W47" s="370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212.15</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30" t="s">
        <v>1775</v>
      </c>
      <c r="Q4" s="3731"/>
      <c r="R4" s="3725" t="s">
        <v>1771</v>
      </c>
      <c r="S4" s="3726"/>
      <c r="T4" s="3725" t="s">
        <v>1772</v>
      </c>
      <c r="U4" s="3726"/>
      <c r="V4" s="3734" t="s">
        <v>1773</v>
      </c>
      <c r="W4" s="3734"/>
      <c r="X4" s="1958"/>
      <c r="Y4" s="3725" t="s">
        <v>1775</v>
      </c>
      <c r="Z4" s="3726"/>
      <c r="AA4" s="3724" t="s">
        <v>1771</v>
      </c>
      <c r="AB4" s="3724" t="s">
        <v>1772</v>
      </c>
      <c r="AC4" s="3727" t="s">
        <v>1773</v>
      </c>
    </row>
    <row r="5" spans="1:29" ht="15">
      <c r="A5" s="358"/>
      <c r="B5" s="359"/>
      <c r="C5" s="3689" t="s">
        <v>1673</v>
      </c>
      <c r="D5" s="3690"/>
      <c r="E5" s="3687" t="s">
        <v>1674</v>
      </c>
      <c r="F5" s="3688"/>
      <c r="G5" s="3689" t="s">
        <v>1675</v>
      </c>
      <c r="H5" s="3690"/>
      <c r="I5" s="3689" t="s">
        <v>1676</v>
      </c>
      <c r="J5" s="3690"/>
      <c r="K5" s="559"/>
      <c r="L5" s="2714"/>
      <c r="M5" s="2715"/>
      <c r="N5" s="2715"/>
      <c r="O5" s="2715"/>
      <c r="P5" s="3732"/>
      <c r="Q5" s="3703"/>
      <c r="R5" s="3685"/>
      <c r="S5" s="3686"/>
      <c r="T5" s="3685"/>
      <c r="U5" s="3686"/>
      <c r="V5" s="3708"/>
      <c r="W5" s="3708"/>
      <c r="X5" s="1355"/>
      <c r="Y5" s="3685"/>
      <c r="Z5" s="3686"/>
      <c r="AA5" s="3679"/>
      <c r="AB5" s="3679"/>
      <c r="AC5" s="3728"/>
    </row>
    <row r="6" spans="1:29" ht="15.75" thickBot="1">
      <c r="A6" s="360"/>
      <c r="B6" s="361"/>
      <c r="C6" s="3691" t="s">
        <v>1677</v>
      </c>
      <c r="D6" s="3692"/>
      <c r="E6" s="3693" t="s">
        <v>1677</v>
      </c>
      <c r="F6" s="3694"/>
      <c r="G6" s="3691" t="s">
        <v>1677</v>
      </c>
      <c r="H6" s="3692"/>
      <c r="I6" s="3691" t="s">
        <v>1677</v>
      </c>
      <c r="J6" s="3692"/>
      <c r="K6" s="559" t="s">
        <v>1678</v>
      </c>
      <c r="L6" s="2714"/>
      <c r="M6" s="2715"/>
      <c r="N6" s="2715"/>
      <c r="O6" s="2715"/>
      <c r="P6" s="3733"/>
      <c r="Q6" s="3705"/>
      <c r="R6" s="3685"/>
      <c r="S6" s="3686"/>
      <c r="T6" s="3706"/>
      <c r="U6" s="3707"/>
      <c r="V6" s="3708"/>
      <c r="W6" s="3708"/>
      <c r="X6" s="1355"/>
      <c r="Y6" s="3706"/>
      <c r="Z6" s="3707"/>
      <c r="AA6" s="3680"/>
      <c r="AB6" s="3680"/>
      <c r="AC6" s="3729"/>
    </row>
    <row r="7" spans="1:29" s="108" customFormat="1" ht="15.75" thickBot="1">
      <c r="A7" s="362" t="s">
        <v>1679</v>
      </c>
      <c r="B7" s="363"/>
      <c r="C7" s="364">
        <f>'数据-取费表'!B2</f>
        <v>45799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5"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5" t="s">
        <v>1683</v>
      </c>
      <c r="Q8" s="3682"/>
      <c r="R8" s="701" t="s">
        <v>14</v>
      </c>
      <c r="S8" s="702">
        <f t="shared" si="0"/>
        <v>100</v>
      </c>
      <c r="T8" s="701" t="s">
        <v>14</v>
      </c>
      <c r="U8" s="702">
        <f t="shared" si="1"/>
        <v>100</v>
      </c>
      <c r="V8" s="701" t="s">
        <v>14</v>
      </c>
      <c r="W8" s="702">
        <f t="shared" si="2"/>
        <v>100</v>
      </c>
      <c r="X8" s="703"/>
      <c r="Y8" s="3681" t="s">
        <v>1683</v>
      </c>
      <c r="Z8" s="368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5"/>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2" t="s">
        <v>1691</v>
      </c>
      <c r="Q15" s="1352" t="str">
        <f t="shared" si="6"/>
        <v>办公集聚程度</v>
      </c>
      <c r="R15" s="705" t="s">
        <v>14</v>
      </c>
      <c r="S15" s="706">
        <f t="shared" si="0"/>
        <v>100</v>
      </c>
      <c r="T15" s="705" t="s">
        <v>14</v>
      </c>
      <c r="U15" s="706">
        <f t="shared" si="1"/>
        <v>100</v>
      </c>
      <c r="V15" s="705" t="s">
        <v>14</v>
      </c>
      <c r="W15" s="706">
        <f t="shared" si="2"/>
        <v>100</v>
      </c>
      <c r="X15" s="1355"/>
      <c r="Y15" s="371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3"/>
      <c r="Q16" s="1352"/>
      <c r="R16" s="705"/>
      <c r="S16" s="706"/>
      <c r="T16" s="705"/>
      <c r="U16" s="706"/>
      <c r="V16" s="705"/>
      <c r="W16" s="706"/>
      <c r="X16" s="1355"/>
      <c r="Y16" s="371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3"/>
      <c r="Q18" s="1352"/>
      <c r="R18" s="705"/>
      <c r="S18" s="706"/>
      <c r="T18" s="705"/>
      <c r="U18" s="706"/>
      <c r="V18" s="705"/>
      <c r="W18" s="706"/>
      <c r="X18" s="1355"/>
      <c r="Y18" s="371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3"/>
      <c r="Q20" s="1352"/>
      <c r="R20" s="705"/>
      <c r="S20" s="706"/>
      <c r="T20" s="705"/>
      <c r="U20" s="706"/>
      <c r="V20" s="705"/>
      <c r="W20" s="706"/>
      <c r="X20" s="1355"/>
      <c r="Y20" s="371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3"/>
      <c r="Q22" s="1352"/>
      <c r="R22" s="705"/>
      <c r="S22" s="706"/>
      <c r="T22" s="705"/>
      <c r="U22" s="706"/>
      <c r="V22" s="705"/>
      <c r="W22" s="706"/>
      <c r="X22" s="1355"/>
      <c r="Y22" s="371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3"/>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3"/>
      <c r="Q24" s="1352"/>
      <c r="R24" s="705"/>
      <c r="S24" s="706"/>
      <c r="T24" s="705"/>
      <c r="U24" s="706"/>
      <c r="V24" s="705"/>
      <c r="W24" s="706"/>
      <c r="X24" s="1355"/>
      <c r="Y24" s="371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3"/>
      <c r="Q25" s="1352" t="str">
        <f>B25</f>
        <v>毗邻道路的类型与等级</v>
      </c>
      <c r="R25" s="705" t="s">
        <v>14</v>
      </c>
      <c r="S25" s="706">
        <f>F25</f>
        <v>100</v>
      </c>
      <c r="T25" s="705" t="s">
        <v>14</v>
      </c>
      <c r="U25" s="706">
        <f>H25</f>
        <v>100</v>
      </c>
      <c r="V25" s="705" t="s">
        <v>14</v>
      </c>
      <c r="W25" s="706">
        <f>J25</f>
        <v>100</v>
      </c>
      <c r="X25" s="1355"/>
      <c r="Y25" s="371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3"/>
      <c r="Q26" s="1352"/>
      <c r="R26" s="705"/>
      <c r="S26" s="706"/>
      <c r="T26" s="705"/>
      <c r="U26" s="706"/>
      <c r="V26" s="705"/>
      <c r="W26" s="706"/>
      <c r="X26" s="1355"/>
      <c r="Y26" s="371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3"/>
      <c r="Q27" s="1352" t="str">
        <f t="shared" ref="Q27:Q47" si="11">B27</f>
        <v>楼层</v>
      </c>
      <c r="R27" s="705" t="s">
        <v>14</v>
      </c>
      <c r="S27" s="706">
        <f>F27</f>
        <v>100</v>
      </c>
      <c r="T27" s="705" t="s">
        <v>14</v>
      </c>
      <c r="U27" s="706">
        <f>H27</f>
        <v>100</v>
      </c>
      <c r="V27" s="705" t="s">
        <v>14</v>
      </c>
      <c r="W27" s="706">
        <f>J27</f>
        <v>100</v>
      </c>
      <c r="X27" s="1355"/>
      <c r="Y27" s="371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3"/>
      <c r="Q28" s="1343" t="str">
        <f t="shared" si="11"/>
        <v>朝向</v>
      </c>
      <c r="R28" s="701" t="s">
        <v>14</v>
      </c>
      <c r="S28" s="702">
        <f>F28</f>
        <v>100</v>
      </c>
      <c r="T28" s="701" t="s">
        <v>14</v>
      </c>
      <c r="U28" s="702">
        <f>H28</f>
        <v>100</v>
      </c>
      <c r="V28" s="701" t="s">
        <v>14</v>
      </c>
      <c r="W28" s="702">
        <f>J28</f>
        <v>100</v>
      </c>
      <c r="X28" s="703"/>
      <c r="Y28" s="371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3"/>
      <c r="Q29" s="1352">
        <f t="shared" si="11"/>
        <v>111</v>
      </c>
      <c r="R29" s="705" t="s">
        <v>14</v>
      </c>
      <c r="S29" s="706">
        <f t="shared" ref="S29:S47" si="12">F29</f>
        <v>100</v>
      </c>
      <c r="T29" s="705" t="s">
        <v>14</v>
      </c>
      <c r="U29" s="706">
        <f t="shared" ref="U29:U47" si="13">H29</f>
        <v>100</v>
      </c>
      <c r="V29" s="705" t="s">
        <v>14</v>
      </c>
      <c r="W29" s="706">
        <f t="shared" ref="W29:W47" si="14">J29</f>
        <v>100</v>
      </c>
      <c r="X29" s="1355"/>
      <c r="Y29" s="371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3"/>
      <c r="Q32" s="1352">
        <f t="shared" si="11"/>
        <v>111</v>
      </c>
      <c r="R32" s="705" t="s">
        <v>14</v>
      </c>
      <c r="S32" s="706">
        <f t="shared" si="12"/>
        <v>100</v>
      </c>
      <c r="T32" s="705" t="s">
        <v>14</v>
      </c>
      <c r="U32" s="706">
        <f t="shared" si="13"/>
        <v>100</v>
      </c>
      <c r="V32" s="705" t="s">
        <v>14</v>
      </c>
      <c r="W32" s="706">
        <f t="shared" si="14"/>
        <v>100</v>
      </c>
      <c r="X32" s="1355"/>
      <c r="Y32" s="371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7" t="s">
        <v>1696</v>
      </c>
      <c r="Q33" s="1352" t="str">
        <f t="shared" si="11"/>
        <v>建筑类型</v>
      </c>
      <c r="R33" s="705" t="s">
        <v>14</v>
      </c>
      <c r="S33" s="706">
        <f t="shared" si="12"/>
        <v>100</v>
      </c>
      <c r="T33" s="705" t="s">
        <v>14</v>
      </c>
      <c r="U33" s="706">
        <f t="shared" si="13"/>
        <v>100</v>
      </c>
      <c r="V33" s="705" t="s">
        <v>14</v>
      </c>
      <c r="W33" s="706">
        <f t="shared" si="14"/>
        <v>100</v>
      </c>
      <c r="X33" s="1355"/>
      <c r="Y33" s="372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8"/>
      <c r="Q34" s="707" t="str">
        <f t="shared" si="11"/>
        <v>项目建筑规模</v>
      </c>
      <c r="R34" s="708" t="s">
        <v>14</v>
      </c>
      <c r="S34" s="709" t="e">
        <f t="shared" si="12"/>
        <v>#N/A</v>
      </c>
      <c r="T34" s="708" t="s">
        <v>14</v>
      </c>
      <c r="U34" s="709" t="e">
        <f t="shared" si="13"/>
        <v>#N/A</v>
      </c>
      <c r="V34" s="708" t="s">
        <v>14</v>
      </c>
      <c r="W34" s="709" t="e">
        <f t="shared" si="14"/>
        <v>#N/A</v>
      </c>
      <c r="X34" s="710"/>
      <c r="Y34" s="372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8"/>
      <c r="Q35" s="1352" t="str">
        <f t="shared" si="11"/>
        <v>建筑结构</v>
      </c>
      <c r="R35" s="705" t="s">
        <v>14</v>
      </c>
      <c r="S35" s="706">
        <f t="shared" si="12"/>
        <v>100</v>
      </c>
      <c r="T35" s="705" t="s">
        <v>14</v>
      </c>
      <c r="U35" s="706">
        <f t="shared" si="13"/>
        <v>100</v>
      </c>
      <c r="V35" s="705" t="s">
        <v>14</v>
      </c>
      <c r="W35" s="706">
        <f t="shared" si="14"/>
        <v>100</v>
      </c>
      <c r="X35" s="1355"/>
      <c r="Y35" s="372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8"/>
      <c r="Q36" s="1352" t="str">
        <f t="shared" si="11"/>
        <v>公共部分装修</v>
      </c>
      <c r="R36" s="705" t="s">
        <v>14</v>
      </c>
      <c r="S36" s="706">
        <f t="shared" si="12"/>
        <v>100</v>
      </c>
      <c r="T36" s="705" t="s">
        <v>14</v>
      </c>
      <c r="U36" s="706">
        <f t="shared" si="13"/>
        <v>100</v>
      </c>
      <c r="V36" s="705" t="s">
        <v>14</v>
      </c>
      <c r="W36" s="706">
        <f t="shared" si="14"/>
        <v>100</v>
      </c>
      <c r="X36" s="1355"/>
      <c r="Y36" s="372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8"/>
      <c r="Q37" s="1352" t="str">
        <f t="shared" si="11"/>
        <v>成新度</v>
      </c>
      <c r="R37" s="705" t="s">
        <v>14</v>
      </c>
      <c r="S37" s="706" t="e">
        <f t="shared" si="12"/>
        <v>#N/A</v>
      </c>
      <c r="T37" s="705" t="s">
        <v>14</v>
      </c>
      <c r="U37" s="706" t="e">
        <f t="shared" si="13"/>
        <v>#N/A</v>
      </c>
      <c r="V37" s="705" t="s">
        <v>14</v>
      </c>
      <c r="W37" s="706" t="e">
        <f t="shared" si="14"/>
        <v>#N/A</v>
      </c>
      <c r="X37" s="1355"/>
      <c r="Y37" s="372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8"/>
      <c r="Q38" s="1343" t="str">
        <f t="shared" si="11"/>
        <v>写字楼等级</v>
      </c>
      <c r="R38" s="701" t="s">
        <v>14</v>
      </c>
      <c r="S38" s="702">
        <f t="shared" si="12"/>
        <v>100</v>
      </c>
      <c r="T38" s="701" t="s">
        <v>14</v>
      </c>
      <c r="U38" s="702">
        <f t="shared" si="13"/>
        <v>100</v>
      </c>
      <c r="V38" s="701" t="s">
        <v>14</v>
      </c>
      <c r="W38" s="702">
        <f t="shared" si="14"/>
        <v>100</v>
      </c>
      <c r="X38" s="703"/>
      <c r="Y38" s="372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8" t="s">
        <v>1696</v>
      </c>
      <c r="Q39" s="1352" t="str">
        <f t="shared" si="11"/>
        <v>物业管理</v>
      </c>
      <c r="R39" s="705" t="s">
        <v>14</v>
      </c>
      <c r="S39" s="706">
        <f t="shared" si="12"/>
        <v>100</v>
      </c>
      <c r="T39" s="705" t="s">
        <v>14</v>
      </c>
      <c r="U39" s="706">
        <f t="shared" si="13"/>
        <v>100</v>
      </c>
      <c r="V39" s="705" t="s">
        <v>14</v>
      </c>
      <c r="W39" s="706">
        <f t="shared" si="14"/>
        <v>100</v>
      </c>
      <c r="X39" s="1355"/>
      <c r="Y39" s="372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8"/>
      <c r="Q40" s="1352" t="str">
        <f t="shared" si="11"/>
        <v>市政基础设施</v>
      </c>
      <c r="R40" s="705" t="s">
        <v>14</v>
      </c>
      <c r="S40" s="706">
        <f t="shared" si="12"/>
        <v>100</v>
      </c>
      <c r="T40" s="705" t="s">
        <v>14</v>
      </c>
      <c r="U40" s="706">
        <f t="shared" si="13"/>
        <v>100</v>
      </c>
      <c r="V40" s="705" t="s">
        <v>14</v>
      </c>
      <c r="W40" s="706">
        <f t="shared" si="14"/>
        <v>100</v>
      </c>
      <c r="X40" s="1355"/>
      <c r="Y40" s="372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8"/>
      <c r="Q41" s="1352" t="str">
        <f t="shared" si="11"/>
        <v>层高</v>
      </c>
      <c r="R41" s="705" t="s">
        <v>14</v>
      </c>
      <c r="S41" s="706">
        <f t="shared" si="12"/>
        <v>100</v>
      </c>
      <c r="T41" s="705" t="s">
        <v>14</v>
      </c>
      <c r="U41" s="706">
        <f t="shared" si="13"/>
        <v>100</v>
      </c>
      <c r="V41" s="705" t="s">
        <v>14</v>
      </c>
      <c r="W41" s="706">
        <f t="shared" si="14"/>
        <v>100</v>
      </c>
      <c r="X41" s="1355"/>
      <c r="Y41" s="372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8"/>
      <c r="Q42" s="707" t="str">
        <f t="shared" si="11"/>
        <v>单套建筑面积</v>
      </c>
      <c r="R42" s="708" t="s">
        <v>14</v>
      </c>
      <c r="S42" s="709">
        <f t="shared" si="12"/>
        <v>100</v>
      </c>
      <c r="T42" s="708" t="s">
        <v>14</v>
      </c>
      <c r="U42" s="709">
        <f t="shared" si="13"/>
        <v>100</v>
      </c>
      <c r="V42" s="708" t="s">
        <v>14</v>
      </c>
      <c r="W42" s="709">
        <f t="shared" si="14"/>
        <v>100</v>
      </c>
      <c r="X42" s="710"/>
      <c r="Y42" s="372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8"/>
      <c r="Q43" s="1352" t="str">
        <f t="shared" si="11"/>
        <v>内部装修</v>
      </c>
      <c r="R43" s="705" t="s">
        <v>14</v>
      </c>
      <c r="S43" s="706">
        <f t="shared" si="12"/>
        <v>100</v>
      </c>
      <c r="T43" s="705" t="s">
        <v>14</v>
      </c>
      <c r="U43" s="706">
        <f t="shared" si="13"/>
        <v>100</v>
      </c>
      <c r="V43" s="705" t="s">
        <v>14</v>
      </c>
      <c r="W43" s="706">
        <f t="shared" si="14"/>
        <v>100</v>
      </c>
      <c r="X43" s="1355"/>
      <c r="Y43" s="372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8"/>
      <c r="Q44" s="1352" t="str">
        <f t="shared" si="11"/>
        <v>内部装修维护情况</v>
      </c>
      <c r="R44" s="705" t="s">
        <v>14</v>
      </c>
      <c r="S44" s="706">
        <f t="shared" si="12"/>
        <v>100</v>
      </c>
      <c r="T44" s="705" t="s">
        <v>14</v>
      </c>
      <c r="U44" s="706">
        <f t="shared" si="13"/>
        <v>100</v>
      </c>
      <c r="V44" s="705" t="s">
        <v>14</v>
      </c>
      <c r="W44" s="706">
        <f t="shared" si="14"/>
        <v>100</v>
      </c>
      <c r="X44" s="1355"/>
      <c r="Y44" s="372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8"/>
      <c r="Q45" s="1343">
        <f t="shared" si="11"/>
        <v>111</v>
      </c>
      <c r="R45" s="701" t="s">
        <v>14</v>
      </c>
      <c r="S45" s="702">
        <f t="shared" si="12"/>
        <v>100</v>
      </c>
      <c r="T45" s="701" t="s">
        <v>14</v>
      </c>
      <c r="U45" s="702">
        <f t="shared" si="13"/>
        <v>100</v>
      </c>
      <c r="V45" s="701" t="s">
        <v>14</v>
      </c>
      <c r="W45" s="702">
        <f t="shared" si="14"/>
        <v>100</v>
      </c>
      <c r="X45" s="703"/>
      <c r="Y45" s="372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9"/>
      <c r="Q47" s="1352">
        <f t="shared" si="11"/>
        <v>111</v>
      </c>
      <c r="R47" s="705" t="s">
        <v>14</v>
      </c>
      <c r="S47" s="706">
        <f t="shared" si="12"/>
        <v>100</v>
      </c>
      <c r="T47" s="705" t="s">
        <v>14</v>
      </c>
      <c r="U47" s="706">
        <f t="shared" si="13"/>
        <v>100</v>
      </c>
      <c r="V47" s="705" t="s">
        <v>14</v>
      </c>
      <c r="W47" s="706">
        <f t="shared" si="14"/>
        <v>100</v>
      </c>
      <c r="X47" s="1355"/>
      <c r="Y47" s="372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5" t="str">
        <f>A48</f>
        <v>成交单价（元/平方米）</v>
      </c>
      <c r="Q48" s="3713"/>
      <c r="R48" s="3714">
        <f>E48</f>
        <v>0</v>
      </c>
      <c r="S48" s="3714"/>
      <c r="T48" s="3714">
        <f>G48</f>
        <v>0</v>
      </c>
      <c r="U48" s="3714"/>
      <c r="V48" s="3714">
        <f>I48</f>
        <v>0</v>
      </c>
      <c r="W48" s="371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5" t="str">
        <f>A49</f>
        <v>比较价值（元/平方米）</v>
      </c>
      <c r="Q49" s="3713"/>
      <c r="R49" s="3714" t="e">
        <f>IF(F1="售价",ROUND(PRODUCT(R48,AA7:AA47),0),ROUND(PRODUCT(R48,AA7:AA47),1))</f>
        <v>#DIV/0!</v>
      </c>
      <c r="S49" s="3714"/>
      <c r="T49" s="3714" t="e">
        <f>IF(F1="售价",ROUND(PRODUCT(T48,AB7:AB47),0),ROUND(PRODUCT(T48,AB7:AB47),1))</f>
        <v>#DIV/0!</v>
      </c>
      <c r="U49" s="3714"/>
      <c r="V49" s="3714" t="e">
        <f>IF(F1="售价",ROUND(PRODUCT(V48,AC7:AC47),0),ROUND(PRODUCT(V48,AC7:AC47),1))</f>
        <v>#DIV/0!</v>
      </c>
      <c r="W49" s="371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受贵公司委托，我公司对北京市朝阳区日坛北路17号院2号楼4层4082商业用房房地产抵押价值进行了预评估。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估价对象为北京市朝阳区日坛北路17号院2号楼4层4082商业用房房地产，为所有。根据《国有土地使用证》[]，估价对象（分摊）出让国有建设用地使用权面积为0平方米，建筑面积为212.15平方米。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2号楼4层4082商业用房房地产,属开发建设的商业项目，该项目尚在开发建设中。根据《国有土地使用证》[]，估价对象（分摊）出让国有建设用地使用权面积为0平方米，规划建筑面积为212.15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日坛北路17号院2号楼4层4082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212.15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913"/>
      <c r="M4" s="914"/>
      <c r="N4" s="914"/>
      <c r="O4" s="914"/>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29" ht="15">
      <c r="A5" s="358"/>
      <c r="B5" s="359"/>
      <c r="C5" s="3689" t="s">
        <v>1673</v>
      </c>
      <c r="D5" s="3690"/>
      <c r="E5" s="3687" t="s">
        <v>1674</v>
      </c>
      <c r="F5" s="3688"/>
      <c r="G5" s="3689" t="s">
        <v>1675</v>
      </c>
      <c r="H5" s="3690"/>
      <c r="I5" s="3689" t="s">
        <v>1676</v>
      </c>
      <c r="J5" s="3690"/>
      <c r="K5" s="559"/>
      <c r="L5" s="913"/>
      <c r="M5" s="914"/>
      <c r="N5" s="914"/>
      <c r="O5" s="914"/>
      <c r="P5" s="3702"/>
      <c r="Q5" s="3703"/>
      <c r="R5" s="3685"/>
      <c r="S5" s="3686"/>
      <c r="T5" s="3685"/>
      <c r="U5" s="3686"/>
      <c r="V5" s="3708"/>
      <c r="W5" s="3708"/>
      <c r="X5" s="1355"/>
      <c r="Y5" s="3685"/>
      <c r="Z5" s="3686"/>
      <c r="AA5" s="3679"/>
      <c r="AB5" s="3679"/>
      <c r="AC5" s="3679"/>
    </row>
    <row r="6" spans="1:29" ht="15.75" thickBot="1">
      <c r="A6" s="360"/>
      <c r="B6" s="361"/>
      <c r="C6" s="3691" t="s">
        <v>1677</v>
      </c>
      <c r="D6" s="3692"/>
      <c r="E6" s="3693" t="s">
        <v>1677</v>
      </c>
      <c r="F6" s="3694"/>
      <c r="G6" s="3691" t="s">
        <v>1677</v>
      </c>
      <c r="H6" s="3692"/>
      <c r="I6" s="3691" t="s">
        <v>1677</v>
      </c>
      <c r="J6" s="3692"/>
      <c r="K6" s="559" t="s">
        <v>1678</v>
      </c>
      <c r="L6" s="913"/>
      <c r="M6" s="914"/>
      <c r="N6" s="914"/>
      <c r="O6" s="914"/>
      <c r="P6" s="3704"/>
      <c r="Q6" s="3705"/>
      <c r="R6" s="3685"/>
      <c r="S6" s="3686"/>
      <c r="T6" s="3706"/>
      <c r="U6" s="3707"/>
      <c r="V6" s="3708"/>
      <c r="W6" s="3708"/>
      <c r="X6" s="1355"/>
      <c r="Y6" s="3706"/>
      <c r="Z6" s="3707"/>
      <c r="AA6" s="3680"/>
      <c r="AB6" s="3680"/>
      <c r="AC6" s="3680"/>
    </row>
    <row r="7" spans="1:29" s="108" customFormat="1" ht="15.75" thickBot="1">
      <c r="A7" s="362" t="s">
        <v>1679</v>
      </c>
      <c r="B7" s="363"/>
      <c r="C7" s="364">
        <f>'数据-取费表'!B2</f>
        <v>45799</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1683</v>
      </c>
      <c r="Q8" s="3682"/>
      <c r="R8" s="701" t="s">
        <v>14</v>
      </c>
      <c r="S8" s="702">
        <f t="shared" si="0"/>
        <v>100</v>
      </c>
      <c r="T8" s="701" t="s">
        <v>14</v>
      </c>
      <c r="U8" s="702">
        <f t="shared" si="1"/>
        <v>100</v>
      </c>
      <c r="V8" s="701" t="s">
        <v>14</v>
      </c>
      <c r="W8" s="702">
        <f t="shared" si="2"/>
        <v>100</v>
      </c>
      <c r="X8" s="703"/>
      <c r="Y8" s="3681" t="s">
        <v>1683</v>
      </c>
      <c r="Z8" s="368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3"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3"/>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5" t="s">
        <v>1691</v>
      </c>
      <c r="Q15" s="1352" t="str">
        <f t="shared" si="6"/>
        <v>产业集聚程度</v>
      </c>
      <c r="R15" s="705" t="s">
        <v>14</v>
      </c>
      <c r="S15" s="706">
        <f t="shared" si="0"/>
        <v>100</v>
      </c>
      <c r="T15" s="705" t="s">
        <v>14</v>
      </c>
      <c r="U15" s="706">
        <f t="shared" si="1"/>
        <v>100</v>
      </c>
      <c r="V15" s="705" t="s">
        <v>14</v>
      </c>
      <c r="W15" s="706">
        <f t="shared" si="2"/>
        <v>100</v>
      </c>
      <c r="X15" s="1355"/>
      <c r="Y15" s="371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6"/>
      <c r="Q16" s="1352"/>
      <c r="R16" s="705"/>
      <c r="S16" s="706"/>
      <c r="T16" s="705"/>
      <c r="U16" s="706"/>
      <c r="V16" s="705"/>
      <c r="W16" s="706"/>
      <c r="X16" s="1355"/>
      <c r="Y16" s="371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6"/>
      <c r="Q18" s="1352"/>
      <c r="R18" s="705"/>
      <c r="S18" s="706"/>
      <c r="T18" s="705"/>
      <c r="U18" s="706"/>
      <c r="V18" s="705"/>
      <c r="W18" s="706"/>
      <c r="X18" s="1355"/>
      <c r="Y18" s="371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6"/>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6"/>
      <c r="Q20" s="1352"/>
      <c r="R20" s="705"/>
      <c r="S20" s="706"/>
      <c r="T20" s="705"/>
      <c r="U20" s="706"/>
      <c r="V20" s="705"/>
      <c r="W20" s="706"/>
      <c r="X20" s="1355"/>
      <c r="Y20" s="371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6"/>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6"/>
      <c r="Q22" s="1352"/>
      <c r="R22" s="705"/>
      <c r="S22" s="706"/>
      <c r="T22" s="705"/>
      <c r="U22" s="706"/>
      <c r="V22" s="705"/>
      <c r="W22" s="706"/>
      <c r="X22" s="1355"/>
      <c r="Y22" s="371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6"/>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6"/>
      <c r="Q24" s="1352"/>
      <c r="R24" s="705"/>
      <c r="S24" s="706"/>
      <c r="T24" s="705"/>
      <c r="U24" s="706"/>
      <c r="V24" s="705"/>
      <c r="W24" s="706"/>
      <c r="X24" s="1355"/>
      <c r="Y24" s="371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6"/>
      <c r="Q25" s="1352">
        <f>B25</f>
        <v>111</v>
      </c>
      <c r="R25" s="705" t="s">
        <v>14</v>
      </c>
      <c r="S25" s="706">
        <f>F25</f>
        <v>100</v>
      </c>
      <c r="T25" s="705" t="s">
        <v>14</v>
      </c>
      <c r="U25" s="706">
        <f>H25</f>
        <v>100</v>
      </c>
      <c r="V25" s="705" t="s">
        <v>14</v>
      </c>
      <c r="W25" s="706">
        <f>J25</f>
        <v>100</v>
      </c>
      <c r="X25" s="1355"/>
      <c r="Y25" s="371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6"/>
      <c r="Q26" s="1352">
        <f t="shared" ref="Q26:Q40" si="11">B26</f>
        <v>111</v>
      </c>
      <c r="R26" s="705" t="s">
        <v>14</v>
      </c>
      <c r="S26" s="706">
        <f>F26</f>
        <v>100</v>
      </c>
      <c r="T26" s="705" t="s">
        <v>14</v>
      </c>
      <c r="U26" s="706">
        <f>H26</f>
        <v>100</v>
      </c>
      <c r="V26" s="705" t="s">
        <v>14</v>
      </c>
      <c r="W26" s="706">
        <f>J26</f>
        <v>100</v>
      </c>
      <c r="X26" s="1355"/>
      <c r="Y26" s="371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6"/>
      <c r="Q27" s="1343">
        <f t="shared" si="11"/>
        <v>111</v>
      </c>
      <c r="R27" s="701" t="s">
        <v>14</v>
      </c>
      <c r="S27" s="702">
        <f>F27</f>
        <v>100</v>
      </c>
      <c r="T27" s="701" t="s">
        <v>14</v>
      </c>
      <c r="U27" s="702">
        <f>H27</f>
        <v>100</v>
      </c>
      <c r="V27" s="701" t="s">
        <v>14</v>
      </c>
      <c r="W27" s="702">
        <f>J27</f>
        <v>100</v>
      </c>
      <c r="X27" s="703"/>
      <c r="Y27" s="371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6"/>
      <c r="Q28" s="1352">
        <f t="shared" si="11"/>
        <v>111</v>
      </c>
      <c r="R28" s="705" t="s">
        <v>14</v>
      </c>
      <c r="S28" s="706">
        <f t="shared" ref="S28:S40" si="12">F28</f>
        <v>100</v>
      </c>
      <c r="T28" s="705" t="s">
        <v>14</v>
      </c>
      <c r="U28" s="706">
        <f t="shared" ref="U28:U40" si="13">H28</f>
        <v>100</v>
      </c>
      <c r="V28" s="705" t="s">
        <v>14</v>
      </c>
      <c r="W28" s="706">
        <f t="shared" ref="W28:W40" si="14">J28</f>
        <v>100</v>
      </c>
      <c r="X28" s="1355"/>
      <c r="Y28" s="371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72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0"/>
      <c r="Q30" s="707" t="str">
        <f t="shared" si="11"/>
        <v>项目建筑规模</v>
      </c>
      <c r="R30" s="708" t="s">
        <v>14</v>
      </c>
      <c r="S30" s="709" t="e">
        <f t="shared" si="12"/>
        <v>#N/A</v>
      </c>
      <c r="T30" s="708" t="s">
        <v>14</v>
      </c>
      <c r="U30" s="709" t="e">
        <f t="shared" si="13"/>
        <v>#N/A</v>
      </c>
      <c r="V30" s="708" t="s">
        <v>14</v>
      </c>
      <c r="W30" s="709" t="e">
        <f t="shared" si="14"/>
        <v>#N/A</v>
      </c>
      <c r="X30" s="710"/>
      <c r="Y30" s="372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0"/>
      <c r="Q31" s="1352" t="str">
        <f t="shared" si="11"/>
        <v>建筑结构</v>
      </c>
      <c r="R31" s="705" t="s">
        <v>14</v>
      </c>
      <c r="S31" s="706">
        <f t="shared" si="12"/>
        <v>100</v>
      </c>
      <c r="T31" s="705" t="s">
        <v>14</v>
      </c>
      <c r="U31" s="706">
        <f t="shared" si="13"/>
        <v>100</v>
      </c>
      <c r="V31" s="705" t="s">
        <v>14</v>
      </c>
      <c r="W31" s="706">
        <f t="shared" si="14"/>
        <v>100</v>
      </c>
      <c r="X31" s="1355"/>
      <c r="Y31" s="372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0"/>
      <c r="Q32" s="1352" t="str">
        <f t="shared" si="11"/>
        <v>公共部分装修</v>
      </c>
      <c r="R32" s="705" t="s">
        <v>14</v>
      </c>
      <c r="S32" s="706">
        <f t="shared" si="12"/>
        <v>100</v>
      </c>
      <c r="T32" s="705" t="s">
        <v>14</v>
      </c>
      <c r="U32" s="706">
        <f t="shared" si="13"/>
        <v>100</v>
      </c>
      <c r="V32" s="705" t="s">
        <v>14</v>
      </c>
      <c r="W32" s="706">
        <f t="shared" si="14"/>
        <v>100</v>
      </c>
      <c r="X32" s="1355"/>
      <c r="Y32" s="372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0"/>
      <c r="Q33" s="1352" t="str">
        <f t="shared" si="11"/>
        <v>成新度</v>
      </c>
      <c r="R33" s="705" t="s">
        <v>14</v>
      </c>
      <c r="S33" s="706" t="e">
        <f t="shared" si="12"/>
        <v>#N/A</v>
      </c>
      <c r="T33" s="705" t="s">
        <v>14</v>
      </c>
      <c r="U33" s="706" t="e">
        <f t="shared" si="13"/>
        <v>#N/A</v>
      </c>
      <c r="V33" s="705" t="s">
        <v>14</v>
      </c>
      <c r="W33" s="706" t="e">
        <f t="shared" si="14"/>
        <v>#N/A</v>
      </c>
      <c r="X33" s="1355"/>
      <c r="Y33" s="372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0"/>
      <c r="Q34" s="1343" t="str">
        <f t="shared" si="11"/>
        <v>物业管理</v>
      </c>
      <c r="R34" s="701" t="s">
        <v>14</v>
      </c>
      <c r="S34" s="702">
        <f t="shared" si="12"/>
        <v>100</v>
      </c>
      <c r="T34" s="701" t="s">
        <v>14</v>
      </c>
      <c r="U34" s="702">
        <f t="shared" si="13"/>
        <v>100</v>
      </c>
      <c r="V34" s="701" t="s">
        <v>14</v>
      </c>
      <c r="W34" s="702">
        <f t="shared" si="14"/>
        <v>100</v>
      </c>
      <c r="X34" s="703"/>
      <c r="Y34" s="372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0" t="s">
        <v>1696</v>
      </c>
      <c r="Q35" s="1352" t="str">
        <f t="shared" si="11"/>
        <v>市政基础设施</v>
      </c>
      <c r="R35" s="705" t="s">
        <v>14</v>
      </c>
      <c r="S35" s="706">
        <f t="shared" si="12"/>
        <v>100</v>
      </c>
      <c r="T35" s="705" t="s">
        <v>14</v>
      </c>
      <c r="U35" s="706">
        <f t="shared" si="13"/>
        <v>100</v>
      </c>
      <c r="V35" s="705" t="s">
        <v>14</v>
      </c>
      <c r="W35" s="706">
        <f t="shared" si="14"/>
        <v>100</v>
      </c>
      <c r="X35" s="1355"/>
      <c r="Y35" s="372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0"/>
      <c r="Q36" s="1352" t="str">
        <f t="shared" si="11"/>
        <v>内部装修</v>
      </c>
      <c r="R36" s="705" t="s">
        <v>14</v>
      </c>
      <c r="S36" s="706">
        <f t="shared" si="12"/>
        <v>100</v>
      </c>
      <c r="T36" s="705" t="s">
        <v>14</v>
      </c>
      <c r="U36" s="706">
        <f t="shared" si="13"/>
        <v>100</v>
      </c>
      <c r="V36" s="705" t="s">
        <v>14</v>
      </c>
      <c r="W36" s="706">
        <f t="shared" si="14"/>
        <v>100</v>
      </c>
      <c r="X36" s="1355"/>
      <c r="Y36" s="372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0"/>
      <c r="Q37" s="1352" t="str">
        <f t="shared" si="11"/>
        <v>内部装修状况</v>
      </c>
      <c r="R37" s="705" t="s">
        <v>14</v>
      </c>
      <c r="S37" s="706">
        <f t="shared" si="12"/>
        <v>100</v>
      </c>
      <c r="T37" s="705" t="s">
        <v>14</v>
      </c>
      <c r="U37" s="706">
        <f t="shared" si="13"/>
        <v>100</v>
      </c>
      <c r="V37" s="705" t="s">
        <v>14</v>
      </c>
      <c r="W37" s="706">
        <f t="shared" si="14"/>
        <v>100</v>
      </c>
      <c r="X37" s="1355"/>
      <c r="Y37" s="372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0"/>
      <c r="Q38" s="707">
        <f t="shared" si="11"/>
        <v>111</v>
      </c>
      <c r="R38" s="708" t="s">
        <v>14</v>
      </c>
      <c r="S38" s="709">
        <f t="shared" si="12"/>
        <v>100</v>
      </c>
      <c r="T38" s="708" t="s">
        <v>14</v>
      </c>
      <c r="U38" s="709">
        <f t="shared" si="13"/>
        <v>100</v>
      </c>
      <c r="V38" s="708" t="s">
        <v>14</v>
      </c>
      <c r="W38" s="709">
        <f t="shared" si="14"/>
        <v>100</v>
      </c>
      <c r="X38" s="710"/>
      <c r="Y38" s="372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0"/>
      <c r="Q39" s="1352">
        <f t="shared" si="11"/>
        <v>111</v>
      </c>
      <c r="R39" s="705" t="s">
        <v>14</v>
      </c>
      <c r="S39" s="706">
        <f t="shared" si="12"/>
        <v>100</v>
      </c>
      <c r="T39" s="705" t="s">
        <v>14</v>
      </c>
      <c r="U39" s="706">
        <f t="shared" si="13"/>
        <v>100</v>
      </c>
      <c r="V39" s="705" t="s">
        <v>14</v>
      </c>
      <c r="W39" s="706">
        <f t="shared" si="14"/>
        <v>100</v>
      </c>
      <c r="X39" s="1355"/>
      <c r="Y39" s="372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1"/>
      <c r="Q40" s="1352">
        <f t="shared" si="11"/>
        <v>111</v>
      </c>
      <c r="R40" s="705" t="s">
        <v>14</v>
      </c>
      <c r="S40" s="706">
        <f t="shared" si="12"/>
        <v>100</v>
      </c>
      <c r="T40" s="705" t="s">
        <v>14</v>
      </c>
      <c r="U40" s="706">
        <f t="shared" si="13"/>
        <v>100</v>
      </c>
      <c r="V40" s="705" t="s">
        <v>14</v>
      </c>
      <c r="W40" s="706">
        <f t="shared" si="14"/>
        <v>100</v>
      </c>
      <c r="X40" s="1355"/>
      <c r="Y40" s="372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3" t="str">
        <f>A41</f>
        <v>成交单价（元/平方米）</v>
      </c>
      <c r="Q41" s="3713"/>
      <c r="R41" s="3714">
        <f>E41</f>
        <v>0</v>
      </c>
      <c r="S41" s="3714"/>
      <c r="T41" s="3714">
        <f>G41</f>
        <v>0</v>
      </c>
      <c r="U41" s="3714"/>
      <c r="V41" s="3714">
        <f>I41</f>
        <v>0</v>
      </c>
      <c r="W41" s="371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29" ht="15">
      <c r="A5" s="358"/>
      <c r="B5" s="359"/>
      <c r="C5" s="3689" t="s">
        <v>1673</v>
      </c>
      <c r="D5" s="3690"/>
      <c r="E5" s="3687" t="s">
        <v>1674</v>
      </c>
      <c r="F5" s="3688"/>
      <c r="G5" s="3689" t="s">
        <v>1675</v>
      </c>
      <c r="H5" s="3690"/>
      <c r="I5" s="3689" t="s">
        <v>1676</v>
      </c>
      <c r="J5" s="3690"/>
      <c r="K5" s="559"/>
      <c r="L5" s="2714"/>
      <c r="M5" s="2715"/>
      <c r="N5" s="2715"/>
      <c r="O5" s="2715"/>
      <c r="P5" s="3702"/>
      <c r="Q5" s="3703"/>
      <c r="R5" s="3685"/>
      <c r="S5" s="3686"/>
      <c r="T5" s="3685"/>
      <c r="U5" s="3686"/>
      <c r="V5" s="3708"/>
      <c r="W5" s="3708"/>
      <c r="X5" s="1355"/>
      <c r="Y5" s="3685"/>
      <c r="Z5" s="3686"/>
      <c r="AA5" s="3679"/>
      <c r="AB5" s="3679"/>
      <c r="AC5" s="3679"/>
    </row>
    <row r="6" spans="1:29" ht="15.75" thickBot="1">
      <c r="A6" s="360"/>
      <c r="B6" s="361"/>
      <c r="C6" s="3691" t="s">
        <v>1677</v>
      </c>
      <c r="D6" s="3692"/>
      <c r="E6" s="3693" t="s">
        <v>1677</v>
      </c>
      <c r="F6" s="3694"/>
      <c r="G6" s="3691" t="s">
        <v>1677</v>
      </c>
      <c r="H6" s="3692"/>
      <c r="I6" s="3691" t="s">
        <v>1677</v>
      </c>
      <c r="J6" s="3692"/>
      <c r="K6" s="559" t="s">
        <v>1678</v>
      </c>
      <c r="L6" s="2714"/>
      <c r="M6" s="2715"/>
      <c r="N6" s="2715"/>
      <c r="O6" s="2715"/>
      <c r="P6" s="3704"/>
      <c r="Q6" s="3705"/>
      <c r="R6" s="3685"/>
      <c r="S6" s="3686"/>
      <c r="T6" s="3706"/>
      <c r="U6" s="3707"/>
      <c r="V6" s="3708"/>
      <c r="W6" s="3708"/>
      <c r="X6" s="1355"/>
      <c r="Y6" s="3706"/>
      <c r="Z6" s="3707"/>
      <c r="AA6" s="3680"/>
      <c r="AB6" s="3680"/>
      <c r="AC6" s="3680"/>
    </row>
    <row r="7" spans="1:29" s="108" customFormat="1" ht="15.75" thickBot="1">
      <c r="A7" s="362" t="s">
        <v>1679</v>
      </c>
      <c r="B7" s="363"/>
      <c r="C7" s="364">
        <f>'数据-取费表'!B2</f>
        <v>45799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1" t="s">
        <v>1680</v>
      </c>
      <c r="Q7" s="3709"/>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1" t="s">
        <v>1683</v>
      </c>
      <c r="Q8" s="3682"/>
      <c r="R8" s="701" t="s">
        <v>14</v>
      </c>
      <c r="S8" s="702">
        <f t="shared" si="0"/>
        <v>100</v>
      </c>
      <c r="T8" s="701" t="s">
        <v>14</v>
      </c>
      <c r="U8" s="702">
        <f t="shared" si="1"/>
        <v>100</v>
      </c>
      <c r="V8" s="701" t="s">
        <v>14</v>
      </c>
      <c r="W8" s="702">
        <f t="shared" si="2"/>
        <v>100</v>
      </c>
      <c r="X8" s="703"/>
      <c r="Y8" s="3681" t="s">
        <v>1683</v>
      </c>
      <c r="Z8" s="368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3"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5" t="s">
        <v>1691</v>
      </c>
      <c r="Q14" s="1352" t="str">
        <f t="shared" si="6"/>
        <v>交通便捷度</v>
      </c>
      <c r="R14" s="705" t="s">
        <v>14</v>
      </c>
      <c r="S14" s="706">
        <f t="shared" si="0"/>
        <v>100</v>
      </c>
      <c r="T14" s="705" t="s">
        <v>14</v>
      </c>
      <c r="U14" s="706">
        <f t="shared" si="1"/>
        <v>100</v>
      </c>
      <c r="V14" s="705" t="s">
        <v>14</v>
      </c>
      <c r="W14" s="706">
        <f t="shared" si="2"/>
        <v>100</v>
      </c>
      <c r="X14" s="1355"/>
      <c r="Y14" s="371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6"/>
      <c r="Q15" s="1352"/>
      <c r="R15" s="705"/>
      <c r="S15" s="706"/>
      <c r="T15" s="705"/>
      <c r="U15" s="706"/>
      <c r="V15" s="705"/>
      <c r="W15" s="706"/>
      <c r="X15" s="1355"/>
      <c r="Y15" s="371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6"/>
      <c r="Q17" s="1352"/>
      <c r="R17" s="705"/>
      <c r="S17" s="706"/>
      <c r="T17" s="705"/>
      <c r="U17" s="706"/>
      <c r="V17" s="705"/>
      <c r="W17" s="706"/>
      <c r="X17" s="1355"/>
      <c r="Y17" s="371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6"/>
      <c r="Q19" s="1352"/>
      <c r="R19" s="705"/>
      <c r="S19" s="706"/>
      <c r="T19" s="705"/>
      <c r="U19" s="706"/>
      <c r="V19" s="705"/>
      <c r="W19" s="706"/>
      <c r="X19" s="1355"/>
      <c r="Y19" s="371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6"/>
      <c r="Q21" s="1352"/>
      <c r="R21" s="705"/>
      <c r="S21" s="706"/>
      <c r="T21" s="705"/>
      <c r="U21" s="706"/>
      <c r="V21" s="705"/>
      <c r="W21" s="706"/>
      <c r="X21" s="1355"/>
      <c r="Y21" s="371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6"/>
      <c r="Q24" s="1352">
        <f t="shared" ref="Q24:Q36"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0"/>
      <c r="Q27" s="707" t="str">
        <f t="shared" si="11"/>
        <v>项目停车位配比</v>
      </c>
      <c r="R27" s="708" t="s">
        <v>14</v>
      </c>
      <c r="S27" s="709">
        <f t="shared" si="12"/>
        <v>100</v>
      </c>
      <c r="T27" s="708" t="s">
        <v>14</v>
      </c>
      <c r="U27" s="709">
        <f t="shared" si="13"/>
        <v>100</v>
      </c>
      <c r="V27" s="708" t="s">
        <v>14</v>
      </c>
      <c r="W27" s="709">
        <f t="shared" si="14"/>
        <v>100</v>
      </c>
      <c r="X27" s="710"/>
      <c r="Y27" s="372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0"/>
      <c r="Q28" s="1352" t="str">
        <f t="shared" si="11"/>
        <v>公共部分装修</v>
      </c>
      <c r="R28" s="705" t="s">
        <v>14</v>
      </c>
      <c r="S28" s="706">
        <f t="shared" si="12"/>
        <v>100</v>
      </c>
      <c r="T28" s="705" t="s">
        <v>14</v>
      </c>
      <c r="U28" s="706">
        <f t="shared" si="13"/>
        <v>100</v>
      </c>
      <c r="V28" s="705" t="s">
        <v>14</v>
      </c>
      <c r="W28" s="706">
        <f t="shared" si="14"/>
        <v>100</v>
      </c>
      <c r="X28" s="1355"/>
      <c r="Y28" s="372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0"/>
      <c r="Q29" s="1352" t="str">
        <f t="shared" si="11"/>
        <v>成新率</v>
      </c>
      <c r="R29" s="705" t="s">
        <v>14</v>
      </c>
      <c r="S29" s="706" t="e">
        <f t="shared" si="12"/>
        <v>#N/A</v>
      </c>
      <c r="T29" s="705" t="s">
        <v>14</v>
      </c>
      <c r="U29" s="706" t="e">
        <f t="shared" si="13"/>
        <v>#N/A</v>
      </c>
      <c r="V29" s="705" t="s">
        <v>14</v>
      </c>
      <c r="W29" s="706" t="e">
        <f t="shared" si="14"/>
        <v>#N/A</v>
      </c>
      <c r="X29" s="1355"/>
      <c r="Y29" s="372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0"/>
      <c r="Q30" s="1352" t="str">
        <f t="shared" si="11"/>
        <v>物业等级</v>
      </c>
      <c r="R30" s="705" t="s">
        <v>14</v>
      </c>
      <c r="S30" s="706">
        <f t="shared" si="12"/>
        <v>100</v>
      </c>
      <c r="T30" s="705" t="s">
        <v>14</v>
      </c>
      <c r="U30" s="706">
        <f t="shared" si="13"/>
        <v>100</v>
      </c>
      <c r="V30" s="705" t="s">
        <v>14</v>
      </c>
      <c r="W30" s="706">
        <f t="shared" si="14"/>
        <v>100</v>
      </c>
      <c r="X30" s="1355"/>
      <c r="Y30" s="372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0"/>
      <c r="Q31" s="1343" t="str">
        <f t="shared" si="11"/>
        <v>停车位面积</v>
      </c>
      <c r="R31" s="701" t="s">
        <v>14</v>
      </c>
      <c r="S31" s="702" t="e">
        <f t="shared" si="12"/>
        <v>#N/A</v>
      </c>
      <c r="T31" s="701" t="s">
        <v>14</v>
      </c>
      <c r="U31" s="702" t="e">
        <f t="shared" si="13"/>
        <v>#N/A</v>
      </c>
      <c r="V31" s="701" t="s">
        <v>14</v>
      </c>
      <c r="W31" s="702" t="e">
        <f t="shared" si="14"/>
        <v>#N/A</v>
      </c>
      <c r="X31" s="703"/>
      <c r="Y31" s="372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0" t="s">
        <v>1696</v>
      </c>
      <c r="Q32" s="1352" t="str">
        <f t="shared" si="11"/>
        <v>车位类型</v>
      </c>
      <c r="R32" s="705" t="s">
        <v>14</v>
      </c>
      <c r="S32" s="706">
        <f t="shared" si="12"/>
        <v>100</v>
      </c>
      <c r="T32" s="705" t="s">
        <v>14</v>
      </c>
      <c r="U32" s="706">
        <f t="shared" si="13"/>
        <v>100</v>
      </c>
      <c r="V32" s="705" t="s">
        <v>14</v>
      </c>
      <c r="W32" s="706">
        <f t="shared" si="14"/>
        <v>100</v>
      </c>
      <c r="X32" s="1355"/>
      <c r="Y32" s="372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0"/>
      <c r="Q33" s="1352" t="str">
        <f t="shared" si="11"/>
        <v>是否直接入户</v>
      </c>
      <c r="R33" s="705" t="s">
        <v>14</v>
      </c>
      <c r="S33" s="706">
        <f t="shared" si="12"/>
        <v>100</v>
      </c>
      <c r="T33" s="705" t="s">
        <v>14</v>
      </c>
      <c r="U33" s="706">
        <f t="shared" si="13"/>
        <v>100</v>
      </c>
      <c r="V33" s="705" t="s">
        <v>14</v>
      </c>
      <c r="W33" s="706">
        <f t="shared" si="14"/>
        <v>100</v>
      </c>
      <c r="X33" s="1355"/>
      <c r="Y33" s="372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0"/>
      <c r="Q35" s="707">
        <f t="shared" si="11"/>
        <v>111</v>
      </c>
      <c r="R35" s="708" t="s">
        <v>14</v>
      </c>
      <c r="S35" s="709">
        <f t="shared" si="12"/>
        <v>100</v>
      </c>
      <c r="T35" s="708" t="s">
        <v>14</v>
      </c>
      <c r="U35" s="709">
        <f t="shared" si="13"/>
        <v>100</v>
      </c>
      <c r="V35" s="708" t="s">
        <v>14</v>
      </c>
      <c r="W35" s="709">
        <f t="shared" si="14"/>
        <v>100</v>
      </c>
      <c r="X35" s="710"/>
      <c r="Y35" s="372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0"/>
      <c r="Q36" s="1352">
        <f t="shared" si="11"/>
        <v>111</v>
      </c>
      <c r="R36" s="705" t="s">
        <v>14</v>
      </c>
      <c r="S36" s="706">
        <f t="shared" si="12"/>
        <v>100</v>
      </c>
      <c r="T36" s="705" t="s">
        <v>14</v>
      </c>
      <c r="U36" s="706">
        <f t="shared" si="13"/>
        <v>100</v>
      </c>
      <c r="V36" s="705" t="s">
        <v>14</v>
      </c>
      <c r="W36" s="706">
        <f t="shared" si="14"/>
        <v>100</v>
      </c>
      <c r="X36" s="1355"/>
      <c r="Y36" s="3720"/>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3"/>
      <c r="M37" s="2724"/>
      <c r="N37" s="2715"/>
      <c r="O37" s="2724"/>
      <c r="P37" s="3713" t="str">
        <f>A37</f>
        <v>成交单价</v>
      </c>
      <c r="Q37" s="3713"/>
      <c r="R37" s="3714">
        <f>E37</f>
        <v>0</v>
      </c>
      <c r="S37" s="3714"/>
      <c r="T37" s="3714">
        <f>G37</f>
        <v>0</v>
      </c>
      <c r="U37" s="3714"/>
      <c r="V37" s="3714">
        <f>I37</f>
        <v>0</v>
      </c>
      <c r="W37" s="371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0" t="str">
        <f>A39</f>
        <v>估价对象XX用房的比较价值（楼面单价，元/平方米）</v>
      </c>
      <c r="Q39" s="3711"/>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29" ht="15">
      <c r="A5" s="358"/>
      <c r="B5" s="359"/>
      <c r="C5" s="3689" t="s">
        <v>1673</v>
      </c>
      <c r="D5" s="3690"/>
      <c r="E5" s="3687" t="s">
        <v>1674</v>
      </c>
      <c r="F5" s="3688"/>
      <c r="G5" s="3689" t="s">
        <v>1675</v>
      </c>
      <c r="H5" s="3690"/>
      <c r="I5" s="3689" t="s">
        <v>1676</v>
      </c>
      <c r="J5" s="3690"/>
      <c r="K5" s="559"/>
      <c r="L5" s="2714"/>
      <c r="M5" s="2715"/>
      <c r="N5" s="2715"/>
      <c r="O5" s="2715"/>
      <c r="P5" s="3702"/>
      <c r="Q5" s="3703"/>
      <c r="R5" s="3685"/>
      <c r="S5" s="3686"/>
      <c r="T5" s="3685"/>
      <c r="U5" s="3686"/>
      <c r="V5" s="3708"/>
      <c r="W5" s="3708"/>
      <c r="X5" s="1355"/>
      <c r="Y5" s="3685"/>
      <c r="Z5" s="3686"/>
      <c r="AA5" s="3679"/>
      <c r="AB5" s="3679"/>
      <c r="AC5" s="3679"/>
    </row>
    <row r="6" spans="1:29" ht="15.75" thickBot="1">
      <c r="A6" s="360"/>
      <c r="B6" s="361"/>
      <c r="C6" s="3691" t="s">
        <v>1677</v>
      </c>
      <c r="D6" s="3692"/>
      <c r="E6" s="3693" t="s">
        <v>1677</v>
      </c>
      <c r="F6" s="3694"/>
      <c r="G6" s="3691" t="s">
        <v>1677</v>
      </c>
      <c r="H6" s="3692"/>
      <c r="I6" s="3691" t="s">
        <v>1677</v>
      </c>
      <c r="J6" s="3692"/>
      <c r="K6" s="559" t="s">
        <v>1678</v>
      </c>
      <c r="L6" s="2714"/>
      <c r="M6" s="2715"/>
      <c r="N6" s="2715"/>
      <c r="O6" s="2715"/>
      <c r="P6" s="3704"/>
      <c r="Q6" s="3705"/>
      <c r="R6" s="3685"/>
      <c r="S6" s="3686"/>
      <c r="T6" s="3706"/>
      <c r="U6" s="3707"/>
      <c r="V6" s="3708"/>
      <c r="W6" s="3708"/>
      <c r="X6" s="1355"/>
      <c r="Y6" s="3706"/>
      <c r="Z6" s="3707"/>
      <c r="AA6" s="3680"/>
      <c r="AB6" s="3680"/>
      <c r="AC6" s="3680"/>
    </row>
    <row r="7" spans="1:29" s="108" customFormat="1" ht="15.75" thickBot="1">
      <c r="A7" s="362" t="s">
        <v>1679</v>
      </c>
      <c r="B7" s="363"/>
      <c r="C7" s="364">
        <f>'数据-取费表'!B2</f>
        <v>45799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1" t="s">
        <v>1680</v>
      </c>
      <c r="Q7" s="3709"/>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1" t="s">
        <v>1683</v>
      </c>
      <c r="Q8" s="3682"/>
      <c r="R8" s="701" t="s">
        <v>14</v>
      </c>
      <c r="S8" s="702">
        <f t="shared" si="0"/>
        <v>100</v>
      </c>
      <c r="T8" s="701" t="s">
        <v>14</v>
      </c>
      <c r="U8" s="702">
        <f t="shared" si="1"/>
        <v>100</v>
      </c>
      <c r="V8" s="701" t="s">
        <v>14</v>
      </c>
      <c r="W8" s="702">
        <f t="shared" si="2"/>
        <v>100</v>
      </c>
      <c r="X8" s="703"/>
      <c r="Y8" s="3681" t="s">
        <v>1683</v>
      </c>
      <c r="Z8" s="368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3"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3"/>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3"/>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5" t="s">
        <v>1691</v>
      </c>
      <c r="Q14" s="1352" t="str">
        <f t="shared" si="6"/>
        <v>交通便捷度</v>
      </c>
      <c r="R14" s="705" t="s">
        <v>14</v>
      </c>
      <c r="S14" s="706">
        <f t="shared" si="0"/>
        <v>100</v>
      </c>
      <c r="T14" s="705" t="s">
        <v>14</v>
      </c>
      <c r="U14" s="706">
        <f t="shared" si="1"/>
        <v>100</v>
      </c>
      <c r="V14" s="705" t="s">
        <v>14</v>
      </c>
      <c r="W14" s="706">
        <f t="shared" si="2"/>
        <v>100</v>
      </c>
      <c r="X14" s="1355"/>
      <c r="Y14" s="371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6"/>
      <c r="Q15" s="1352"/>
      <c r="R15" s="705"/>
      <c r="S15" s="706"/>
      <c r="T15" s="705"/>
      <c r="U15" s="706"/>
      <c r="V15" s="705"/>
      <c r="W15" s="706"/>
      <c r="X15" s="1355"/>
      <c r="Y15" s="371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6"/>
      <c r="Q17" s="1352"/>
      <c r="R17" s="705"/>
      <c r="S17" s="706"/>
      <c r="T17" s="705"/>
      <c r="U17" s="706"/>
      <c r="V17" s="705"/>
      <c r="W17" s="706"/>
      <c r="X17" s="1355"/>
      <c r="Y17" s="371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6"/>
      <c r="Q19" s="1352"/>
      <c r="R19" s="705"/>
      <c r="S19" s="706"/>
      <c r="T19" s="705"/>
      <c r="U19" s="706"/>
      <c r="V19" s="705"/>
      <c r="W19" s="706"/>
      <c r="X19" s="1355"/>
      <c r="Y19" s="371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6"/>
      <c r="Q21" s="1352"/>
      <c r="R21" s="705"/>
      <c r="S21" s="706"/>
      <c r="T21" s="705"/>
      <c r="U21" s="706"/>
      <c r="V21" s="705"/>
      <c r="W21" s="706"/>
      <c r="X21" s="1355"/>
      <c r="Y21" s="371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6"/>
      <c r="Q24" s="1352">
        <f t="shared" ref="Q24:Q34"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0"/>
      <c r="Q27" s="707" t="str">
        <f t="shared" si="11"/>
        <v>成新率</v>
      </c>
      <c r="R27" s="708" t="s">
        <v>14</v>
      </c>
      <c r="S27" s="709" t="e">
        <f t="shared" si="12"/>
        <v>#N/A</v>
      </c>
      <c r="T27" s="708" t="s">
        <v>14</v>
      </c>
      <c r="U27" s="709" t="e">
        <f t="shared" si="13"/>
        <v>#N/A</v>
      </c>
      <c r="V27" s="708" t="s">
        <v>14</v>
      </c>
      <c r="W27" s="709" t="e">
        <f t="shared" si="14"/>
        <v>#N/A</v>
      </c>
      <c r="X27" s="710"/>
      <c r="Y27" s="372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0"/>
      <c r="Q28" s="1352" t="str">
        <f t="shared" si="11"/>
        <v>物业等级</v>
      </c>
      <c r="R28" s="705" t="s">
        <v>14</v>
      </c>
      <c r="S28" s="706">
        <f t="shared" si="12"/>
        <v>100</v>
      </c>
      <c r="T28" s="705" t="s">
        <v>14</v>
      </c>
      <c r="U28" s="706">
        <f t="shared" si="13"/>
        <v>100</v>
      </c>
      <c r="V28" s="705" t="s">
        <v>14</v>
      </c>
      <c r="W28" s="706">
        <f t="shared" si="14"/>
        <v>100</v>
      </c>
      <c r="X28" s="1355"/>
      <c r="Y28" s="372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0"/>
      <c r="Q29" s="1352" t="str">
        <f t="shared" si="11"/>
        <v>有无电梯</v>
      </c>
      <c r="R29" s="705" t="s">
        <v>14</v>
      </c>
      <c r="S29" s="706">
        <f t="shared" si="12"/>
        <v>100</v>
      </c>
      <c r="T29" s="705" t="s">
        <v>14</v>
      </c>
      <c r="U29" s="706">
        <f t="shared" si="13"/>
        <v>100</v>
      </c>
      <c r="V29" s="705" t="s">
        <v>14</v>
      </c>
      <c r="W29" s="706">
        <f t="shared" si="14"/>
        <v>100</v>
      </c>
      <c r="X29" s="1355"/>
      <c r="Y29" s="372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0"/>
      <c r="Q30" s="1352" t="str">
        <f t="shared" si="11"/>
        <v>建筑面积</v>
      </c>
      <c r="R30" s="705" t="s">
        <v>14</v>
      </c>
      <c r="S30" s="706" t="e">
        <f t="shared" si="12"/>
        <v>#N/A</v>
      </c>
      <c r="T30" s="705" t="s">
        <v>14</v>
      </c>
      <c r="U30" s="706" t="e">
        <f t="shared" si="13"/>
        <v>#N/A</v>
      </c>
      <c r="V30" s="705" t="s">
        <v>14</v>
      </c>
      <c r="W30" s="706" t="e">
        <f t="shared" si="14"/>
        <v>#N/A</v>
      </c>
      <c r="X30" s="1355"/>
      <c r="Y30" s="372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0"/>
      <c r="Q31" s="1343" t="str">
        <f t="shared" si="11"/>
        <v>是否封闭</v>
      </c>
      <c r="R31" s="701" t="s">
        <v>14</v>
      </c>
      <c r="S31" s="702">
        <f t="shared" si="12"/>
        <v>100</v>
      </c>
      <c r="T31" s="701" t="s">
        <v>14</v>
      </c>
      <c r="U31" s="702">
        <f t="shared" si="13"/>
        <v>100</v>
      </c>
      <c r="V31" s="701" t="s">
        <v>14</v>
      </c>
      <c r="W31" s="702">
        <f t="shared" si="14"/>
        <v>100</v>
      </c>
      <c r="X31" s="703"/>
      <c r="Y31" s="372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0" t="s">
        <v>1696</v>
      </c>
      <c r="Q32" s="1352">
        <f t="shared" si="11"/>
        <v>111</v>
      </c>
      <c r="R32" s="705" t="s">
        <v>14</v>
      </c>
      <c r="S32" s="706">
        <f t="shared" si="12"/>
        <v>100</v>
      </c>
      <c r="T32" s="705" t="s">
        <v>14</v>
      </c>
      <c r="U32" s="706">
        <f t="shared" si="13"/>
        <v>100</v>
      </c>
      <c r="V32" s="705" t="s">
        <v>14</v>
      </c>
      <c r="W32" s="706">
        <f t="shared" si="14"/>
        <v>100</v>
      </c>
      <c r="X32" s="1355"/>
      <c r="Y32" s="372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0"/>
      <c r="Q33" s="1352">
        <f t="shared" si="11"/>
        <v>111</v>
      </c>
      <c r="R33" s="705" t="s">
        <v>14</v>
      </c>
      <c r="S33" s="706">
        <f t="shared" si="12"/>
        <v>100</v>
      </c>
      <c r="T33" s="705" t="s">
        <v>14</v>
      </c>
      <c r="U33" s="706">
        <f t="shared" si="13"/>
        <v>100</v>
      </c>
      <c r="V33" s="705" t="s">
        <v>14</v>
      </c>
      <c r="W33" s="706">
        <f t="shared" si="14"/>
        <v>100</v>
      </c>
      <c r="X33" s="1355"/>
      <c r="Y33" s="372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3" t="str">
        <f>A35</f>
        <v>成交单价（元/平方米）</v>
      </c>
      <c r="Q35" s="3713"/>
      <c r="R35" s="3714">
        <f>E35</f>
        <v>0</v>
      </c>
      <c r="S35" s="3714"/>
      <c r="T35" s="3714">
        <f>G35</f>
        <v>0</v>
      </c>
      <c r="U35" s="3714"/>
      <c r="V35" s="3714">
        <f>I35</f>
        <v>0</v>
      </c>
      <c r="W35" s="371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0" t="str">
        <f>A37</f>
        <v>估价对象XX用房的比较价值（楼面单价，元/平方米）</v>
      </c>
      <c r="Q37" s="3711"/>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30" ht="15">
      <c r="A5" s="358"/>
      <c r="B5" s="359"/>
      <c r="C5" s="3689" t="s">
        <v>1673</v>
      </c>
      <c r="D5" s="3690"/>
      <c r="E5" s="3687" t="s">
        <v>1674</v>
      </c>
      <c r="F5" s="3688"/>
      <c r="G5" s="3689" t="s">
        <v>1675</v>
      </c>
      <c r="H5" s="3690"/>
      <c r="I5" s="3689" t="s">
        <v>1676</v>
      </c>
      <c r="J5" s="3690"/>
      <c r="K5" s="559"/>
      <c r="L5" s="2714"/>
      <c r="M5" s="2715"/>
      <c r="N5" s="2715"/>
      <c r="O5" s="2715"/>
      <c r="P5" s="3702"/>
      <c r="Q5" s="3703"/>
      <c r="R5" s="3685"/>
      <c r="S5" s="3686"/>
      <c r="T5" s="3685"/>
      <c r="U5" s="3686"/>
      <c r="V5" s="3708"/>
      <c r="W5" s="3708"/>
      <c r="X5" s="1355"/>
      <c r="Y5" s="3685"/>
      <c r="Z5" s="3686"/>
      <c r="AA5" s="3679"/>
      <c r="AB5" s="3679"/>
      <c r="AC5" s="3679"/>
    </row>
    <row r="6" spans="1:30" ht="15.75" thickBot="1">
      <c r="A6" s="360"/>
      <c r="B6" s="361"/>
      <c r="C6" s="3691" t="s">
        <v>1677</v>
      </c>
      <c r="D6" s="3692"/>
      <c r="E6" s="3693" t="s">
        <v>1677</v>
      </c>
      <c r="F6" s="3694"/>
      <c r="G6" s="3691" t="s">
        <v>1677</v>
      </c>
      <c r="H6" s="3692"/>
      <c r="I6" s="3691" t="s">
        <v>1677</v>
      </c>
      <c r="J6" s="3692"/>
      <c r="K6" s="559" t="s">
        <v>1678</v>
      </c>
      <c r="L6" s="2714"/>
      <c r="M6" s="2715"/>
      <c r="N6" s="2715"/>
      <c r="O6" s="2715"/>
      <c r="P6" s="3704"/>
      <c r="Q6" s="3705"/>
      <c r="R6" s="3685"/>
      <c r="S6" s="3686"/>
      <c r="T6" s="3706"/>
      <c r="U6" s="3707"/>
      <c r="V6" s="3708"/>
      <c r="W6" s="3708"/>
      <c r="X6" s="1355"/>
      <c r="Y6" s="3706"/>
      <c r="Z6" s="3707"/>
      <c r="AA6" s="3680"/>
      <c r="AB6" s="3680"/>
      <c r="AC6" s="3680"/>
    </row>
    <row r="7" spans="1:30" s="108" customFormat="1" ht="15.75" thickBot="1">
      <c r="A7" s="362" t="s">
        <v>1679</v>
      </c>
      <c r="B7" s="363"/>
      <c r="C7" s="364">
        <f>'数据-取费表'!B2</f>
        <v>45799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1" t="s">
        <v>1683</v>
      </c>
      <c r="Q8" s="3682"/>
      <c r="R8" s="701" t="s">
        <v>14</v>
      </c>
      <c r="S8" s="702">
        <f t="shared" si="0"/>
        <v>0</v>
      </c>
      <c r="T8" s="701" t="s">
        <v>14</v>
      </c>
      <c r="U8" s="702">
        <f t="shared" si="1"/>
        <v>0</v>
      </c>
      <c r="V8" s="701" t="s">
        <v>14</v>
      </c>
      <c r="W8" s="702">
        <f t="shared" si="2"/>
        <v>0</v>
      </c>
      <c r="X8" s="703"/>
      <c r="Y8" s="3681" t="s">
        <v>1683</v>
      </c>
      <c r="Z8" s="368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3"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156</v>
      </c>
      <c r="G10" s="414"/>
      <c r="H10" s="127">
        <f>ROUND(100/'数据-取费表'!G16,0)</f>
        <v>156</v>
      </c>
      <c r="I10" s="414"/>
      <c r="J10" s="127">
        <f>ROUND(100/'数据-取费表'!G16,0)</f>
        <v>156</v>
      </c>
      <c r="K10" s="620"/>
      <c r="L10" s="2718"/>
      <c r="M10" s="2719"/>
      <c r="N10" s="2719"/>
      <c r="O10" s="2772"/>
      <c r="P10" s="3713"/>
      <c r="Q10" s="1343" t="str">
        <f t="shared" si="6"/>
        <v>土地使用年限（年）</v>
      </c>
      <c r="R10" s="701" t="s">
        <v>14</v>
      </c>
      <c r="S10" s="702">
        <f t="shared" si="0"/>
        <v>156</v>
      </c>
      <c r="T10" s="701" t="s">
        <v>14</v>
      </c>
      <c r="U10" s="702">
        <f t="shared" si="1"/>
        <v>156</v>
      </c>
      <c r="V10" s="701" t="s">
        <v>14</v>
      </c>
      <c r="W10" s="702">
        <f t="shared" si="2"/>
        <v>156</v>
      </c>
      <c r="X10" s="703"/>
      <c r="Y10" s="3625"/>
      <c r="Z10" s="52" t="str">
        <f t="shared" si="7"/>
        <v>土地使用年限（年）</v>
      </c>
      <c r="AA10" s="704">
        <f t="shared" si="3"/>
        <v>0.64102564102564108</v>
      </c>
      <c r="AB10" s="704">
        <f t="shared" si="4"/>
        <v>0.64102564102564108</v>
      </c>
      <c r="AC10" s="704">
        <f t="shared" si="5"/>
        <v>0.64102564102564108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3"/>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5" t="s">
        <v>1691</v>
      </c>
      <c r="Q15" s="1352" t="str">
        <f t="shared" si="6"/>
        <v>居住社区成熟度</v>
      </c>
      <c r="R15" s="705" t="s">
        <v>14</v>
      </c>
      <c r="S15" s="706">
        <f t="shared" si="0"/>
        <v>100</v>
      </c>
      <c r="T15" s="705" t="s">
        <v>14</v>
      </c>
      <c r="U15" s="706">
        <f t="shared" si="1"/>
        <v>100</v>
      </c>
      <c r="V15" s="705" t="s">
        <v>14</v>
      </c>
      <c r="W15" s="706">
        <f t="shared" si="2"/>
        <v>100</v>
      </c>
      <c r="X15" s="1355"/>
      <c r="Y15" s="371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6"/>
      <c r="Q16" s="1352"/>
      <c r="R16" s="705"/>
      <c r="S16" s="706"/>
      <c r="T16" s="705"/>
      <c r="U16" s="706"/>
      <c r="V16" s="705"/>
      <c r="W16" s="706"/>
      <c r="X16" s="1355"/>
      <c r="Y16" s="371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6"/>
      <c r="Q17" s="1352" t="str">
        <f>B17</f>
        <v>商业繁华度</v>
      </c>
      <c r="R17" s="705" t="s">
        <v>14</v>
      </c>
      <c r="S17" s="706">
        <f>F17</f>
        <v>100</v>
      </c>
      <c r="T17" s="705" t="s">
        <v>14</v>
      </c>
      <c r="U17" s="706">
        <f>H17</f>
        <v>100</v>
      </c>
      <c r="V17" s="705" t="s">
        <v>14</v>
      </c>
      <c r="W17" s="706">
        <f>J17</f>
        <v>100</v>
      </c>
      <c r="X17" s="1355"/>
      <c r="Y17" s="371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6"/>
      <c r="Q18" s="1352"/>
      <c r="R18" s="705"/>
      <c r="S18" s="706"/>
      <c r="T18" s="705"/>
      <c r="U18" s="706"/>
      <c r="V18" s="705"/>
      <c r="W18" s="706"/>
      <c r="X18" s="1355"/>
      <c r="Y18" s="371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6"/>
      <c r="Q19" s="1352" t="str">
        <f>B19</f>
        <v>办公集聚程度</v>
      </c>
      <c r="R19" s="705" t="s">
        <v>14</v>
      </c>
      <c r="S19" s="706">
        <f>F19</f>
        <v>100</v>
      </c>
      <c r="T19" s="705" t="s">
        <v>14</v>
      </c>
      <c r="U19" s="706">
        <f>H19</f>
        <v>100</v>
      </c>
      <c r="V19" s="705" t="s">
        <v>14</v>
      </c>
      <c r="W19" s="706">
        <f>J19</f>
        <v>100</v>
      </c>
      <c r="X19" s="1355"/>
      <c r="Y19" s="371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6"/>
      <c r="Q20" s="1352"/>
      <c r="R20" s="705"/>
      <c r="S20" s="706"/>
      <c r="T20" s="705"/>
      <c r="U20" s="706"/>
      <c r="V20" s="705"/>
      <c r="W20" s="706"/>
      <c r="X20" s="1355"/>
      <c r="Y20" s="371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6"/>
      <c r="Q21" s="1352" t="str">
        <f>B21</f>
        <v>交通便捷度</v>
      </c>
      <c r="R21" s="705" t="s">
        <v>14</v>
      </c>
      <c r="S21" s="706">
        <f>F21</f>
        <v>100</v>
      </c>
      <c r="T21" s="705" t="s">
        <v>14</v>
      </c>
      <c r="U21" s="706">
        <f>H21</f>
        <v>100</v>
      </c>
      <c r="V21" s="705" t="s">
        <v>14</v>
      </c>
      <c r="W21" s="706">
        <f>J21</f>
        <v>100</v>
      </c>
      <c r="X21" s="1355"/>
      <c r="Y21" s="371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6"/>
      <c r="Q22" s="1352"/>
      <c r="R22" s="705"/>
      <c r="S22" s="706"/>
      <c r="T22" s="705"/>
      <c r="U22" s="706"/>
      <c r="V22" s="705"/>
      <c r="W22" s="706"/>
      <c r="X22" s="1355"/>
      <c r="Y22" s="371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6"/>
      <c r="Q23" s="1352" t="str">
        <f t="shared" ref="Q23:Q37" si="8">B23</f>
        <v>区域土地利用方向</v>
      </c>
      <c r="R23" s="705" t="s">
        <v>14</v>
      </c>
      <c r="S23" s="706">
        <f>F23</f>
        <v>100</v>
      </c>
      <c r="T23" s="705" t="s">
        <v>14</v>
      </c>
      <c r="U23" s="706">
        <f>H23</f>
        <v>100</v>
      </c>
      <c r="V23" s="705" t="s">
        <v>14</v>
      </c>
      <c r="W23" s="706">
        <f>J23</f>
        <v>100</v>
      </c>
      <c r="X23" s="1355"/>
      <c r="Y23" s="371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6"/>
      <c r="Q24" s="1352"/>
      <c r="R24" s="705"/>
      <c r="S24" s="706"/>
      <c r="T24" s="705"/>
      <c r="U24" s="706"/>
      <c r="V24" s="705"/>
      <c r="W24" s="706"/>
      <c r="X24" s="1355"/>
      <c r="Y24" s="371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6"/>
      <c r="Q25" s="1352" t="str">
        <f t="shared" si="8"/>
        <v>自然及人文环境状况</v>
      </c>
      <c r="R25" s="705" t="s">
        <v>14</v>
      </c>
      <c r="S25" s="706">
        <f>F25</f>
        <v>100</v>
      </c>
      <c r="T25" s="705" t="s">
        <v>14</v>
      </c>
      <c r="U25" s="706">
        <f>H25</f>
        <v>100</v>
      </c>
      <c r="V25" s="705" t="s">
        <v>14</v>
      </c>
      <c r="W25" s="706">
        <f>J25</f>
        <v>100</v>
      </c>
      <c r="X25" s="1355"/>
      <c r="Y25" s="371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6"/>
      <c r="Q26" s="1352"/>
      <c r="R26" s="705"/>
      <c r="S26" s="706"/>
      <c r="T26" s="705"/>
      <c r="U26" s="706"/>
      <c r="V26" s="705"/>
      <c r="W26" s="706"/>
      <c r="X26" s="1355"/>
      <c r="Y26" s="371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6"/>
      <c r="Q27" s="1343" t="str">
        <f t="shared" si="8"/>
        <v>公共配套设施</v>
      </c>
      <c r="R27" s="701" t="s">
        <v>14</v>
      </c>
      <c r="S27" s="702">
        <f>F27</f>
        <v>100</v>
      </c>
      <c r="T27" s="701" t="s">
        <v>14</v>
      </c>
      <c r="U27" s="702">
        <f>H27</f>
        <v>100</v>
      </c>
      <c r="V27" s="701" t="s">
        <v>14</v>
      </c>
      <c r="W27" s="702">
        <f>J27</f>
        <v>100</v>
      </c>
      <c r="X27" s="703"/>
      <c r="Y27" s="371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6"/>
      <c r="Q28" s="1343"/>
      <c r="R28" s="701"/>
      <c r="S28" s="702"/>
      <c r="T28" s="701"/>
      <c r="U28" s="702"/>
      <c r="V28" s="701"/>
      <c r="W28" s="702"/>
      <c r="X28" s="703"/>
      <c r="Y28" s="371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6"/>
      <c r="Q29" s="1343" t="str">
        <f t="shared" ref="Q29" si="9">B29</f>
        <v>基础设施水平</v>
      </c>
      <c r="R29" s="701" t="s">
        <v>14</v>
      </c>
      <c r="S29" s="702">
        <f>F29</f>
        <v>100</v>
      </c>
      <c r="T29" s="701" t="s">
        <v>14</v>
      </c>
      <c r="U29" s="702">
        <f>H29</f>
        <v>100</v>
      </c>
      <c r="V29" s="701" t="s">
        <v>14</v>
      </c>
      <c r="W29" s="702">
        <f>J29</f>
        <v>100</v>
      </c>
      <c r="X29" s="703"/>
      <c r="Y29" s="371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6"/>
      <c r="Q30" s="1343"/>
      <c r="R30" s="701"/>
      <c r="S30" s="702"/>
      <c r="T30" s="701"/>
      <c r="U30" s="702"/>
      <c r="V30" s="701"/>
      <c r="W30" s="702"/>
      <c r="X30" s="703"/>
      <c r="Y30" s="371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6"/>
      <c r="Q32" s="1352" t="str">
        <f t="shared" si="8"/>
        <v>毗邻道路的类型与等级</v>
      </c>
      <c r="R32" s="705" t="s">
        <v>14</v>
      </c>
      <c r="S32" s="706">
        <f t="shared" si="10"/>
        <v>100</v>
      </c>
      <c r="T32" s="705" t="s">
        <v>14</v>
      </c>
      <c r="U32" s="706">
        <f t="shared" si="11"/>
        <v>100</v>
      </c>
      <c r="V32" s="705" t="s">
        <v>14</v>
      </c>
      <c r="W32" s="706">
        <f t="shared" si="12"/>
        <v>100</v>
      </c>
      <c r="X32" s="1355"/>
      <c r="Y32" s="371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6"/>
      <c r="Q33" s="1352"/>
      <c r="R33" s="705"/>
      <c r="S33" s="706"/>
      <c r="T33" s="705"/>
      <c r="U33" s="706"/>
      <c r="V33" s="705"/>
      <c r="W33" s="706"/>
      <c r="X33" s="1355"/>
      <c r="Y33" s="371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6"/>
      <c r="Q34" s="1352" t="str">
        <f t="shared" si="8"/>
        <v>土地级别</v>
      </c>
      <c r="R34" s="705" t="s">
        <v>14</v>
      </c>
      <c r="S34" s="706">
        <f t="shared" si="10"/>
        <v>100</v>
      </c>
      <c r="T34" s="705" t="s">
        <v>14</v>
      </c>
      <c r="U34" s="706">
        <f t="shared" si="11"/>
        <v>100</v>
      </c>
      <c r="V34" s="705" t="s">
        <v>14</v>
      </c>
      <c r="W34" s="706">
        <f t="shared" si="12"/>
        <v>100</v>
      </c>
      <c r="X34" s="1355"/>
      <c r="Y34" s="371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6"/>
      <c r="Q35" s="1352">
        <f t="shared" si="8"/>
        <v>111</v>
      </c>
      <c r="R35" s="705" t="s">
        <v>14</v>
      </c>
      <c r="S35" s="706">
        <f t="shared" si="10"/>
        <v>100</v>
      </c>
      <c r="T35" s="705" t="s">
        <v>14</v>
      </c>
      <c r="U35" s="706">
        <f t="shared" si="11"/>
        <v>100</v>
      </c>
      <c r="V35" s="705" t="s">
        <v>14</v>
      </c>
      <c r="W35" s="706">
        <f t="shared" si="12"/>
        <v>100</v>
      </c>
      <c r="X35" s="1355"/>
      <c r="Y35" s="371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9" t="s">
        <v>1696</v>
      </c>
      <c r="Q36" s="1352">
        <f t="shared" si="8"/>
        <v>111</v>
      </c>
      <c r="R36" s="705" t="s">
        <v>14</v>
      </c>
      <c r="S36" s="706">
        <f t="shared" si="10"/>
        <v>100</v>
      </c>
      <c r="T36" s="705" t="s">
        <v>14</v>
      </c>
      <c r="U36" s="706">
        <f t="shared" si="11"/>
        <v>100</v>
      </c>
      <c r="V36" s="705" t="s">
        <v>14</v>
      </c>
      <c r="W36" s="706">
        <f t="shared" si="12"/>
        <v>100</v>
      </c>
      <c r="X36" s="1355"/>
      <c r="Y36" s="372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0"/>
      <c r="Q37" s="1352">
        <f t="shared" si="8"/>
        <v>111</v>
      </c>
      <c r="R37" s="708" t="s">
        <v>14</v>
      </c>
      <c r="S37" s="709">
        <f t="shared" si="10"/>
        <v>100</v>
      </c>
      <c r="T37" s="708" t="s">
        <v>14</v>
      </c>
      <c r="U37" s="709">
        <f t="shared" si="11"/>
        <v>100</v>
      </c>
      <c r="V37" s="708" t="s">
        <v>14</v>
      </c>
      <c r="W37" s="709">
        <f t="shared" si="12"/>
        <v>100</v>
      </c>
      <c r="X37" s="710"/>
      <c r="Y37" s="372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0"/>
      <c r="Q38" s="1352" t="str">
        <f>B38</f>
        <v>宗地面积</v>
      </c>
      <c r="R38" s="705" t="s">
        <v>14</v>
      </c>
      <c r="S38" s="706" t="e">
        <f t="shared" si="10"/>
        <v>#N/A</v>
      </c>
      <c r="T38" s="705" t="s">
        <v>14</v>
      </c>
      <c r="U38" s="706" t="e">
        <f t="shared" si="11"/>
        <v>#N/A</v>
      </c>
      <c r="V38" s="705" t="s">
        <v>14</v>
      </c>
      <c r="W38" s="706" t="e">
        <f t="shared" si="12"/>
        <v>#N/A</v>
      </c>
      <c r="X38" s="1355"/>
      <c r="Y38" s="372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0"/>
      <c r="Q39" s="1352" t="str">
        <f t="shared" ref="Q39:Q45" si="14">B39</f>
        <v>宗地形状</v>
      </c>
      <c r="R39" s="705" t="s">
        <v>14</v>
      </c>
      <c r="S39" s="706">
        <f t="shared" si="10"/>
        <v>100</v>
      </c>
      <c r="T39" s="705" t="s">
        <v>14</v>
      </c>
      <c r="U39" s="706">
        <f t="shared" si="11"/>
        <v>100</v>
      </c>
      <c r="V39" s="705" t="s">
        <v>14</v>
      </c>
      <c r="W39" s="706">
        <f t="shared" si="12"/>
        <v>100</v>
      </c>
      <c r="X39" s="1355"/>
      <c r="Y39" s="372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0"/>
      <c r="Q40" s="1352" t="str">
        <f t="shared" si="14"/>
        <v>临街宽度及深度</v>
      </c>
      <c r="R40" s="705" t="s">
        <v>14</v>
      </c>
      <c r="S40" s="706">
        <f t="shared" si="10"/>
        <v>100</v>
      </c>
      <c r="T40" s="705" t="s">
        <v>14</v>
      </c>
      <c r="U40" s="706">
        <f t="shared" si="11"/>
        <v>100</v>
      </c>
      <c r="V40" s="705" t="s">
        <v>14</v>
      </c>
      <c r="W40" s="706">
        <f t="shared" si="12"/>
        <v>100</v>
      </c>
      <c r="X40" s="1355"/>
      <c r="Y40" s="372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20"/>
      <c r="Q41" s="1352" t="str">
        <f t="shared" si="14"/>
        <v>宗地开发程度</v>
      </c>
      <c r="R41" s="701" t="s">
        <v>14</v>
      </c>
      <c r="S41" s="702">
        <f t="shared" si="10"/>
        <v>100</v>
      </c>
      <c r="T41" s="701" t="s">
        <v>14</v>
      </c>
      <c r="U41" s="702">
        <f t="shared" si="11"/>
        <v>100</v>
      </c>
      <c r="V41" s="701" t="s">
        <v>14</v>
      </c>
      <c r="W41" s="702">
        <f t="shared" si="12"/>
        <v>100</v>
      </c>
      <c r="X41" s="703"/>
      <c r="Y41" s="372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0" t="s">
        <v>1696</v>
      </c>
      <c r="Q42" s="1352" t="str">
        <f t="shared" si="14"/>
        <v>工程地质条件</v>
      </c>
      <c r="R42" s="705" t="s">
        <v>14</v>
      </c>
      <c r="S42" s="706">
        <f t="shared" si="10"/>
        <v>100</v>
      </c>
      <c r="T42" s="705" t="s">
        <v>14</v>
      </c>
      <c r="U42" s="706">
        <f t="shared" si="11"/>
        <v>100</v>
      </c>
      <c r="V42" s="705" t="s">
        <v>14</v>
      </c>
      <c r="W42" s="706">
        <f t="shared" si="12"/>
        <v>100</v>
      </c>
      <c r="X42" s="1355"/>
      <c r="Y42" s="372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0"/>
      <c r="Q43" s="1352">
        <f t="shared" si="14"/>
        <v>111</v>
      </c>
      <c r="R43" s="705" t="s">
        <v>14</v>
      </c>
      <c r="S43" s="706">
        <f t="shared" si="10"/>
        <v>100</v>
      </c>
      <c r="T43" s="705" t="s">
        <v>14</v>
      </c>
      <c r="U43" s="706">
        <f t="shared" si="11"/>
        <v>100</v>
      </c>
      <c r="V43" s="705" t="s">
        <v>14</v>
      </c>
      <c r="W43" s="706">
        <f t="shared" si="12"/>
        <v>100</v>
      </c>
      <c r="X43" s="1355"/>
      <c r="Y43" s="372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0"/>
      <c r="Q44" s="1352">
        <f t="shared" si="14"/>
        <v>111</v>
      </c>
      <c r="R44" s="705" t="s">
        <v>14</v>
      </c>
      <c r="S44" s="706">
        <f t="shared" si="10"/>
        <v>100</v>
      </c>
      <c r="T44" s="705" t="s">
        <v>14</v>
      </c>
      <c r="U44" s="706">
        <f t="shared" si="11"/>
        <v>100</v>
      </c>
      <c r="V44" s="705" t="s">
        <v>14</v>
      </c>
      <c r="W44" s="706">
        <f t="shared" si="12"/>
        <v>100</v>
      </c>
      <c r="X44" s="1355"/>
      <c r="Y44" s="372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0"/>
      <c r="Q45" s="1352">
        <f t="shared" si="14"/>
        <v>111</v>
      </c>
      <c r="R45" s="708" t="s">
        <v>14</v>
      </c>
      <c r="S45" s="709">
        <f t="shared" si="10"/>
        <v>100</v>
      </c>
      <c r="T45" s="708" t="s">
        <v>14</v>
      </c>
      <c r="U45" s="709">
        <f t="shared" si="11"/>
        <v>100</v>
      </c>
      <c r="V45" s="708" t="s">
        <v>14</v>
      </c>
      <c r="W45" s="709">
        <f t="shared" si="12"/>
        <v>100</v>
      </c>
      <c r="X45" s="710"/>
      <c r="Y45" s="372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13" t="str">
        <f>A46</f>
        <v>成交单价</v>
      </c>
      <c r="Q46" s="3713"/>
      <c r="R46" s="3708">
        <f>E46</f>
        <v>0</v>
      </c>
      <c r="S46" s="3708"/>
      <c r="T46" s="3708">
        <f>G46</f>
        <v>0</v>
      </c>
      <c r="U46" s="3708"/>
      <c r="V46" s="3708">
        <f>I46</f>
        <v>0</v>
      </c>
      <c r="W46" s="370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13" t="str">
        <f>A47</f>
        <v>比较价值（元/平方米）</v>
      </c>
      <c r="Q47" s="3713"/>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10" t="str">
        <f>A48</f>
        <v>估价对象XX用房的比较价值（楼面单价，元/平方米）</v>
      </c>
      <c r="Q48" s="3711"/>
      <c r="R48" s="3742" t="e">
        <f>ROUND(IF(D47="简单平均",AVERAGE(R47:W47),R47*F47+T47*H47+V47*J47),0)</f>
        <v>#DIV/0!</v>
      </c>
      <c r="S48" s="3742"/>
      <c r="T48" s="3742"/>
      <c r="U48" s="3742"/>
      <c r="V48" s="3742"/>
      <c r="W48" s="374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6" t="s">
        <v>1887</v>
      </c>
      <c r="H55" s="374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212.15</v>
      </c>
      <c r="F56" s="886" t="e">
        <f t="shared" ref="F56:F64" si="15">ROUND(B56*E56/10000,0)</f>
        <v>#DIV/0!</v>
      </c>
      <c r="G56" s="3695"/>
      <c r="H56" s="371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0.7</v>
      </c>
      <c r="D57" s="945">
        <v>0.25</v>
      </c>
      <c r="E57" s="642"/>
      <c r="F57" s="886" t="e">
        <f t="shared" si="15"/>
        <v>#DIV/0!</v>
      </c>
      <c r="G57" s="3005" t="s">
        <v>1892</v>
      </c>
      <c r="H57" s="887" t="str">
        <f>项目基本情况!B37</f>
        <v>一级</v>
      </c>
      <c r="I57" s="891">
        <f>SUMIF(修正!A57:A68,H57,修正!B57:B68)</f>
        <v>0.7</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0.4</v>
      </c>
      <c r="D58" s="945">
        <v>0.25</v>
      </c>
      <c r="E58" s="642"/>
      <c r="F58" s="886" t="e">
        <f t="shared" si="15"/>
        <v>#DIV/0!</v>
      </c>
      <c r="G58" s="3006"/>
      <c r="H58" s="887" t="str">
        <f>项目基本情况!B37</f>
        <v>一级</v>
      </c>
      <c r="I58" s="891">
        <f>SUMIF(修正!A57:A68,H58,修正!C57:C68)</f>
        <v>0.4</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0.3</v>
      </c>
      <c r="D59" s="945">
        <v>0.25</v>
      </c>
      <c r="E59" s="642"/>
      <c r="F59" s="886" t="e">
        <f t="shared" si="15"/>
        <v>#DIV/0!</v>
      </c>
      <c r="G59" s="3006"/>
      <c r="H59" s="887" t="str">
        <f>项目基本情况!B37</f>
        <v>一级</v>
      </c>
      <c r="I59" s="891">
        <f>SUMIF(修正!A57:A68,H59,修正!D57:D68)</f>
        <v>0.3</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212.15</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683" t="s">
        <v>1771</v>
      </c>
      <c r="S4" s="3684"/>
      <c r="T4" s="3683" t="s">
        <v>1772</v>
      </c>
      <c r="U4" s="3684"/>
      <c r="V4" s="3708" t="s">
        <v>1773</v>
      </c>
      <c r="W4" s="3708"/>
      <c r="X4" s="1355"/>
      <c r="Y4" s="3683" t="s">
        <v>1775</v>
      </c>
      <c r="Z4" s="3684"/>
      <c r="AA4" s="3678" t="s">
        <v>1771</v>
      </c>
      <c r="AB4" s="3679" t="s">
        <v>1772</v>
      </c>
      <c r="AC4" s="3678" t="s">
        <v>1773</v>
      </c>
    </row>
    <row r="5" spans="1:29" ht="15">
      <c r="A5" s="358"/>
      <c r="B5" s="359"/>
      <c r="C5" s="3689" t="s">
        <v>1673</v>
      </c>
      <c r="D5" s="3690"/>
      <c r="E5" s="3687" t="s">
        <v>1674</v>
      </c>
      <c r="F5" s="3688"/>
      <c r="G5" s="3689" t="s">
        <v>1675</v>
      </c>
      <c r="H5" s="3690"/>
      <c r="I5" s="3689" t="s">
        <v>1676</v>
      </c>
      <c r="J5" s="3690"/>
      <c r="K5" s="559"/>
      <c r="L5" s="2714"/>
      <c r="M5" s="2715"/>
      <c r="N5" s="2715"/>
      <c r="O5" s="2715"/>
      <c r="P5" s="3702"/>
      <c r="Q5" s="3703"/>
      <c r="R5" s="3685"/>
      <c r="S5" s="3686"/>
      <c r="T5" s="3685"/>
      <c r="U5" s="3686"/>
      <c r="V5" s="3708"/>
      <c r="W5" s="3708"/>
      <c r="X5" s="1355"/>
      <c r="Y5" s="3685"/>
      <c r="Z5" s="3686"/>
      <c r="AA5" s="3679"/>
      <c r="AB5" s="3679"/>
      <c r="AC5" s="3679"/>
    </row>
    <row r="6" spans="1:29" ht="15.75" thickBot="1">
      <c r="A6" s="360"/>
      <c r="B6" s="361"/>
      <c r="C6" s="3744" t="s">
        <v>1919</v>
      </c>
      <c r="D6" s="3745"/>
      <c r="E6" s="3746" t="s">
        <v>1919</v>
      </c>
      <c r="F6" s="3747"/>
      <c r="G6" s="3744" t="s">
        <v>1919</v>
      </c>
      <c r="H6" s="3745"/>
      <c r="I6" s="3744" t="s">
        <v>1919</v>
      </c>
      <c r="J6" s="3745"/>
      <c r="K6" s="559" t="s">
        <v>1678</v>
      </c>
      <c r="L6" s="2714"/>
      <c r="M6" s="2715"/>
      <c r="N6" s="2715"/>
      <c r="O6" s="2715"/>
      <c r="P6" s="3704"/>
      <c r="Q6" s="3705"/>
      <c r="R6" s="3685"/>
      <c r="S6" s="3686"/>
      <c r="T6" s="3706"/>
      <c r="U6" s="3707"/>
      <c r="V6" s="3708"/>
      <c r="W6" s="3708"/>
      <c r="X6" s="1355"/>
      <c r="Y6" s="3706"/>
      <c r="Z6" s="3707"/>
      <c r="AA6" s="3680"/>
      <c r="AB6" s="3680"/>
      <c r="AC6" s="3680"/>
    </row>
    <row r="7" spans="1:29" s="108" customFormat="1" ht="15.75" thickBot="1">
      <c r="A7" s="362" t="s">
        <v>1679</v>
      </c>
      <c r="B7" s="363"/>
      <c r="C7" s="364">
        <f>'数据-取费表'!B2</f>
        <v>45799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1" t="s">
        <v>1683</v>
      </c>
      <c r="Q8" s="3682"/>
      <c r="R8" s="701" t="s">
        <v>14</v>
      </c>
      <c r="S8" s="702">
        <f t="shared" si="0"/>
        <v>0</v>
      </c>
      <c r="T8" s="701" t="s">
        <v>14</v>
      </c>
      <c r="U8" s="702">
        <f t="shared" si="1"/>
        <v>0</v>
      </c>
      <c r="V8" s="701" t="s">
        <v>14</v>
      </c>
      <c r="W8" s="702">
        <f t="shared" si="2"/>
        <v>0</v>
      </c>
      <c r="X8" s="703"/>
      <c r="Y8" s="3681" t="s">
        <v>1683</v>
      </c>
      <c r="Z8" s="368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3"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156</v>
      </c>
      <c r="G10" s="383"/>
      <c r="H10" s="127">
        <f>ROUND(100/'数据-取费表'!G16,0)</f>
        <v>156</v>
      </c>
      <c r="I10" s="383"/>
      <c r="J10" s="127">
        <f>ROUND(100/'数据-取费表'!G16,0)</f>
        <v>156</v>
      </c>
      <c r="K10" s="620"/>
      <c r="L10" s="2718"/>
      <c r="M10" s="2719"/>
      <c r="N10" s="2719"/>
      <c r="O10" s="2772"/>
      <c r="P10" s="3713"/>
      <c r="Q10" s="1343" t="str">
        <f t="shared" si="6"/>
        <v>土地使用年限（年）</v>
      </c>
      <c r="R10" s="701" t="s">
        <v>14</v>
      </c>
      <c r="S10" s="702">
        <f t="shared" si="0"/>
        <v>156</v>
      </c>
      <c r="T10" s="701" t="s">
        <v>14</v>
      </c>
      <c r="U10" s="702">
        <f t="shared" si="1"/>
        <v>156</v>
      </c>
      <c r="V10" s="701" t="s">
        <v>14</v>
      </c>
      <c r="W10" s="702">
        <f t="shared" si="2"/>
        <v>156</v>
      </c>
      <c r="X10" s="703"/>
      <c r="Y10" s="3625"/>
      <c r="Z10" s="52" t="str">
        <f t="shared" si="7"/>
        <v>土地使用年限（年）</v>
      </c>
      <c r="AA10" s="704">
        <f t="shared" si="3"/>
        <v>0.64102564102564108</v>
      </c>
      <c r="AB10" s="704">
        <f t="shared" si="4"/>
        <v>0.64102564102564108</v>
      </c>
      <c r="AC10" s="704">
        <f t="shared" si="5"/>
        <v>0.64102564102564108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3"/>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3"/>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3"/>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3"/>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5" t="s">
        <v>1691</v>
      </c>
      <c r="Q15" s="1352" t="str">
        <f t="shared" si="6"/>
        <v>产业集聚程度</v>
      </c>
      <c r="R15" s="705" t="s">
        <v>14</v>
      </c>
      <c r="S15" s="706">
        <f t="shared" si="0"/>
        <v>100</v>
      </c>
      <c r="T15" s="705" t="s">
        <v>14</v>
      </c>
      <c r="U15" s="706">
        <f t="shared" si="1"/>
        <v>100</v>
      </c>
      <c r="V15" s="705" t="s">
        <v>14</v>
      </c>
      <c r="W15" s="706">
        <f t="shared" si="2"/>
        <v>100</v>
      </c>
      <c r="X15" s="1355"/>
      <c r="Y15" s="371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6"/>
      <c r="Q16" s="1352"/>
      <c r="R16" s="705"/>
      <c r="S16" s="706"/>
      <c r="T16" s="705"/>
      <c r="U16" s="706"/>
      <c r="V16" s="705"/>
      <c r="W16" s="706"/>
      <c r="X16" s="1355"/>
      <c r="Y16" s="371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6"/>
      <c r="Q18" s="1352"/>
      <c r="R18" s="705"/>
      <c r="S18" s="706"/>
      <c r="T18" s="705"/>
      <c r="U18" s="706"/>
      <c r="V18" s="705"/>
      <c r="W18" s="706"/>
      <c r="X18" s="1355"/>
      <c r="Y18" s="371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6"/>
      <c r="Q19" s="1352" t="str">
        <f t="shared" ref="Q19:Q33" si="8">B19</f>
        <v>区域土地利用方向</v>
      </c>
      <c r="R19" s="705" t="s">
        <v>14</v>
      </c>
      <c r="S19" s="706">
        <f>F19</f>
        <v>100</v>
      </c>
      <c r="T19" s="705" t="s">
        <v>14</v>
      </c>
      <c r="U19" s="706">
        <f>H19</f>
        <v>100</v>
      </c>
      <c r="V19" s="705" t="s">
        <v>14</v>
      </c>
      <c r="W19" s="706">
        <f>J19</f>
        <v>100</v>
      </c>
      <c r="X19" s="1355"/>
      <c r="Y19" s="371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6"/>
      <c r="Q20" s="1352"/>
      <c r="R20" s="705"/>
      <c r="S20" s="706"/>
      <c r="T20" s="705"/>
      <c r="U20" s="706"/>
      <c r="V20" s="705"/>
      <c r="W20" s="706"/>
      <c r="X20" s="1355"/>
      <c r="Y20" s="371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6"/>
      <c r="Q21" s="1352" t="str">
        <f t="shared" si="8"/>
        <v>环境状况</v>
      </c>
      <c r="R21" s="705" t="s">
        <v>14</v>
      </c>
      <c r="S21" s="706">
        <f>F21</f>
        <v>100</v>
      </c>
      <c r="T21" s="705" t="s">
        <v>14</v>
      </c>
      <c r="U21" s="706">
        <f>H21</f>
        <v>100</v>
      </c>
      <c r="V21" s="705" t="s">
        <v>14</v>
      </c>
      <c r="W21" s="706">
        <f>J21</f>
        <v>100</v>
      </c>
      <c r="X21" s="1355"/>
      <c r="Y21" s="371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6"/>
      <c r="Q22" s="1352"/>
      <c r="R22" s="705"/>
      <c r="S22" s="706"/>
      <c r="T22" s="705"/>
      <c r="U22" s="706"/>
      <c r="V22" s="705"/>
      <c r="W22" s="706"/>
      <c r="X22" s="1355"/>
      <c r="Y22" s="371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6"/>
      <c r="Q23" s="1343" t="str">
        <f t="shared" si="8"/>
        <v>公共配套设施</v>
      </c>
      <c r="R23" s="701" t="s">
        <v>14</v>
      </c>
      <c r="S23" s="702">
        <f>F23</f>
        <v>100</v>
      </c>
      <c r="T23" s="701" t="s">
        <v>14</v>
      </c>
      <c r="U23" s="702">
        <f>H23</f>
        <v>100</v>
      </c>
      <c r="V23" s="701" t="s">
        <v>14</v>
      </c>
      <c r="W23" s="702">
        <f>J23</f>
        <v>100</v>
      </c>
      <c r="X23" s="703"/>
      <c r="Y23" s="371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6"/>
      <c r="Q24" s="1343"/>
      <c r="R24" s="701"/>
      <c r="S24" s="702"/>
      <c r="T24" s="701"/>
      <c r="U24" s="702"/>
      <c r="V24" s="701"/>
      <c r="W24" s="702"/>
      <c r="X24" s="703"/>
      <c r="Y24" s="371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6"/>
      <c r="Q25" s="1343" t="str">
        <f t="shared" ref="Q25" si="9">B25</f>
        <v>基础设施水平</v>
      </c>
      <c r="R25" s="701" t="s">
        <v>14</v>
      </c>
      <c r="S25" s="702">
        <f>F25</f>
        <v>100</v>
      </c>
      <c r="T25" s="701" t="s">
        <v>14</v>
      </c>
      <c r="U25" s="702">
        <f>H25</f>
        <v>100</v>
      </c>
      <c r="V25" s="701" t="s">
        <v>14</v>
      </c>
      <c r="W25" s="702">
        <f>J25</f>
        <v>100</v>
      </c>
      <c r="X25" s="703"/>
      <c r="Y25" s="371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6"/>
      <c r="Q26" s="1343"/>
      <c r="R26" s="701"/>
      <c r="S26" s="702"/>
      <c r="T26" s="701"/>
      <c r="U26" s="702"/>
      <c r="V26" s="701"/>
      <c r="W26" s="702"/>
      <c r="X26" s="703"/>
      <c r="Y26" s="371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6"/>
      <c r="Q28" s="1352" t="str">
        <f t="shared" si="8"/>
        <v>毗邻道路的类型与等级</v>
      </c>
      <c r="R28" s="705" t="s">
        <v>14</v>
      </c>
      <c r="S28" s="706">
        <f t="shared" si="10"/>
        <v>100</v>
      </c>
      <c r="T28" s="705" t="s">
        <v>14</v>
      </c>
      <c r="U28" s="706">
        <f t="shared" si="11"/>
        <v>100</v>
      </c>
      <c r="V28" s="705" t="s">
        <v>14</v>
      </c>
      <c r="W28" s="706">
        <f t="shared" si="12"/>
        <v>100</v>
      </c>
      <c r="X28" s="1355"/>
      <c r="Y28" s="371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6"/>
      <c r="Q29" s="1352"/>
      <c r="R29" s="705"/>
      <c r="S29" s="706"/>
      <c r="T29" s="705"/>
      <c r="U29" s="706"/>
      <c r="V29" s="705"/>
      <c r="W29" s="706"/>
      <c r="X29" s="1355"/>
      <c r="Y29" s="371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6"/>
      <c r="Q30" s="1352" t="str">
        <f t="shared" si="8"/>
        <v>土地级别</v>
      </c>
      <c r="R30" s="705" t="s">
        <v>14</v>
      </c>
      <c r="S30" s="706">
        <f t="shared" si="10"/>
        <v>100</v>
      </c>
      <c r="T30" s="705" t="s">
        <v>14</v>
      </c>
      <c r="U30" s="706">
        <f t="shared" si="11"/>
        <v>100</v>
      </c>
      <c r="V30" s="705" t="s">
        <v>14</v>
      </c>
      <c r="W30" s="706">
        <f t="shared" si="12"/>
        <v>100</v>
      </c>
      <c r="X30" s="1355"/>
      <c r="Y30" s="371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6"/>
      <c r="Q31" s="1352">
        <f t="shared" si="8"/>
        <v>111</v>
      </c>
      <c r="R31" s="705" t="s">
        <v>14</v>
      </c>
      <c r="S31" s="706">
        <f t="shared" si="10"/>
        <v>100</v>
      </c>
      <c r="T31" s="705" t="s">
        <v>14</v>
      </c>
      <c r="U31" s="706">
        <f t="shared" si="11"/>
        <v>100</v>
      </c>
      <c r="V31" s="705" t="s">
        <v>14</v>
      </c>
      <c r="W31" s="706">
        <f t="shared" si="12"/>
        <v>100</v>
      </c>
      <c r="X31" s="1355"/>
      <c r="Y31" s="371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9" t="s">
        <v>1696</v>
      </c>
      <c r="Q32" s="1352">
        <f t="shared" si="8"/>
        <v>111</v>
      </c>
      <c r="R32" s="705" t="s">
        <v>14</v>
      </c>
      <c r="S32" s="706">
        <f t="shared" si="10"/>
        <v>100</v>
      </c>
      <c r="T32" s="705" t="s">
        <v>14</v>
      </c>
      <c r="U32" s="706">
        <f t="shared" si="11"/>
        <v>100</v>
      </c>
      <c r="V32" s="705" t="s">
        <v>14</v>
      </c>
      <c r="W32" s="706">
        <f t="shared" si="12"/>
        <v>100</v>
      </c>
      <c r="X32" s="1355"/>
      <c r="Y32" s="372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0"/>
      <c r="Q33" s="1352">
        <f t="shared" si="8"/>
        <v>111</v>
      </c>
      <c r="R33" s="708" t="s">
        <v>14</v>
      </c>
      <c r="S33" s="709">
        <f t="shared" si="10"/>
        <v>100</v>
      </c>
      <c r="T33" s="708" t="s">
        <v>14</v>
      </c>
      <c r="U33" s="709">
        <f t="shared" si="11"/>
        <v>100</v>
      </c>
      <c r="V33" s="708" t="s">
        <v>14</v>
      </c>
      <c r="W33" s="709">
        <f t="shared" si="12"/>
        <v>100</v>
      </c>
      <c r="X33" s="710"/>
      <c r="Y33" s="372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0"/>
      <c r="Q34" s="1352" t="str">
        <f>B34</f>
        <v>宗地面积</v>
      </c>
      <c r="R34" s="705" t="s">
        <v>14</v>
      </c>
      <c r="S34" s="706" t="e">
        <f t="shared" si="10"/>
        <v>#N/A</v>
      </c>
      <c r="T34" s="705" t="s">
        <v>14</v>
      </c>
      <c r="U34" s="706" t="e">
        <f t="shared" si="11"/>
        <v>#N/A</v>
      </c>
      <c r="V34" s="705" t="s">
        <v>14</v>
      </c>
      <c r="W34" s="706" t="e">
        <f t="shared" si="12"/>
        <v>#N/A</v>
      </c>
      <c r="X34" s="1355"/>
      <c r="Y34" s="372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20"/>
      <c r="Q35" s="1352" t="str">
        <f t="shared" ref="Q35:Q40" si="14">B35</f>
        <v>宗地形状</v>
      </c>
      <c r="R35" s="705" t="s">
        <v>14</v>
      </c>
      <c r="S35" s="706">
        <f t="shared" si="10"/>
        <v>100</v>
      </c>
      <c r="T35" s="705" t="s">
        <v>14</v>
      </c>
      <c r="U35" s="706">
        <f t="shared" si="11"/>
        <v>100</v>
      </c>
      <c r="V35" s="705" t="s">
        <v>14</v>
      </c>
      <c r="W35" s="706">
        <f t="shared" si="12"/>
        <v>100</v>
      </c>
      <c r="X35" s="1355"/>
      <c r="Y35" s="372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20"/>
      <c r="Q36" s="1352" t="str">
        <f t="shared" si="14"/>
        <v>宗地开发程度</v>
      </c>
      <c r="R36" s="701" t="s">
        <v>14</v>
      </c>
      <c r="S36" s="702">
        <f t="shared" si="10"/>
        <v>100</v>
      </c>
      <c r="T36" s="701" t="s">
        <v>14</v>
      </c>
      <c r="U36" s="702">
        <f t="shared" si="11"/>
        <v>100</v>
      </c>
      <c r="V36" s="701" t="s">
        <v>14</v>
      </c>
      <c r="W36" s="702">
        <f t="shared" si="12"/>
        <v>100</v>
      </c>
      <c r="X36" s="703"/>
      <c r="Y36" s="372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20" t="s">
        <v>1696</v>
      </c>
      <c r="Q37" s="1352" t="str">
        <f t="shared" si="14"/>
        <v>工程地质条件</v>
      </c>
      <c r="R37" s="705" t="s">
        <v>14</v>
      </c>
      <c r="S37" s="706">
        <f t="shared" si="10"/>
        <v>100</v>
      </c>
      <c r="T37" s="705" t="s">
        <v>14</v>
      </c>
      <c r="U37" s="706">
        <f t="shared" si="11"/>
        <v>100</v>
      </c>
      <c r="V37" s="705" t="s">
        <v>14</v>
      </c>
      <c r="W37" s="706">
        <f t="shared" si="12"/>
        <v>100</v>
      </c>
      <c r="X37" s="1355"/>
      <c r="Y37" s="372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0"/>
      <c r="Q38" s="1352">
        <f t="shared" si="14"/>
        <v>111</v>
      </c>
      <c r="R38" s="705" t="s">
        <v>14</v>
      </c>
      <c r="S38" s="706">
        <f t="shared" si="10"/>
        <v>100</v>
      </c>
      <c r="T38" s="705" t="s">
        <v>14</v>
      </c>
      <c r="U38" s="706">
        <f t="shared" si="11"/>
        <v>100</v>
      </c>
      <c r="V38" s="705" t="s">
        <v>14</v>
      </c>
      <c r="W38" s="706">
        <f t="shared" si="12"/>
        <v>100</v>
      </c>
      <c r="X38" s="1355"/>
      <c r="Y38" s="372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0"/>
      <c r="Q39" s="1352">
        <f t="shared" si="14"/>
        <v>111</v>
      </c>
      <c r="R39" s="705" t="s">
        <v>14</v>
      </c>
      <c r="S39" s="706">
        <f t="shared" si="10"/>
        <v>100</v>
      </c>
      <c r="T39" s="705" t="s">
        <v>14</v>
      </c>
      <c r="U39" s="706">
        <f t="shared" si="11"/>
        <v>100</v>
      </c>
      <c r="V39" s="705" t="s">
        <v>14</v>
      </c>
      <c r="W39" s="706">
        <f t="shared" si="12"/>
        <v>100</v>
      </c>
      <c r="X39" s="1355"/>
      <c r="Y39" s="372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0"/>
      <c r="Q40" s="1352">
        <f t="shared" si="14"/>
        <v>111</v>
      </c>
      <c r="R40" s="708" t="s">
        <v>14</v>
      </c>
      <c r="S40" s="709">
        <f t="shared" si="10"/>
        <v>100</v>
      </c>
      <c r="T40" s="708" t="s">
        <v>14</v>
      </c>
      <c r="U40" s="709">
        <f t="shared" si="11"/>
        <v>100</v>
      </c>
      <c r="V40" s="708" t="s">
        <v>14</v>
      </c>
      <c r="W40" s="709">
        <f t="shared" si="12"/>
        <v>100</v>
      </c>
      <c r="X40" s="710"/>
      <c r="Y40" s="372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13" t="str">
        <f>A41</f>
        <v>成交单价</v>
      </c>
      <c r="Q41" s="3713"/>
      <c r="R41" s="3708">
        <f>E41</f>
        <v>0</v>
      </c>
      <c r="S41" s="3708"/>
      <c r="T41" s="3708">
        <f>G41</f>
        <v>0</v>
      </c>
      <c r="U41" s="3708"/>
      <c r="V41" s="3708">
        <f>I41</f>
        <v>0</v>
      </c>
      <c r="W41" s="370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13" t="str">
        <f>A42</f>
        <v>比较价值（元/平方米）</v>
      </c>
      <c r="Q42" s="3713"/>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0" t="str">
        <f>A43</f>
        <v>估价对象XX用房的比较价值（楼面单价，元/平方米）</v>
      </c>
      <c r="Q43" s="3711"/>
      <c r="R43" s="3742" t="e">
        <f>ROUND(IF(D42="简单平均",AVERAGE(R42:W42),R42*F42+T42*H42+V42*J42),0)</f>
        <v>#DIV/0!</v>
      </c>
      <c r="S43" s="3742"/>
      <c r="T43" s="3742"/>
      <c r="U43" s="3742"/>
      <c r="V43" s="3742"/>
      <c r="W43" s="374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6" t="s">
        <v>1887</v>
      </c>
      <c r="H50" s="374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212.15</v>
      </c>
      <c r="F51" s="639" t="e">
        <f t="shared" ref="F51:F60" si="15">ROUND(B51*E51/10000,0)</f>
        <v>#DIV/0!</v>
      </c>
      <c r="G51" s="3695"/>
      <c r="H51" s="371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0.7</v>
      </c>
      <c r="D52" s="945">
        <v>0.25</v>
      </c>
      <c r="E52" s="642"/>
      <c r="F52" s="639" t="e">
        <f t="shared" si="15"/>
        <v>#DIV/0!</v>
      </c>
      <c r="G52" s="3005" t="s">
        <v>1892</v>
      </c>
      <c r="H52" s="887" t="str">
        <f>项目基本情况!B37</f>
        <v>一级</v>
      </c>
      <c r="I52" s="773">
        <f>SUMIF(修正!A57:A68,H52,修正!B57:B68)</f>
        <v>0.7</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0.4</v>
      </c>
      <c r="D53" s="945">
        <v>0.25</v>
      </c>
      <c r="E53" s="642"/>
      <c r="F53" s="639" t="e">
        <f t="shared" si="15"/>
        <v>#DIV/0!</v>
      </c>
      <c r="G53" s="3006"/>
      <c r="H53" s="887" t="str">
        <f>项目基本情况!B37</f>
        <v>一级</v>
      </c>
      <c r="I53" s="773">
        <f>SUMIF(修正!A57:A68,H53,修正!C57:C68)</f>
        <v>0.4</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0.3</v>
      </c>
      <c r="D54" s="945">
        <v>0.25</v>
      </c>
      <c r="E54" s="642"/>
      <c r="F54" s="639" t="e">
        <f t="shared" si="15"/>
        <v>#DIV/0!</v>
      </c>
      <c r="G54" s="3006"/>
      <c r="H54" s="887" t="str">
        <f>项目基本情况!B37</f>
        <v>一级</v>
      </c>
      <c r="I54" s="773">
        <f>SUMIF(修正!A57:A68,H54,修正!D57:D68)</f>
        <v>0.3</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1" t="s">
        <v>2084</v>
      </c>
      <c r="D1" s="3752"/>
      <c r="E1" s="3752"/>
      <c r="F1" s="3752"/>
      <c r="G1" s="3752"/>
      <c r="H1" s="3752"/>
      <c r="I1" s="3752"/>
      <c r="J1" s="3752"/>
      <c r="K1" s="3752"/>
      <c r="L1" s="3752"/>
      <c r="M1" s="3752"/>
      <c r="N1" s="3752"/>
      <c r="O1" s="3752"/>
      <c r="P1" s="3752"/>
      <c r="Q1" s="3752"/>
      <c r="R1" s="3752"/>
      <c r="S1" s="375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466</v>
      </c>
      <c r="C2" s="2145" t="s">
        <v>2074</v>
      </c>
      <c r="D2" s="2145" t="s">
        <v>2075</v>
      </c>
      <c r="E2" s="2612">
        <f ca="1">SUMIF(E6:E13,"&lt;&gt;#ref!",E6:E13)</f>
        <v>212.15</v>
      </c>
      <c r="F2" s="2792"/>
      <c r="G2" s="2792"/>
      <c r="H2" s="2792"/>
      <c r="I2" s="2792"/>
      <c r="J2" s="2792"/>
      <c r="K2" s="2792"/>
      <c r="L2" s="2792"/>
      <c r="M2" s="2792"/>
      <c r="N2" s="2792"/>
      <c r="O2" s="2792"/>
      <c r="P2" s="2792"/>
    </row>
    <row r="3" spans="1:16" ht="15.75">
      <c r="A3" s="2145" t="s">
        <v>2076</v>
      </c>
      <c r="B3" s="2602">
        <f ca="1">ROUND(B2*10000/E2,0)</f>
        <v>21966</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466</v>
      </c>
      <c r="C6" s="2145" t="s">
        <v>2074</v>
      </c>
      <c r="D6" s="2792"/>
      <c r="E6" s="2612">
        <f ca="1">SUMIF(INDIRECT("'"&amp;A6&amp;"'"&amp;"!C:C"),"建筑面积",INDIRECT("'"&amp;A6&amp;"'"&amp;"!D:D"))</f>
        <v>212.15</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0" t="s">
        <v>2607</v>
      </c>
      <c r="B20" s="3773" t="s">
        <v>2628</v>
      </c>
      <c r="C20" s="3102" t="s">
        <v>2439</v>
      </c>
      <c r="D20" s="3103"/>
      <c r="E20" s="3104">
        <v>1</v>
      </c>
      <c r="F20" s="3105" t="s">
        <v>2440</v>
      </c>
      <c r="G20" s="3105"/>
    </row>
    <row r="21" spans="1:13" ht="19.5" customHeight="1">
      <c r="A21" s="3781"/>
      <c r="B21" s="3774"/>
      <c r="C21" s="3106" t="s">
        <v>2441</v>
      </c>
      <c r="D21" s="3107"/>
      <c r="E21" s="3108">
        <v>1</v>
      </c>
      <c r="F21" s="3105" t="s">
        <v>2442</v>
      </c>
      <c r="G21" s="3105"/>
    </row>
    <row r="22" spans="1:13" ht="19.5" customHeight="1">
      <c r="A22" s="3781"/>
      <c r="B22" s="3774"/>
      <c r="C22" s="3106" t="s">
        <v>2443</v>
      </c>
      <c r="D22" s="3107"/>
      <c r="E22" s="3108">
        <v>0.9</v>
      </c>
      <c r="F22" s="3105" t="s">
        <v>2444</v>
      </c>
      <c r="G22" s="3105"/>
    </row>
    <row r="23" spans="1:13" ht="19.5" customHeight="1">
      <c r="A23" s="3781"/>
      <c r="B23" s="3774"/>
      <c r="C23" s="3106" t="s">
        <v>2445</v>
      </c>
      <c r="D23" s="3107"/>
      <c r="E23" s="3108">
        <v>0.9</v>
      </c>
      <c r="F23" s="3105" t="s">
        <v>2446</v>
      </c>
      <c r="G23" s="3105"/>
    </row>
    <row r="24" spans="1:13" ht="19.5" customHeight="1">
      <c r="A24" s="3781"/>
      <c r="B24" s="3774"/>
      <c r="C24" s="3106" t="s">
        <v>2447</v>
      </c>
      <c r="D24" s="3107"/>
      <c r="E24" s="3108">
        <v>0.8</v>
      </c>
      <c r="F24" s="3105" t="s">
        <v>2448</v>
      </c>
      <c r="G24" s="3105"/>
    </row>
    <row r="25" spans="1:13" ht="19.5" customHeight="1" thickBot="1">
      <c r="A25" s="3782"/>
      <c r="B25" s="3775"/>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6" t="s">
        <v>2631</v>
      </c>
      <c r="B27" s="3773" t="s">
        <v>2612</v>
      </c>
      <c r="C27" s="3102" t="s">
        <v>2452</v>
      </c>
      <c r="D27" s="3103"/>
      <c r="E27" s="3104">
        <v>1</v>
      </c>
      <c r="F27" s="3105" t="s">
        <v>2453</v>
      </c>
      <c r="G27" s="3105"/>
    </row>
    <row r="28" spans="1:13" ht="19.5" customHeight="1">
      <c r="A28" s="3777"/>
      <c r="B28" s="3774"/>
      <c r="C28" s="3106" t="s">
        <v>2454</v>
      </c>
      <c r="D28" s="3107"/>
      <c r="E28" s="3108">
        <v>1</v>
      </c>
      <c r="F28" s="3105" t="s">
        <v>2455</v>
      </c>
      <c r="G28" s="3105"/>
    </row>
    <row r="29" spans="1:13" ht="19.5" customHeight="1">
      <c r="A29" s="3777"/>
      <c r="B29" s="3774"/>
      <c r="C29" s="3106" t="s">
        <v>2456</v>
      </c>
      <c r="D29" s="3107"/>
      <c r="E29" s="3108">
        <v>0.8</v>
      </c>
      <c r="F29" s="3105" t="s">
        <v>2457</v>
      </c>
      <c r="G29" s="3105"/>
    </row>
    <row r="30" spans="1:13" ht="19.5" customHeight="1">
      <c r="A30" s="3777"/>
      <c r="B30" s="3774"/>
      <c r="C30" s="3106" t="s">
        <v>2458</v>
      </c>
      <c r="D30" s="3107"/>
      <c r="E30" s="3108">
        <v>0.8</v>
      </c>
      <c r="F30" s="3105" t="s">
        <v>2459</v>
      </c>
      <c r="G30" s="3105"/>
    </row>
    <row r="31" spans="1:13" ht="19.5" customHeight="1">
      <c r="A31" s="3777"/>
      <c r="B31" s="3774"/>
      <c r="C31" s="3106" t="s">
        <v>2460</v>
      </c>
      <c r="D31" s="3107"/>
      <c r="E31" s="3108">
        <v>0.8</v>
      </c>
      <c r="F31" s="3105" t="s">
        <v>2461</v>
      </c>
      <c r="G31" s="3105"/>
    </row>
    <row r="32" spans="1:13" ht="19.5" customHeight="1">
      <c r="A32" s="3777"/>
      <c r="B32" s="3774"/>
      <c r="C32" s="3106" t="s">
        <v>2462</v>
      </c>
      <c r="D32" s="3107"/>
      <c r="E32" s="3108">
        <v>0.7</v>
      </c>
      <c r="F32" s="3105" t="s">
        <v>2463</v>
      </c>
      <c r="G32" s="3105"/>
    </row>
    <row r="33" spans="1:7" ht="19.5" customHeight="1">
      <c r="A33" s="3777"/>
      <c r="B33" s="3774"/>
      <c r="C33" s="3106" t="s">
        <v>2464</v>
      </c>
      <c r="D33" s="3107"/>
      <c r="E33" s="3108">
        <v>0.8</v>
      </c>
      <c r="F33" s="3105" t="s">
        <v>2465</v>
      </c>
      <c r="G33" s="3105"/>
    </row>
    <row r="34" spans="1:7" ht="19.5" customHeight="1">
      <c r="A34" s="3777"/>
      <c r="B34" s="3774"/>
      <c r="C34" s="3106" t="s">
        <v>2466</v>
      </c>
      <c r="D34" s="3107"/>
      <c r="E34" s="3108">
        <v>0.6</v>
      </c>
      <c r="F34" s="3105" t="s">
        <v>2467</v>
      </c>
      <c r="G34" s="3105"/>
    </row>
    <row r="35" spans="1:7" ht="19.5" customHeight="1">
      <c r="A35" s="3777"/>
      <c r="B35" s="3774"/>
      <c r="C35" s="3106" t="s">
        <v>2468</v>
      </c>
      <c r="D35" s="3107"/>
      <c r="E35" s="3108">
        <v>0.2</v>
      </c>
      <c r="F35" s="3105" t="s">
        <v>2469</v>
      </c>
      <c r="G35" s="3105"/>
    </row>
    <row r="36" spans="1:7" ht="19.5" customHeight="1">
      <c r="A36" s="3777"/>
      <c r="B36" s="3774"/>
      <c r="C36" s="3106" t="s">
        <v>2470</v>
      </c>
      <c r="D36" s="3107"/>
      <c r="E36" s="3108">
        <v>0.2</v>
      </c>
      <c r="F36" s="3105" t="s">
        <v>2471</v>
      </c>
      <c r="G36" s="3105"/>
    </row>
    <row r="37" spans="1:7" ht="19.5" customHeight="1">
      <c r="A37" s="3777"/>
      <c r="B37" s="3779" t="s">
        <v>2632</v>
      </c>
      <c r="C37" s="3106" t="s">
        <v>2472</v>
      </c>
      <c r="D37" s="3107"/>
      <c r="E37" s="3108">
        <v>0.6</v>
      </c>
      <c r="F37" s="3105" t="s">
        <v>2473</v>
      </c>
      <c r="G37" s="3105"/>
    </row>
    <row r="38" spans="1:7" ht="19.5" customHeight="1">
      <c r="A38" s="3777"/>
      <c r="B38" s="3774"/>
      <c r="C38" s="3106" t="s">
        <v>2474</v>
      </c>
      <c r="D38" s="3107"/>
      <c r="E38" s="3108">
        <v>0.6</v>
      </c>
      <c r="F38" s="3105" t="s">
        <v>2475</v>
      </c>
      <c r="G38" s="3105"/>
    </row>
    <row r="39" spans="1:7" ht="19.5" customHeight="1" thickBot="1">
      <c r="A39" s="3778"/>
      <c r="B39" s="3775"/>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0" t="s">
        <v>2610</v>
      </c>
      <c r="B41" s="3773" t="s">
        <v>2634</v>
      </c>
      <c r="C41" s="3102" t="s">
        <v>2479</v>
      </c>
      <c r="D41" s="3103"/>
      <c r="E41" s="3104">
        <v>1</v>
      </c>
      <c r="F41" s="3105" t="s">
        <v>2480</v>
      </c>
      <c r="G41" s="3105"/>
    </row>
    <row r="42" spans="1:7" ht="19.5" customHeight="1">
      <c r="A42" s="3781"/>
      <c r="B42" s="3774"/>
      <c r="C42" s="3106" t="s">
        <v>2481</v>
      </c>
      <c r="D42" s="3107"/>
      <c r="E42" s="3108">
        <v>1</v>
      </c>
      <c r="F42" s="3105" t="s">
        <v>2482</v>
      </c>
      <c r="G42" s="3105"/>
    </row>
    <row r="43" spans="1:7" ht="19.5" customHeight="1">
      <c r="A43" s="3781"/>
      <c r="B43" s="3783"/>
      <c r="C43" s="3106" t="s">
        <v>2483</v>
      </c>
      <c r="D43" s="3107"/>
      <c r="E43" s="3108">
        <v>1.5</v>
      </c>
      <c r="F43" s="3105" t="s">
        <v>2484</v>
      </c>
      <c r="G43" s="3105"/>
    </row>
    <row r="44" spans="1:7" ht="19.5" customHeight="1">
      <c r="A44" s="3781"/>
      <c r="B44" s="3117" t="s">
        <v>2635</v>
      </c>
      <c r="C44" s="3106" t="s">
        <v>2636</v>
      </c>
      <c r="D44" s="3107"/>
      <c r="E44" s="3108">
        <v>2</v>
      </c>
      <c r="F44" s="3105" t="s">
        <v>2485</v>
      </c>
      <c r="G44" s="3105"/>
    </row>
    <row r="45" spans="1:7" ht="19.5" customHeight="1">
      <c r="A45" s="3781"/>
      <c r="B45" s="3779" t="s">
        <v>2637</v>
      </c>
      <c r="C45" s="3106" t="s">
        <v>2486</v>
      </c>
      <c r="D45" s="3107"/>
      <c r="E45" s="3108">
        <v>1</v>
      </c>
      <c r="F45" s="3105" t="s">
        <v>2487</v>
      </c>
      <c r="G45" s="3105"/>
    </row>
    <row r="46" spans="1:7" ht="19.5" customHeight="1">
      <c r="A46" s="3781"/>
      <c r="B46" s="3774"/>
      <c r="C46" s="3106" t="s">
        <v>2488</v>
      </c>
      <c r="D46" s="3107"/>
      <c r="E46" s="3108">
        <v>1</v>
      </c>
      <c r="F46" s="3105" t="s">
        <v>2489</v>
      </c>
      <c r="G46" s="3105"/>
    </row>
    <row r="47" spans="1:7" ht="19.5" customHeight="1">
      <c r="A47" s="3781"/>
      <c r="B47" s="3774"/>
      <c r="C47" s="3106" t="s">
        <v>2490</v>
      </c>
      <c r="D47" s="3107"/>
      <c r="E47" s="3108">
        <v>1</v>
      </c>
      <c r="F47" s="3105" t="s">
        <v>2491</v>
      </c>
      <c r="G47" s="3105"/>
    </row>
    <row r="48" spans="1:7" ht="19.5" customHeight="1">
      <c r="A48" s="3781"/>
      <c r="B48" s="3774"/>
      <c r="C48" s="3106" t="s">
        <v>2492</v>
      </c>
      <c r="D48" s="3107"/>
      <c r="E48" s="3108">
        <v>1</v>
      </c>
      <c r="F48" s="3105" t="s">
        <v>2493</v>
      </c>
      <c r="G48" s="3105"/>
    </row>
    <row r="49" spans="1:7" ht="19.5" customHeight="1">
      <c r="A49" s="3781"/>
      <c r="B49" s="3774"/>
      <c r="C49" s="3106" t="s">
        <v>2494</v>
      </c>
      <c r="D49" s="3107"/>
      <c r="E49" s="3108">
        <v>1</v>
      </c>
      <c r="F49" s="3105" t="s">
        <v>2495</v>
      </c>
      <c r="G49" s="3105"/>
    </row>
    <row r="50" spans="1:7" ht="19.5" customHeight="1">
      <c r="A50" s="3781"/>
      <c r="B50" s="3774"/>
      <c r="C50" s="3106" t="s">
        <v>2496</v>
      </c>
      <c r="D50" s="3107"/>
      <c r="E50" s="3108">
        <v>1</v>
      </c>
      <c r="F50" s="3105" t="s">
        <v>2497</v>
      </c>
      <c r="G50" s="3105"/>
    </row>
    <row r="51" spans="1:7" ht="19.5" customHeight="1" thickBot="1">
      <c r="A51" s="3782"/>
      <c r="B51" s="3775"/>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9" t="s">
        <v>2651</v>
      </c>
      <c r="C73" s="3091" t="s">
        <v>2652</v>
      </c>
      <c r="D73" s="3091" t="s">
        <v>2653</v>
      </c>
      <c r="E73" s="3117">
        <v>0.2</v>
      </c>
      <c r="F73" s="3117">
        <v>25</v>
      </c>
    </row>
    <row r="74" spans="1:7" ht="24">
      <c r="A74" s="3117">
        <v>2</v>
      </c>
      <c r="B74" s="3774"/>
      <c r="C74" s="3091" t="s">
        <v>2654</v>
      </c>
      <c r="D74" s="3091" t="s">
        <v>2655</v>
      </c>
      <c r="E74" s="3117">
        <v>0.2</v>
      </c>
      <c r="F74" s="3117">
        <v>25</v>
      </c>
    </row>
    <row r="75" spans="1:7" ht="24">
      <c r="A75" s="3117">
        <v>3</v>
      </c>
      <c r="B75" s="3774"/>
      <c r="C75" s="3091" t="s">
        <v>2656</v>
      </c>
      <c r="D75" s="3091" t="s">
        <v>2657</v>
      </c>
      <c r="E75" s="3117">
        <v>0.2</v>
      </c>
      <c r="F75" s="3117">
        <v>25</v>
      </c>
    </row>
    <row r="76" spans="1:7" ht="13.5">
      <c r="A76" s="3117">
        <v>4</v>
      </c>
      <c r="B76" s="3774"/>
      <c r="C76" s="3091" t="s">
        <v>2658</v>
      </c>
      <c r="D76" s="3091" t="s">
        <v>2659</v>
      </c>
      <c r="E76" s="3117">
        <v>0.15</v>
      </c>
      <c r="F76" s="3117">
        <v>20</v>
      </c>
    </row>
    <row r="77" spans="1:7" ht="24">
      <c r="A77" s="3117">
        <v>5</v>
      </c>
      <c r="B77" s="3774"/>
      <c r="C77" s="3091" t="s">
        <v>2660</v>
      </c>
      <c r="D77" s="3091" t="s">
        <v>2661</v>
      </c>
      <c r="E77" s="3117">
        <v>0.15</v>
      </c>
      <c r="F77" s="3117">
        <v>20</v>
      </c>
    </row>
    <row r="78" spans="1:7" ht="24">
      <c r="A78" s="3117">
        <v>6</v>
      </c>
      <c r="B78" s="3774"/>
      <c r="C78" s="3091" t="s">
        <v>2662</v>
      </c>
      <c r="D78" s="3091" t="s">
        <v>2663</v>
      </c>
      <c r="E78" s="3117">
        <v>0.15</v>
      </c>
      <c r="F78" s="3117">
        <v>20</v>
      </c>
    </row>
    <row r="79" spans="1:7" ht="24">
      <c r="A79" s="3117">
        <v>7</v>
      </c>
      <c r="B79" s="3774"/>
      <c r="C79" s="3091" t="s">
        <v>2664</v>
      </c>
      <c r="D79" s="3091" t="s">
        <v>2665</v>
      </c>
      <c r="E79" s="3117">
        <v>0.15</v>
      </c>
      <c r="F79" s="3117">
        <v>20</v>
      </c>
    </row>
    <row r="80" spans="1:7" ht="24">
      <c r="A80" s="3117">
        <v>8</v>
      </c>
      <c r="B80" s="3774"/>
      <c r="C80" s="3091" t="s">
        <v>2666</v>
      </c>
      <c r="D80" s="3091" t="s">
        <v>2667</v>
      </c>
      <c r="E80" s="3117">
        <v>0.1</v>
      </c>
      <c r="F80" s="3117">
        <v>15</v>
      </c>
    </row>
    <row r="81" spans="1:6" ht="24">
      <c r="A81" s="3117">
        <v>9</v>
      </c>
      <c r="B81" s="3774"/>
      <c r="C81" s="3091" t="s">
        <v>2668</v>
      </c>
      <c r="D81" s="3091" t="s">
        <v>2669</v>
      </c>
      <c r="E81" s="3117">
        <v>0.1</v>
      </c>
      <c r="F81" s="3117">
        <v>15</v>
      </c>
    </row>
    <row r="82" spans="1:6" ht="24">
      <c r="A82" s="3117">
        <v>10</v>
      </c>
      <c r="B82" s="3774"/>
      <c r="C82" s="3091" t="s">
        <v>2670</v>
      </c>
      <c r="D82" s="3091" t="s">
        <v>2671</v>
      </c>
      <c r="E82" s="3117">
        <v>0.1</v>
      </c>
      <c r="F82" s="3117">
        <v>15</v>
      </c>
    </row>
    <row r="83" spans="1:6" ht="24">
      <c r="A83" s="3117">
        <v>11</v>
      </c>
      <c r="B83" s="3774"/>
      <c r="C83" s="3091" t="s">
        <v>2672</v>
      </c>
      <c r="D83" s="3091" t="s">
        <v>2673</v>
      </c>
      <c r="E83" s="3117">
        <v>0.1</v>
      </c>
      <c r="F83" s="3117">
        <v>15</v>
      </c>
    </row>
    <row r="84" spans="1:6" ht="24">
      <c r="A84" s="3117">
        <v>12</v>
      </c>
      <c r="B84" s="3774"/>
      <c r="C84" s="3091" t="s">
        <v>2674</v>
      </c>
      <c r="D84" s="3091" t="s">
        <v>2675</v>
      </c>
      <c r="E84" s="3117">
        <v>0.1</v>
      </c>
      <c r="F84" s="3117">
        <v>15</v>
      </c>
    </row>
    <row r="85" spans="1:6" ht="13.5">
      <c r="A85" s="3117">
        <v>13</v>
      </c>
      <c r="B85" s="3774"/>
      <c r="C85" s="3091" t="s">
        <v>2676</v>
      </c>
      <c r="D85" s="3091" t="s">
        <v>2677</v>
      </c>
      <c r="E85" s="3117">
        <v>0.1</v>
      </c>
      <c r="F85" s="3117">
        <v>15</v>
      </c>
    </row>
    <row r="86" spans="1:6" ht="13.5">
      <c r="A86" s="3117">
        <v>14</v>
      </c>
      <c r="B86" s="3774"/>
      <c r="C86" s="3091" t="s">
        <v>2678</v>
      </c>
      <c r="D86" s="3091" t="s">
        <v>2679</v>
      </c>
      <c r="E86" s="3117">
        <v>0.1</v>
      </c>
      <c r="F86" s="3117">
        <v>15</v>
      </c>
    </row>
    <row r="87" spans="1:6" ht="13.5">
      <c r="A87" s="3117">
        <v>15</v>
      </c>
      <c r="B87" s="3774"/>
      <c r="C87" s="3091" t="s">
        <v>2680</v>
      </c>
      <c r="D87" s="3091" t="s">
        <v>2681</v>
      </c>
      <c r="E87" s="3117">
        <v>0.1</v>
      </c>
      <c r="F87" s="3117">
        <v>15</v>
      </c>
    </row>
    <row r="88" spans="1:6" ht="24">
      <c r="A88" s="3117">
        <v>16</v>
      </c>
      <c r="B88" s="3774"/>
      <c r="C88" s="3091" t="s">
        <v>2682</v>
      </c>
      <c r="D88" s="3091" t="s">
        <v>2683</v>
      </c>
      <c r="E88" s="3117">
        <v>0.1</v>
      </c>
      <c r="F88" s="3117">
        <v>15</v>
      </c>
    </row>
    <row r="89" spans="1:6" ht="24">
      <c r="A89" s="3117">
        <v>17</v>
      </c>
      <c r="B89" s="3783"/>
      <c r="C89" s="3091" t="s">
        <v>2684</v>
      </c>
      <c r="D89" s="3091" t="s">
        <v>2685</v>
      </c>
      <c r="E89" s="3117">
        <v>0.1</v>
      </c>
      <c r="F89" s="3117">
        <v>15</v>
      </c>
    </row>
    <row r="90" spans="1:6" ht="13.5">
      <c r="A90" s="3117">
        <v>18</v>
      </c>
      <c r="B90" s="3779" t="s">
        <v>2686</v>
      </c>
      <c r="C90" s="3091" t="s">
        <v>2687</v>
      </c>
      <c r="D90" s="3091" t="s">
        <v>2688</v>
      </c>
      <c r="E90" s="3117">
        <v>0.2</v>
      </c>
      <c r="F90" s="3117">
        <v>25</v>
      </c>
    </row>
    <row r="91" spans="1:6" ht="24">
      <c r="A91" s="3117">
        <v>19</v>
      </c>
      <c r="B91" s="3774"/>
      <c r="C91" s="3091" t="s">
        <v>2689</v>
      </c>
      <c r="D91" s="3091" t="s">
        <v>2690</v>
      </c>
      <c r="E91" s="3117">
        <v>0.2</v>
      </c>
      <c r="F91" s="3117">
        <v>25</v>
      </c>
    </row>
    <row r="92" spans="1:6" ht="13.5">
      <c r="A92" s="3117">
        <v>20</v>
      </c>
      <c r="B92" s="3774"/>
      <c r="C92" s="3091" t="s">
        <v>2691</v>
      </c>
      <c r="D92" s="3091" t="s">
        <v>2692</v>
      </c>
      <c r="E92" s="3117">
        <v>0.15</v>
      </c>
      <c r="F92" s="3117">
        <v>20</v>
      </c>
    </row>
    <row r="93" spans="1:6" ht="13.5">
      <c r="A93" s="3117">
        <v>21</v>
      </c>
      <c r="B93" s="3774"/>
      <c r="C93" s="3091" t="s">
        <v>2693</v>
      </c>
      <c r="D93" s="3091" t="s">
        <v>2694</v>
      </c>
      <c r="E93" s="3117">
        <v>0.15</v>
      </c>
      <c r="F93" s="3117">
        <v>20</v>
      </c>
    </row>
    <row r="94" spans="1:6" ht="13.5">
      <c r="A94" s="3117">
        <v>22</v>
      </c>
      <c r="B94" s="3774"/>
      <c r="C94" s="3091" t="s">
        <v>2695</v>
      </c>
      <c r="D94" s="3091" t="s">
        <v>2696</v>
      </c>
      <c r="E94" s="3117">
        <v>0.15</v>
      </c>
      <c r="F94" s="3117">
        <v>20</v>
      </c>
    </row>
    <row r="95" spans="1:6" ht="36">
      <c r="A95" s="3117">
        <v>23</v>
      </c>
      <c r="B95" s="3774"/>
      <c r="C95" s="3091" t="s">
        <v>2697</v>
      </c>
      <c r="D95" s="3091" t="s">
        <v>2698</v>
      </c>
      <c r="E95" s="3117">
        <v>0.15</v>
      </c>
      <c r="F95" s="3117">
        <v>20</v>
      </c>
    </row>
    <row r="96" spans="1:6" ht="13.5">
      <c r="A96" s="3117">
        <v>24</v>
      </c>
      <c r="B96" s="3774"/>
      <c r="C96" s="3091" t="s">
        <v>2699</v>
      </c>
      <c r="D96" s="3091" t="s">
        <v>2700</v>
      </c>
      <c r="E96" s="3117">
        <v>0.1</v>
      </c>
      <c r="F96" s="3117">
        <v>15</v>
      </c>
    </row>
    <row r="97" spans="1:6" ht="13.5">
      <c r="A97" s="3117">
        <v>25</v>
      </c>
      <c r="B97" s="3774"/>
      <c r="C97" s="3091" t="s">
        <v>2701</v>
      </c>
      <c r="D97" s="3091" t="s">
        <v>2702</v>
      </c>
      <c r="E97" s="3117">
        <v>0.1</v>
      </c>
      <c r="F97" s="3117">
        <v>15</v>
      </c>
    </row>
    <row r="98" spans="1:6" ht="24">
      <c r="A98" s="3117">
        <v>26</v>
      </c>
      <c r="B98" s="3774"/>
      <c r="C98" s="3091" t="s">
        <v>2703</v>
      </c>
      <c r="D98" s="3091" t="s">
        <v>2704</v>
      </c>
      <c r="E98" s="3117">
        <v>0.1</v>
      </c>
      <c r="F98" s="3117">
        <v>15</v>
      </c>
    </row>
    <row r="99" spans="1:6" ht="24">
      <c r="A99" s="3117">
        <v>27</v>
      </c>
      <c r="B99" s="3774"/>
      <c r="C99" s="3091" t="s">
        <v>2705</v>
      </c>
      <c r="D99" s="3091" t="s">
        <v>2706</v>
      </c>
      <c r="E99" s="3117">
        <v>0.1</v>
      </c>
      <c r="F99" s="3117">
        <v>15</v>
      </c>
    </row>
    <row r="100" spans="1:6" ht="13.5">
      <c r="A100" s="3117">
        <v>28</v>
      </c>
      <c r="B100" s="3774"/>
      <c r="C100" s="3091" t="s">
        <v>2707</v>
      </c>
      <c r="D100" s="3091" t="s">
        <v>2708</v>
      </c>
      <c r="E100" s="3117">
        <v>0.1</v>
      </c>
      <c r="F100" s="3117">
        <v>15</v>
      </c>
    </row>
    <row r="101" spans="1:6" ht="13.5">
      <c r="A101" s="3117">
        <v>29</v>
      </c>
      <c r="B101" s="3774"/>
      <c r="C101" s="3091" t="s">
        <v>2709</v>
      </c>
      <c r="D101" s="3091" t="s">
        <v>2710</v>
      </c>
      <c r="E101" s="3117">
        <v>0.1</v>
      </c>
      <c r="F101" s="3117">
        <v>15</v>
      </c>
    </row>
    <row r="102" spans="1:6" ht="13.5">
      <c r="A102" s="3117">
        <v>30</v>
      </c>
      <c r="B102" s="3774"/>
      <c r="C102" s="3091" t="s">
        <v>2711</v>
      </c>
      <c r="D102" s="3091" t="s">
        <v>2712</v>
      </c>
      <c r="E102" s="3117">
        <v>0.1</v>
      </c>
      <c r="F102" s="3117">
        <v>15</v>
      </c>
    </row>
    <row r="103" spans="1:6" ht="24">
      <c r="A103" s="3117">
        <v>31</v>
      </c>
      <c r="B103" s="3774"/>
      <c r="C103" s="3091" t="s">
        <v>2713</v>
      </c>
      <c r="D103" s="3091" t="s">
        <v>2714</v>
      </c>
      <c r="E103" s="3117">
        <v>0.1</v>
      </c>
      <c r="F103" s="3117">
        <v>15</v>
      </c>
    </row>
    <row r="104" spans="1:6" ht="24">
      <c r="A104" s="3117">
        <v>32</v>
      </c>
      <c r="B104" s="3774"/>
      <c r="C104" s="3091" t="s">
        <v>2715</v>
      </c>
      <c r="D104" s="3091" t="s">
        <v>2716</v>
      </c>
      <c r="E104" s="3117">
        <v>0.1</v>
      </c>
      <c r="F104" s="3117">
        <v>15</v>
      </c>
    </row>
    <row r="105" spans="1:6" ht="24">
      <c r="A105" s="3117">
        <v>33</v>
      </c>
      <c r="B105" s="3774"/>
      <c r="C105" s="3091" t="s">
        <v>2717</v>
      </c>
      <c r="D105" s="3091" t="s">
        <v>2718</v>
      </c>
      <c r="E105" s="3117">
        <v>0.1</v>
      </c>
      <c r="F105" s="3117">
        <v>15</v>
      </c>
    </row>
    <row r="106" spans="1:6" ht="24">
      <c r="A106" s="3117">
        <v>34</v>
      </c>
      <c r="B106" s="3783"/>
      <c r="C106" s="3091" t="s">
        <v>2719</v>
      </c>
      <c r="D106" s="3091" t="s">
        <v>2720</v>
      </c>
      <c r="E106" s="3117">
        <v>0.1</v>
      </c>
      <c r="F106" s="3117">
        <v>15</v>
      </c>
    </row>
    <row r="107" spans="1:6" ht="24">
      <c r="A107" s="3117">
        <v>35</v>
      </c>
      <c r="B107" s="3779" t="s">
        <v>2721</v>
      </c>
      <c r="C107" s="3117" t="s">
        <v>2722</v>
      </c>
      <c r="D107" s="3091" t="s">
        <v>2723</v>
      </c>
      <c r="E107" s="3117">
        <v>0.15</v>
      </c>
      <c r="F107" s="3117">
        <v>20</v>
      </c>
    </row>
    <row r="108" spans="1:6" ht="13.5">
      <c r="A108" s="3117">
        <v>36</v>
      </c>
      <c r="B108" s="3774"/>
      <c r="C108" s="3117" t="s">
        <v>2724</v>
      </c>
      <c r="D108" s="3091" t="s">
        <v>2725</v>
      </c>
      <c r="E108" s="3117">
        <v>0.15</v>
      </c>
      <c r="F108" s="3117">
        <v>20</v>
      </c>
    </row>
    <row r="109" spans="1:6" ht="13.5">
      <c r="A109" s="3117">
        <v>37</v>
      </c>
      <c r="B109" s="3774"/>
      <c r="C109" s="3117" t="s">
        <v>2726</v>
      </c>
      <c r="D109" s="3091" t="s">
        <v>2727</v>
      </c>
      <c r="E109" s="3117">
        <v>0.15</v>
      </c>
      <c r="F109" s="3117">
        <v>20</v>
      </c>
    </row>
    <row r="110" spans="1:6" ht="13.5">
      <c r="A110" s="3117">
        <v>38</v>
      </c>
      <c r="B110" s="3774"/>
      <c r="C110" s="3117" t="s">
        <v>2728</v>
      </c>
      <c r="D110" s="3091" t="s">
        <v>2729</v>
      </c>
      <c r="E110" s="3117">
        <v>0.1</v>
      </c>
      <c r="F110" s="3117">
        <v>15</v>
      </c>
    </row>
    <row r="111" spans="1:6" ht="24">
      <c r="A111" s="3117">
        <v>39</v>
      </c>
      <c r="B111" s="3774"/>
      <c r="C111" s="3117" t="s">
        <v>2730</v>
      </c>
      <c r="D111" s="3091" t="s">
        <v>2731</v>
      </c>
      <c r="E111" s="3117">
        <v>0.1</v>
      </c>
      <c r="F111" s="3117">
        <v>15</v>
      </c>
    </row>
    <row r="112" spans="1:6" ht="24">
      <c r="A112" s="3117">
        <v>40</v>
      </c>
      <c r="B112" s="3783"/>
      <c r="C112" s="3117" t="s">
        <v>2732</v>
      </c>
      <c r="D112" s="3091" t="s">
        <v>2733</v>
      </c>
      <c r="E112" s="3117">
        <v>0.1</v>
      </c>
      <c r="F112" s="3117">
        <v>15</v>
      </c>
    </row>
    <row r="113" spans="1:6" ht="13.5">
      <c r="A113" s="3117">
        <v>41</v>
      </c>
      <c r="B113" s="3784" t="s">
        <v>2734</v>
      </c>
      <c r="C113" s="3117" t="s">
        <v>2735</v>
      </c>
      <c r="D113" s="3091" t="s">
        <v>2736</v>
      </c>
      <c r="E113" s="3117">
        <v>0.1</v>
      </c>
      <c r="F113" s="3117">
        <v>15</v>
      </c>
    </row>
    <row r="114" spans="1:6" ht="13.5">
      <c r="A114" s="3117">
        <v>42</v>
      </c>
      <c r="B114" s="3784"/>
      <c r="C114" s="3117" t="s">
        <v>2737</v>
      </c>
      <c r="D114" s="3091" t="s">
        <v>2738</v>
      </c>
      <c r="E114" s="3117">
        <v>0.1</v>
      </c>
      <c r="F114" s="3117">
        <v>15</v>
      </c>
    </row>
    <row r="115" spans="1:6" ht="24">
      <c r="A115" s="3117">
        <v>43</v>
      </c>
      <c r="B115" s="3784"/>
      <c r="C115" s="3117" t="s">
        <v>2739</v>
      </c>
      <c r="D115" s="3091" t="s">
        <v>2740</v>
      </c>
      <c r="E115" s="3117">
        <v>0.1</v>
      </c>
      <c r="F115" s="3117">
        <v>15</v>
      </c>
    </row>
    <row r="116" spans="1:6" ht="13.5">
      <c r="A116" s="3117">
        <v>44</v>
      </c>
      <c r="B116" s="3779" t="s">
        <v>2741</v>
      </c>
      <c r="C116" s="3117" t="s">
        <v>2742</v>
      </c>
      <c r="D116" s="3091" t="s">
        <v>2743</v>
      </c>
      <c r="E116" s="3117">
        <v>0.1</v>
      </c>
      <c r="F116" s="3117">
        <v>15</v>
      </c>
    </row>
    <row r="117" spans="1:6" ht="24">
      <c r="A117" s="3117">
        <v>45</v>
      </c>
      <c r="B117" s="3783"/>
      <c r="C117" s="3091" t="s">
        <v>2744</v>
      </c>
      <c r="D117" s="3091" t="s">
        <v>2745</v>
      </c>
      <c r="E117" s="3117">
        <v>0.1</v>
      </c>
      <c r="F117" s="3117">
        <v>15</v>
      </c>
    </row>
    <row r="118" spans="1:6" ht="24">
      <c r="A118" s="3117">
        <v>46</v>
      </c>
      <c r="B118" s="3779" t="s">
        <v>2746</v>
      </c>
      <c r="C118" s="3117" t="s">
        <v>2747</v>
      </c>
      <c r="D118" s="3091" t="s">
        <v>2748</v>
      </c>
      <c r="E118" s="3117">
        <v>0.1</v>
      </c>
      <c r="F118" s="3117">
        <v>15</v>
      </c>
    </row>
    <row r="119" spans="1:6" ht="24">
      <c r="A119" s="3117">
        <v>47</v>
      </c>
      <c r="B119" s="3783"/>
      <c r="C119" s="3117" t="s">
        <v>2749</v>
      </c>
      <c r="D119" s="3091" t="s">
        <v>2750</v>
      </c>
      <c r="E119" s="3117">
        <v>0.1</v>
      </c>
      <c r="F119" s="3117">
        <v>15</v>
      </c>
    </row>
    <row r="120" spans="1:6" ht="13.5">
      <c r="A120" s="3117">
        <v>48</v>
      </c>
      <c r="B120" s="3779" t="s">
        <v>2751</v>
      </c>
      <c r="C120" s="3117" t="s">
        <v>2752</v>
      </c>
      <c r="D120" s="3091" t="s">
        <v>2753</v>
      </c>
      <c r="E120" s="3117">
        <v>0.1</v>
      </c>
      <c r="F120" s="3117">
        <v>15</v>
      </c>
    </row>
    <row r="121" spans="1:6" ht="13.5">
      <c r="A121" s="3117">
        <v>49</v>
      </c>
      <c r="B121" s="3783"/>
      <c r="C121" s="3117" t="s">
        <v>2754</v>
      </c>
      <c r="D121" s="3091" t="s">
        <v>2755</v>
      </c>
      <c r="E121" s="3117">
        <v>0.1</v>
      </c>
      <c r="F121" s="3117">
        <v>15</v>
      </c>
    </row>
    <row r="122" spans="1:6" ht="24">
      <c r="A122" s="3117">
        <v>50</v>
      </c>
      <c r="B122" s="3784" t="s">
        <v>2756</v>
      </c>
      <c r="C122" s="3117" t="s">
        <v>2757</v>
      </c>
      <c r="D122" s="3091" t="s">
        <v>2758</v>
      </c>
      <c r="E122" s="3117">
        <v>0.1</v>
      </c>
      <c r="F122" s="3117">
        <v>15</v>
      </c>
    </row>
    <row r="123" spans="1:6" ht="24">
      <c r="A123" s="3117">
        <v>51</v>
      </c>
      <c r="B123" s="3784"/>
      <c r="C123" s="3117" t="s">
        <v>2759</v>
      </c>
      <c r="D123" s="3091" t="s">
        <v>2760</v>
      </c>
      <c r="E123" s="3117">
        <v>0.1</v>
      </c>
      <c r="F123" s="3117">
        <v>15</v>
      </c>
    </row>
    <row r="124" spans="1:6" ht="24">
      <c r="A124" s="3117">
        <v>52</v>
      </c>
      <c r="B124" s="3784" t="s">
        <v>2761</v>
      </c>
      <c r="C124" s="3117" t="s">
        <v>2762</v>
      </c>
      <c r="D124" s="3091" t="s">
        <v>2763</v>
      </c>
      <c r="E124" s="3117">
        <v>0.1</v>
      </c>
      <c r="F124" s="3117">
        <v>15</v>
      </c>
    </row>
    <row r="125" spans="1:6" ht="24">
      <c r="A125" s="3117">
        <v>53</v>
      </c>
      <c r="B125" s="3784"/>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4" t="s">
        <v>2769</v>
      </c>
      <c r="C127" s="3117" t="s">
        <v>2770</v>
      </c>
      <c r="D127" s="3091" t="s">
        <v>2771</v>
      </c>
      <c r="E127" s="3117">
        <v>0.1</v>
      </c>
      <c r="F127" s="3117">
        <v>15</v>
      </c>
    </row>
    <row r="128" spans="1:6" ht="13.5">
      <c r="A128" s="3117">
        <v>56</v>
      </c>
      <c r="B128" s="3784"/>
      <c r="C128" s="3117" t="s">
        <v>2772</v>
      </c>
      <c r="D128" s="3091" t="s">
        <v>2773</v>
      </c>
      <c r="E128" s="3117">
        <v>0.1</v>
      </c>
      <c r="F128" s="3117">
        <v>15</v>
      </c>
    </row>
    <row r="129" spans="1:6" ht="24">
      <c r="A129" s="3117">
        <v>57</v>
      </c>
      <c r="B129" s="3784"/>
      <c r="C129" s="3117" t="s">
        <v>2774</v>
      </c>
      <c r="D129" s="3091" t="s">
        <v>2775</v>
      </c>
      <c r="E129" s="3117">
        <v>0.1</v>
      </c>
      <c r="F129" s="3117">
        <v>15</v>
      </c>
    </row>
    <row r="130" spans="1:6" ht="24">
      <c r="A130" s="3117">
        <v>58</v>
      </c>
      <c r="B130" s="3784" t="s">
        <v>2776</v>
      </c>
      <c r="C130" s="3117" t="s">
        <v>2777</v>
      </c>
      <c r="D130" s="3091" t="s">
        <v>2778</v>
      </c>
      <c r="E130" s="3117">
        <v>0.1</v>
      </c>
      <c r="F130" s="3117">
        <v>15</v>
      </c>
    </row>
    <row r="131" spans="1:6" ht="13.5">
      <c r="A131" s="3117">
        <v>59</v>
      </c>
      <c r="B131" s="3784"/>
      <c r="C131" s="3117" t="s">
        <v>2779</v>
      </c>
      <c r="D131" s="3091" t="s">
        <v>2780</v>
      </c>
      <c r="E131" s="3117">
        <v>0.1</v>
      </c>
      <c r="F131" s="3117">
        <v>15</v>
      </c>
    </row>
    <row r="132" spans="1:6" ht="13.5">
      <c r="A132" s="3117">
        <v>60</v>
      </c>
      <c r="B132" s="3779" t="s">
        <v>2781</v>
      </c>
      <c r="C132" s="3117" t="s">
        <v>2782</v>
      </c>
      <c r="D132" s="3091" t="s">
        <v>2783</v>
      </c>
      <c r="E132" s="3117">
        <v>0.1</v>
      </c>
      <c r="F132" s="3117">
        <v>15</v>
      </c>
    </row>
    <row r="133" spans="1:6" ht="13.5">
      <c r="A133" s="3117">
        <v>61</v>
      </c>
      <c r="B133" s="3783"/>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4" t="s">
        <v>2789</v>
      </c>
      <c r="C135" s="3117" t="s">
        <v>2790</v>
      </c>
      <c r="D135" s="3091" t="s">
        <v>2791</v>
      </c>
      <c r="E135" s="3117">
        <v>0.1</v>
      </c>
      <c r="F135" s="3117">
        <v>15</v>
      </c>
    </row>
    <row r="136" spans="1:6" ht="13.5">
      <c r="A136" s="3117">
        <v>64</v>
      </c>
      <c r="B136" s="3784"/>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0.94710000000000005</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29114</v>
      </c>
      <c r="C2" s="2" t="s">
        <v>106</v>
      </c>
      <c r="D2" s="199"/>
      <c r="E2" s="199"/>
      <c r="F2" s="199"/>
      <c r="G2" s="199"/>
    </row>
    <row r="3" spans="1:7" s="200" customFormat="1" ht="18" customHeight="1" thickBot="1">
      <c r="A3" s="203" t="s">
        <v>58</v>
      </c>
      <c r="B3" s="204">
        <f ca="1">ROUND(B2*10000/'数据-汇总表'!E3,0)</f>
        <v>1372331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212.15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212.15</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4246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29013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85</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212.15</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5.9999999999999995E-4</v>
      </c>
      <c r="D44" s="238"/>
      <c r="E44" s="238"/>
      <c r="F44" s="239"/>
      <c r="G44" s="3651"/>
    </row>
    <row r="45" spans="1:7" s="214" customFormat="1" ht="13.5" customHeight="1">
      <c r="A45" s="777" t="s">
        <v>341</v>
      </c>
      <c r="B45" s="244" t="s">
        <v>85</v>
      </c>
      <c r="C45" s="245">
        <f>C46</f>
        <v>20</v>
      </c>
      <c r="D45" s="235">
        <f>C47</f>
        <v>4.0000000000000001E-3</v>
      </c>
      <c r="E45" s="236" t="s">
        <v>102</v>
      </c>
      <c r="F45" s="246"/>
      <c r="G45" s="247" t="s">
        <v>434</v>
      </c>
    </row>
    <row r="46" spans="1:7" s="214" customFormat="1" ht="13.5" customHeight="1">
      <c r="A46" s="780" t="s">
        <v>349</v>
      </c>
      <c r="B46" s="248" t="s">
        <v>427</v>
      </c>
      <c r="C46" s="249">
        <f>ROUND((C33+C39)*F27,0)</f>
        <v>20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131</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101</v>
      </c>
      <c r="D51" s="232"/>
      <c r="E51" s="232"/>
      <c r="F51" s="264"/>
      <c r="G51" s="234" t="s">
        <v>37</v>
      </c>
    </row>
    <row r="52" spans="1:7" s="208" customFormat="1" ht="16.5" thickBot="1">
      <c r="A52" s="265" t="s">
        <v>38</v>
      </c>
      <c r="B52" s="266"/>
      <c r="C52" s="267">
        <f ca="1">C31+C51</f>
        <v>29114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480</v>
      </c>
      <c r="E5" s="1491"/>
    </row>
    <row r="6" spans="1:5" ht="15.75">
      <c r="A6" s="1491"/>
      <c r="B6" s="3468"/>
      <c r="C6" s="1494" t="s">
        <v>911</v>
      </c>
      <c r="D6" s="850" t="str">
        <f ca="1">NUMBERSTRING(INT(D5*10000),2)&amp;"元整"</f>
        <v>肆佰捌拾万元整</v>
      </c>
      <c r="E6" s="1491"/>
    </row>
    <row r="7" spans="1:5" ht="15.75">
      <c r="A7" s="1491"/>
      <c r="B7" s="3473"/>
      <c r="C7" s="1495" t="s">
        <v>912</v>
      </c>
      <c r="D7" s="851">
        <f ca="1">结果表!H102</f>
        <v>22632</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480</v>
      </c>
      <c r="E13" s="1491"/>
    </row>
    <row r="14" spans="1:5" ht="15.75">
      <c r="A14" s="1491"/>
      <c r="B14" s="3468"/>
      <c r="C14" s="1494" t="s">
        <v>911</v>
      </c>
      <c r="D14" s="850" t="str">
        <f ca="1">NUMBERSTRING(INT(D13*10000),2)&amp;"元整"</f>
        <v>肆佰捌拾万元整</v>
      </c>
      <c r="E14" s="1491"/>
    </row>
    <row r="15" spans="1:5" ht="15">
      <c r="A15" s="1491"/>
      <c r="B15" s="3473"/>
      <c r="C15" s="1495" t="s">
        <v>921</v>
      </c>
      <c r="D15" s="859">
        <f ca="1">结果表!H108</f>
        <v>22632</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v>
      </c>
      <c r="C19" s="1499" t="s">
        <v>910</v>
      </c>
      <c r="D19" s="851" t="str">
        <f>结果表!H111</f>
        <v>——</v>
      </c>
      <c r="E19" s="1491"/>
    </row>
    <row r="20" spans="1:5" ht="15.75">
      <c r="A20" s="1491"/>
      <c r="B20" s="3468"/>
      <c r="C20" s="1494" t="s">
        <v>923</v>
      </c>
      <c r="D20" s="850" t="e">
        <f>NUMBERSTRING(INT(D19*10000),2)&amp;"元整"</f>
        <v>#VALUE!</v>
      </c>
      <c r="E20" s="1491"/>
    </row>
    <row r="21" spans="1:5" ht="15.75" thickBot="1">
      <c r="A21" s="1491"/>
      <c r="B21" s="346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5" t="s">
        <v>3181</v>
      </c>
      <c r="B1" s="3785"/>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6" t="s">
        <v>3232</v>
      </c>
      <c r="B1" s="3786"/>
      <c r="C1" s="3786"/>
      <c r="D1" s="3786"/>
      <c r="E1" s="3786"/>
      <c r="F1" s="3787"/>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45799</v>
      </c>
      <c r="B1" s="3209" t="s">
        <v>3377</v>
      </c>
      <c r="C1" s="3210"/>
      <c r="D1" s="3210"/>
      <c r="E1" s="3210"/>
      <c r="F1" s="3210"/>
      <c r="G1" s="3210"/>
      <c r="H1" s="3210"/>
      <c r="I1" s="3210"/>
      <c r="J1" s="3164"/>
      <c r="K1" s="3210" t="s">
        <v>454</v>
      </c>
      <c r="L1" s="3210"/>
      <c r="M1" s="3210"/>
      <c r="N1" s="3210"/>
      <c r="O1" s="3210"/>
      <c r="P1" s="3210"/>
      <c r="Q1" s="3164"/>
      <c r="R1" s="3788" t="s">
        <v>456</v>
      </c>
      <c r="S1" s="3789"/>
      <c r="T1" s="3789"/>
      <c r="U1" s="3789"/>
      <c r="V1" s="3789"/>
      <c r="W1" s="3789"/>
      <c r="X1" s="3164"/>
      <c r="Y1" s="3788" t="s">
        <v>457</v>
      </c>
      <c r="Z1" s="3789"/>
      <c r="AA1" s="3789"/>
      <c r="AB1" s="3789"/>
      <c r="AC1" s="3789"/>
      <c r="AD1" s="3789"/>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3404</v>
      </c>
      <c r="AG2" t="s">
        <v>673</v>
      </c>
      <c r="AH2" t="s">
        <v>21</v>
      </c>
      <c r="AI2" t="s">
        <v>3405</v>
      </c>
      <c r="AJ2" t="s">
        <v>3</v>
      </c>
      <c r="AK2" t="s">
        <v>3406</v>
      </c>
      <c r="AM2" t="s">
        <v>3404</v>
      </c>
      <c r="AN2" t="s">
        <v>673</v>
      </c>
      <c r="AO2" t="s">
        <v>21</v>
      </c>
      <c r="AP2" t="s">
        <v>3405</v>
      </c>
      <c r="AQ2" t="s">
        <v>3</v>
      </c>
      <c r="AR2" t="s">
        <v>3406</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3403</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3402</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3401</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3409</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3408</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3381</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3375</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3374</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3370</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3369</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3367</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3366</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3365</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3363</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3354</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3380</v>
      </c>
    </row>
    <row r="27" spans="1:44" s="3008" customFormat="1">
      <c r="I27" s="3207" t="s">
        <v>2825</v>
      </c>
    </row>
    <row r="28" spans="1:44" s="3008" customFormat="1"/>
    <row r="29" spans="1:44" s="3208" customFormat="1" ht="12.75">
      <c r="B29" s="3209" t="s">
        <v>3378</v>
      </c>
      <c r="C29" s="3210"/>
      <c r="D29" s="3210"/>
      <c r="E29" s="3210"/>
      <c r="F29" s="3210"/>
      <c r="G29" s="3210"/>
      <c r="H29" s="3210"/>
      <c r="I29" s="3210"/>
      <c r="J29" s="3164"/>
      <c r="K29" s="3210" t="s">
        <v>2826</v>
      </c>
      <c r="L29" s="3210"/>
      <c r="M29" s="3210"/>
      <c r="N29" s="3210"/>
      <c r="O29" s="3210"/>
      <c r="P29" s="3210"/>
      <c r="Q29" s="3164"/>
      <c r="R29" s="3788" t="s">
        <v>2827</v>
      </c>
      <c r="S29" s="3789"/>
      <c r="T29" s="3789"/>
      <c r="U29" s="3789"/>
      <c r="V29" s="3789"/>
      <c r="W29" s="3789"/>
      <c r="X29" s="3164"/>
      <c r="Y29" s="3788" t="s">
        <v>2828</v>
      </c>
      <c r="Z29" s="3789"/>
      <c r="AA29" s="3789"/>
      <c r="AB29" s="3789"/>
      <c r="AC29" s="3789"/>
      <c r="AD29" s="3789"/>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3405</v>
      </c>
      <c r="AJ30"/>
      <c r="AK30" t="s">
        <v>3406</v>
      </c>
      <c r="AN30" t="s">
        <v>673</v>
      </c>
      <c r="AO30" t="s">
        <v>21</v>
      </c>
      <c r="AP30" t="s">
        <v>3405</v>
      </c>
      <c r="AQ30"/>
      <c r="AR30" t="s">
        <v>3406</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3403</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3402</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3410</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3407</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3408</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3372</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3376</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3373</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3371</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3369</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3368</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3366</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3365</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3364</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3354</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3" t="s">
        <v>2839</v>
      </c>
      <c r="B1" s="3803"/>
      <c r="C1" s="3803"/>
      <c r="D1" s="3803"/>
      <c r="E1" s="3803"/>
      <c r="F1" s="3803"/>
      <c r="G1" s="3804"/>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01"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02"/>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45799</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01" workbookViewId="0">
      <selection activeCell="J319" sqref="J319"/>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54" t="s">
        <v>925</v>
      </c>
      <c r="E3" s="854" t="s">
        <v>931</v>
      </c>
      <c r="F3" s="854" t="s">
        <v>925</v>
      </c>
      <c r="G3" s="854" t="s">
        <v>926</v>
      </c>
      <c r="H3" s="854" t="s">
        <v>925</v>
      </c>
      <c r="I3" s="854" t="s">
        <v>926</v>
      </c>
    </row>
    <row r="4" spans="1:9" ht="15">
      <c r="A4" s="1505" t="str">
        <f>项目基本情况!S2</f>
        <v>北京市朝阳区日坛北路17号院2号楼4层4082商业用房房地产</v>
      </c>
      <c r="B4" s="854">
        <f>项目基本情况!C17</f>
        <v>212.15</v>
      </c>
      <c r="C4" s="854">
        <f>项目基本情况!C18</f>
        <v>0</v>
      </c>
      <c r="D4" s="854">
        <f ca="1">结果表!D118</f>
        <v>419</v>
      </c>
      <c r="E4" s="854">
        <f ca="1">结果表!E118</f>
        <v>19735</v>
      </c>
      <c r="F4" s="854">
        <f ca="1">结果表!F118</f>
        <v>61</v>
      </c>
      <c r="G4" s="854">
        <f ca="1">结果表!G118</f>
        <v>2897</v>
      </c>
      <c r="H4" s="854">
        <f ca="1">结果表!H118</f>
        <v>480</v>
      </c>
      <c r="I4" s="854">
        <f ca="1">结果表!I118</f>
        <v>22632</v>
      </c>
    </row>
    <row r="5" spans="1:9" ht="30" customHeight="1">
      <c r="A5" s="3479" t="s">
        <v>927</v>
      </c>
      <c r="B5" s="3479"/>
      <c r="C5" s="3479"/>
      <c r="D5" s="3479" t="str">
        <f ca="1">结果表!D119</f>
        <v>肆佰壹拾玖万元整</v>
      </c>
      <c r="E5" s="3479"/>
      <c r="F5" s="3479" t="str">
        <f ca="1">结果表!F119</f>
        <v>陆拾壹万元整</v>
      </c>
      <c r="G5" s="3479"/>
      <c r="H5" s="3479" t="str">
        <f ca="1">结果表!H119</f>
        <v>肆佰捌拾万元整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房地产抵押价值</v>
      </c>
      <c r="B8" s="3480"/>
      <c r="C8" s="3480"/>
      <c r="D8" s="3480">
        <f ca="1">结果表!D122</f>
        <v>480</v>
      </c>
      <c r="E8" s="3480"/>
      <c r="F8" s="3480"/>
      <c r="G8" s="3480"/>
      <c r="H8" s="3480"/>
      <c r="I8" s="3480"/>
    </row>
    <row r="9" spans="1:9" ht="15">
      <c r="A9" s="3479" t="s">
        <v>927</v>
      </c>
      <c r="B9" s="3479"/>
      <c r="C9" s="3479"/>
      <c r="D9" s="3479" t="str">
        <f ca="1">结果表!D123</f>
        <v>肆佰捌拾万元整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45799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3"/>
      <c r="E18" s="3505" t="s">
        <v>2162</v>
      </c>
      <c r="F18" s="3504"/>
      <c r="G18" s="350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2025-05-22T02:48:31Z</dcterms:modified>
</cp:coreProperties>
</file>