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drawings/drawing10.xml" ContentType="application/vnd.openxmlformats-officedocument.drawing+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180" yWindow="-30" windowWidth="10395" windowHeight="1041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信息" sheetId="68"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汇总表" sheetId="74" r:id="rId18"/>
    <sheet name="结果表(商业）" sheetId="9" state="hidden" r:id="rId19"/>
    <sheet name="剩余法-现房" sheetId="43" state="hidden" r:id="rId20"/>
    <sheet name="案例-2019" sheetId="76" state="hidden" r:id="rId21"/>
    <sheet name="2018" sheetId="79" state="hidden" r:id="rId22"/>
    <sheet name="招拍挂" sheetId="80" r:id="rId23"/>
    <sheet name="Sheet1" sheetId="78" r:id="rId24"/>
    <sheet name="基准地价 住宅" sheetId="82" r:id="rId25"/>
    <sheet name="剩余法住宅" sheetId="83" r:id="rId26"/>
    <sheet name="住宅销售案例" sheetId="86" r:id="rId27"/>
    <sheet name="不动产比较法-住宅" sheetId="21" r:id="rId28"/>
    <sheet name="剩余法-待开发（商业）" sheetId="12" r:id="rId29"/>
    <sheet name="比较法-工业" sheetId="40" state="hidden" r:id="rId30"/>
    <sheet name="不动产比较法-商业" sheetId="33" r:id="rId31"/>
    <sheet name="商业-案例" sheetId="70" r:id="rId32"/>
    <sheet name="比较法-商业" sheetId="39" r:id="rId33"/>
    <sheet name="案例2021" sheetId="87" r:id="rId34"/>
    <sheet name="案例-2020" sheetId="75" r:id="rId35"/>
    <sheet name="基准地价（商业）" sheetId="46" r:id="rId36"/>
    <sheet name="修正" sheetId="49" state="hidden" r:id="rId37"/>
    <sheet name="区片价" sheetId="48" state="hidden" r:id="rId38"/>
    <sheet name="容积率修正" sheetId="45" state="hidden" r:id="rId39"/>
    <sheet name="因素修正幅度" sheetId="56" state="hidden" r:id="rId40"/>
    <sheet name="结果表 (办公)" sheetId="73" state="hidden" r:id="rId41"/>
    <sheet name="比较法-办公" sheetId="77" r:id="rId42"/>
    <sheet name="基准地价 (办公)" sheetId="69" r:id="rId43"/>
    <sheet name="剩余法-待开发 (办公)" sheetId="72" r:id="rId44"/>
    <sheet name="不动产比较法-办公" sheetId="34" r:id="rId45"/>
    <sheet name="剩余法-待开发办公剩余年限" sheetId="89" state="hidden" r:id="rId46"/>
    <sheet name="不动产比较法-办公剩余年限" sheetId="88" state="hidden" r:id="rId47"/>
    <sheet name="比较法-办公剩余年限" sheetId="90" state="hidden" r:id="rId48"/>
    <sheet name="办公-案例" sheetId="71" r:id="rId49"/>
    <sheet name="地价" sheetId="59" r:id="rId50"/>
    <sheet name="基准地价（汇总）" sheetId="67" state="hidden" r:id="rId51"/>
    <sheet name="收益还原法" sheetId="44" state="hidden" r:id="rId52"/>
    <sheet name="不动产收益法" sheetId="15" state="hidden" r:id="rId53"/>
    <sheet name="酒店收入计算" sheetId="57" state="hidden" r:id="rId54"/>
    <sheet name="成本逼近法" sheetId="11"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definedNames>
    <definedName name="_xlnm._FilterDatabase" localSheetId="41" hidden="1">'比较法-办公'!$A$1:$L$50</definedName>
    <definedName name="_xlnm._FilterDatabase" localSheetId="47" hidden="1">'比较法-办公剩余年限'!$A$1:$L$50</definedName>
    <definedName name="_xlnm._FilterDatabase" localSheetId="29" hidden="1">'比较法-工业'!$A$1:$L$45</definedName>
    <definedName name="_xlnm._FilterDatabase" localSheetId="32" hidden="1">'比较法-商业'!$A$1:$L$50</definedName>
    <definedName name="_xlnm._FilterDatabase" localSheetId="44" hidden="1">'不动产比较法-办公'!$A$1:$L$50</definedName>
    <definedName name="_xlnm._FilterDatabase" localSheetId="46" hidden="1">'不动产比较法-办公剩余年限'!$A$1:$L$50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30" hidden="1">'不动产比较法-商业'!$A$1:$L$49</definedName>
    <definedName name="_xlnm._FilterDatabase" localSheetId="27"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1">'比较法-办公'!$A$1:$K$67,'比较法-办公'!$A$71:$N$134</definedName>
    <definedName name="_xlnm.Print_Area" localSheetId="47">'比较法-办公剩余年限'!$A$1:$K$67,'比较法-办公剩余年限'!$A$71:$N$134</definedName>
    <definedName name="_xlnm.Print_Area" localSheetId="29">'比较法-工业'!$A$1:$K$63,'比较法-工业'!$A$66:$N$123</definedName>
    <definedName name="_xlnm.Print_Area" localSheetId="32">'比较法-商业'!$A$1:$K$67,'比较法-商业'!$A$71:$N$134</definedName>
    <definedName name="_xlnm.Print_Area" localSheetId="44">'不动产比较法-办公'!$A$58:$M$132</definedName>
    <definedName name="_xlnm.Print_Area" localSheetId="46">'不动产比较法-办公剩余年限'!$A$58:$M$132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30">'不动产比较法-商业'!$A$1:$K$54,'不动产比较法-商业'!$A$57:$M$131</definedName>
    <definedName name="_xlnm.Print_Area" localSheetId="27">'不动产比较法-住宅'!$A$1:$K$54,'不动产比较法-住宅'!$A$57:$M$131</definedName>
    <definedName name="_xlnm.Print_Area" localSheetId="52">不动产收益法!$A$1:$F$43,不动产收益法!$H$3:$M$29,不动产收益法!$A$46:$F$70,不动产收益法!$I$46:$M$60</definedName>
    <definedName name="_xlnm.Print_Area" localSheetId="54">成本逼近法!$A$1:$G$23</definedName>
    <definedName name="_xlnm.Print_Area" localSheetId="15">估价对象房地状况!$A$1:$G$24</definedName>
    <definedName name="_xlnm.Print_Area" localSheetId="7">估价师及机构信息!$A$1:$F$22</definedName>
    <definedName name="_xlnm.Print_Area" localSheetId="42">'基准地价 (办公)'!$A$1:$J$41,'基准地价 (办公)'!$A$44:$N$87,'基准地价 (办公)'!$R$1:$V$16</definedName>
    <definedName name="_xlnm.Print_Area" localSheetId="24">'基准地价 住宅'!$A$1:$J$41,'基准地价 住宅'!$A$44:$N$87,'基准地价 住宅'!$R$1:$V$16</definedName>
    <definedName name="_xlnm.Print_Area" localSheetId="50">'基准地价（汇总）'!$A$1:$F$14</definedName>
    <definedName name="_xlnm.Print_Area" localSheetId="35">'基准地价（商业）'!$A$1:$J$41,'基准地价（商业）'!$A$44:$N$87,'基准地价（商业）'!$R$1:$V$16</definedName>
    <definedName name="_xlnm.Print_Area" localSheetId="40">'结果表 (办公)'!$A$1:$I$46,'结果表 (办公)'!$K$25:$O$44,'结果表 (办公)'!$A$62:$I$115,'结果表 (办公)'!$K$64:$P$81</definedName>
    <definedName name="_xlnm.Print_Area" localSheetId="18">'结果表(商业）'!$A$1:$I$46,'结果表(商业）'!$K$25:$O$44,'结果表(商业）'!$A$62:$I$115,'结果表(商业）'!$K$64:$P$81</definedName>
    <definedName name="_xlnm.Print_Area" localSheetId="43">'剩余法-待开发 (办公)'!$A$1:$K$36</definedName>
    <definedName name="_xlnm.Print_Area" localSheetId="28">'剩余法-待开发（商业）'!$A$1:$K$36</definedName>
    <definedName name="_xlnm.Print_Area" localSheetId="45">'剩余法-待开发办公剩余年限'!$A$1:$K$36</definedName>
    <definedName name="_xlnm.Print_Area" localSheetId="19">'剩余法-现房'!$A$1:$K$32</definedName>
    <definedName name="_xlnm.Print_Area" localSheetId="25">剩余法住宅!$A$1:$K$36</definedName>
    <definedName name="_xlnm.Print_Area" localSheetId="5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46">'不动产比较法-办公剩余年限'!$B$119:$M$119</definedName>
    <definedName name="办公层高">'不动产比较法-办公'!$B$119:$M$119</definedName>
    <definedName name="办公朝向" localSheetId="46">'不动产比较法-办公剩余年限'!$B$91:$M$91</definedName>
    <definedName name="办公朝向">'不动产比较法-办公'!$B$91:$M$91</definedName>
    <definedName name="办公道路级别" localSheetId="46">'不动产比较法-办公剩余年限'!$B$87:$M$87</definedName>
    <definedName name="办公道路级别">'不动产比较法-办公'!$B$87:$M$87</definedName>
    <definedName name="办公公共部分装修" localSheetId="46">'不动产比较法-办公剩余年限'!$B$108:$M$108</definedName>
    <definedName name="办公公共部分装修">'不动产比较法-办公'!$B$108:$M$108</definedName>
    <definedName name="办公基础设施水平" localSheetId="46">'不动产比较法-办公剩余年限'!$B$117:$M$117</definedName>
    <definedName name="办公基础设施水平">'不动产比较法-办公'!$B$117:$M$117</definedName>
    <definedName name="办公集聚程度">定义!$M$1:$M$6</definedName>
    <definedName name="办公建筑结构" localSheetId="46">'不动产比较法-办公剩余年限'!$B$106:$M$106</definedName>
    <definedName name="办公建筑结构">'不动产比较法-办公'!$B$106:$M$106</definedName>
    <definedName name="办公建筑类型" localSheetId="46">'不动产比较法-办公剩余年限'!$B$101:$M$101</definedName>
    <definedName name="办公建筑类型">'不动产比较法-办公'!$B$101:$M$101</definedName>
    <definedName name="办公交易情况" localSheetId="46">'不动产比较法-办公剩余年限'!$A$62:$M$62</definedName>
    <definedName name="办公交易情况">'不动产比较法-办公'!$A$62:$M$62</definedName>
    <definedName name="办公楼层" localSheetId="46">'不动产比较法-办公剩余年限'!$B$89:$M$89</definedName>
    <definedName name="办公楼层">'不动产比较法-办公'!$B$89:$M$89</definedName>
    <definedName name="办公内部装修" localSheetId="46">'不动产比较法-办公剩余年限'!$B$123:$M$123</definedName>
    <definedName name="办公内部装修">'不动产比较法-办公'!$B$123:$M$123</definedName>
    <definedName name="办公物业管理" localSheetId="46">'不动产比较法-办公剩余年限'!$B$115:$M$115</definedName>
    <definedName name="办公物业管理">'不动产比较法-办公'!$B$115:$M$115</definedName>
    <definedName name="办公用途" localSheetId="46">'不动产比较法-办公剩余年限'!$B$64:$M$64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2">'基准地价 (办公)'!$N$19:$AB$19</definedName>
    <definedName name="季度" localSheetId="24">'基准地价 住宅'!$N$19:$AB$19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'比较法-办公'!$A$75:$M$75</definedName>
    <definedName name="套工交易情况" localSheetId="47">'比较法-办公剩余年限'!$A$75:$M$75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'比较法-办公'!$B$108:$M$108</definedName>
    <definedName name="套综道路等级" localSheetId="47">'比较法-办公剩余年限'!$B$108:$M$108</definedName>
    <definedName name="套综道路等级">'比较法-商业'!$B$108:$M$108</definedName>
    <definedName name="套综工程地质条件" localSheetId="41">'比较法-办公'!$B$127:$M$127</definedName>
    <definedName name="套综工程地质条件" localSheetId="47">'比较法-办公剩余年限'!$B$127:$M$127</definedName>
    <definedName name="套综工程地质条件">'比较法-商业'!$B$127:$M$127</definedName>
    <definedName name="套综交易情况" localSheetId="41">'比较法-办公'!$A$75:$M$75</definedName>
    <definedName name="套综交易情况" localSheetId="47">'比较法-办公剩余年限'!$A$75:$M$75</definedName>
    <definedName name="套综交易情况">'比较法-商业'!$A$75:$M$75</definedName>
    <definedName name="套综临街宽度及深度" localSheetId="41">'比较法-办公'!$B$123:$M$123</definedName>
    <definedName name="套综临街宽度及深度" localSheetId="47">'比较法-办公剩余年限'!$B$123:$M$123</definedName>
    <definedName name="套综临街宽度及深度">'比较法-商业'!$B$123:$M$123</definedName>
    <definedName name="套综土地级别" localSheetId="41">'比较法-办公'!$B$110:$M$110</definedName>
    <definedName name="套综土地级别" localSheetId="47">'比较法-办公剩余年限'!$B$110:$M$110</definedName>
    <definedName name="套综土地级别">'比较法-商业'!$B$110:$M$110</definedName>
    <definedName name="套综用途" localSheetId="41">'比较法-办公'!$B$77:$M$77</definedName>
    <definedName name="套综用途" localSheetId="47">'比较法-办公剩余年限'!$B$77:$M$77</definedName>
    <definedName name="套综用途">'比较法-商业'!$B$77:$M$77</definedName>
    <definedName name="套综宗地内开发程度" localSheetId="41">'比较法-办公'!$B$125:$M$125</definedName>
    <definedName name="套综宗地内开发程度" localSheetId="47">'比较法-办公剩余年限'!$B$125:$M$125</definedName>
    <definedName name="套综宗地内开发程度">'比较法-商业'!$B$125:$M$125</definedName>
    <definedName name="套综宗地形状" localSheetId="41">'比较法-办公'!$B$121:$M$121</definedName>
    <definedName name="套综宗地形状" localSheetId="47">'比较法-办公剩余年限'!$B$121:$M$121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6">'不动产比较法-办公剩余年限'!$B$113:$M$113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C64" i="74"/>
  <c r="C44" l="1"/>
  <c r="K44" s="1"/>
  <c r="C62" l="1"/>
  <c r="C58"/>
  <c r="C56"/>
  <c r="C45"/>
  <c r="K45" s="1"/>
  <c r="K42"/>
  <c r="C40"/>
  <c r="C46" s="1"/>
  <c r="K46" s="1"/>
  <c r="C38"/>
  <c r="K38" s="1"/>
  <c r="C60" l="1"/>
  <c r="C63"/>
  <c r="K40"/>
  <c r="C47"/>
  <c r="F82" i="90"/>
  <c r="E82"/>
  <c r="D82"/>
  <c r="K13"/>
  <c r="I13"/>
  <c r="I7" i="77"/>
  <c r="I13"/>
  <c r="G13"/>
  <c r="G13" i="90" s="1"/>
  <c r="C65" i="74" l="1"/>
  <c r="K47"/>
  <c r="G41" i="82"/>
  <c r="F9" i="68" l="1"/>
  <c r="J12" i="90" l="1"/>
  <c r="AC12" s="1"/>
  <c r="H12"/>
  <c r="AB12" s="1"/>
  <c r="C12"/>
  <c r="B133"/>
  <c r="B131"/>
  <c r="B129"/>
  <c r="D128"/>
  <c r="E128" s="1"/>
  <c r="F128" s="1"/>
  <c r="G128" s="1"/>
  <c r="H128" s="1"/>
  <c r="I128" s="1"/>
  <c r="J128" s="1"/>
  <c r="K128" s="1"/>
  <c r="L128" s="1"/>
  <c r="M128" s="1"/>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M118"/>
  <c r="L118"/>
  <c r="K118"/>
  <c r="J118"/>
  <c r="I118"/>
  <c r="H118"/>
  <c r="G118"/>
  <c r="F118"/>
  <c r="E118"/>
  <c r="D118"/>
  <c r="C118"/>
  <c r="B116"/>
  <c r="B114"/>
  <c r="B112"/>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B106"/>
  <c r="E105"/>
  <c r="F105" s="1"/>
  <c r="G105" s="1"/>
  <c r="D105"/>
  <c r="E103"/>
  <c r="F103" s="1"/>
  <c r="G103" s="1"/>
  <c r="D103"/>
  <c r="E101"/>
  <c r="F101" s="1"/>
  <c r="G101" s="1"/>
  <c r="D101"/>
  <c r="E99"/>
  <c r="F99" s="1"/>
  <c r="G99" s="1"/>
  <c r="D99"/>
  <c r="E97"/>
  <c r="F97" s="1"/>
  <c r="G97" s="1"/>
  <c r="D97"/>
  <c r="E95"/>
  <c r="F95" s="1"/>
  <c r="G95" s="1"/>
  <c r="D95"/>
  <c r="E93"/>
  <c r="F93" s="1"/>
  <c r="G93" s="1"/>
  <c r="D93"/>
  <c r="E91"/>
  <c r="F91" s="1"/>
  <c r="G91" s="1"/>
  <c r="D91"/>
  <c r="B88"/>
  <c r="B86"/>
  <c r="B84"/>
  <c r="D83"/>
  <c r="E83" s="1"/>
  <c r="F83" s="1"/>
  <c r="G83" s="1"/>
  <c r="H83" s="1"/>
  <c r="I83" s="1"/>
  <c r="J83" s="1"/>
  <c r="K83" s="1"/>
  <c r="L83" s="1"/>
  <c r="M83" s="1"/>
  <c r="M81"/>
  <c r="L81"/>
  <c r="K81"/>
  <c r="J81"/>
  <c r="I81"/>
  <c r="H81"/>
  <c r="G81"/>
  <c r="F81"/>
  <c r="E81"/>
  <c r="D81"/>
  <c r="C81"/>
  <c r="D73"/>
  <c r="E73" s="1"/>
  <c r="F73" s="1"/>
  <c r="G73" s="1"/>
  <c r="H73" s="1"/>
  <c r="I73" s="1"/>
  <c r="J73" s="1"/>
  <c r="K73" s="1"/>
  <c r="L73" s="1"/>
  <c r="M73" s="1"/>
  <c r="N73" s="1"/>
  <c r="H67"/>
  <c r="I67" s="1"/>
  <c r="C67" s="1"/>
  <c r="H66"/>
  <c r="I66" s="1"/>
  <c r="C66" s="1"/>
  <c r="H65"/>
  <c r="I65" s="1"/>
  <c r="C65" s="1"/>
  <c r="H64"/>
  <c r="I64" s="1"/>
  <c r="C64" s="1"/>
  <c r="H63"/>
  <c r="I63" s="1"/>
  <c r="C63" s="1"/>
  <c r="H62"/>
  <c r="I62" s="1"/>
  <c r="C62"/>
  <c r="H61"/>
  <c r="I61" s="1"/>
  <c r="C61" s="1"/>
  <c r="H60"/>
  <c r="I60" s="1"/>
  <c r="C60" s="1"/>
  <c r="I59"/>
  <c r="C59" s="1"/>
  <c r="H59"/>
  <c r="J57"/>
  <c r="I55"/>
  <c r="J55" s="1"/>
  <c r="G55"/>
  <c r="H55" s="1"/>
  <c r="F55"/>
  <c r="E55"/>
  <c r="P50"/>
  <c r="P49"/>
  <c r="K49"/>
  <c r="V48"/>
  <c r="T48"/>
  <c r="R48"/>
  <c r="P48"/>
  <c r="Q47"/>
  <c r="Z47" s="1"/>
  <c r="J47"/>
  <c r="AC47" s="1"/>
  <c r="H47"/>
  <c r="AB47" s="1"/>
  <c r="F47"/>
  <c r="AA47"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I40"/>
  <c r="J40" s="1"/>
  <c r="E40"/>
  <c r="C40"/>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4"/>
  <c r="Z34" s="1"/>
  <c r="J34"/>
  <c r="AC34" s="1"/>
  <c r="H34"/>
  <c r="AB34" s="1"/>
  <c r="F34"/>
  <c r="AA34" s="1"/>
  <c r="Q33"/>
  <c r="Z33" s="1"/>
  <c r="J33"/>
  <c r="AC33" s="1"/>
  <c r="H33"/>
  <c r="AB33" s="1"/>
  <c r="F33"/>
  <c r="AA33" s="1"/>
  <c r="Q31"/>
  <c r="Z31" s="1"/>
  <c r="J31"/>
  <c r="AC31" s="1"/>
  <c r="H31"/>
  <c r="AB31" s="1"/>
  <c r="F31"/>
  <c r="AA31" s="1"/>
  <c r="C31"/>
  <c r="Q29"/>
  <c r="Z29" s="1"/>
  <c r="J29"/>
  <c r="AC29" s="1"/>
  <c r="H29"/>
  <c r="AB29" s="1"/>
  <c r="F29"/>
  <c r="AA29" s="1"/>
  <c r="C29"/>
  <c r="Q27"/>
  <c r="Z27" s="1"/>
  <c r="J27"/>
  <c r="H27"/>
  <c r="AB27" s="1"/>
  <c r="F27"/>
  <c r="C27"/>
  <c r="Q25"/>
  <c r="Z25" s="1"/>
  <c r="J25"/>
  <c r="AC25" s="1"/>
  <c r="H25"/>
  <c r="AB25" s="1"/>
  <c r="F25"/>
  <c r="AA25" s="1"/>
  <c r="C25"/>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6"/>
  <c r="Z16" s="1"/>
  <c r="J16"/>
  <c r="AC16" s="1"/>
  <c r="H16"/>
  <c r="AB16" s="1"/>
  <c r="F16"/>
  <c r="AA16" s="1"/>
  <c r="Q15"/>
  <c r="Z15" s="1"/>
  <c r="J15"/>
  <c r="AC15" s="1"/>
  <c r="H15"/>
  <c r="AB15" s="1"/>
  <c r="F15"/>
  <c r="AA15" s="1"/>
  <c r="Q14"/>
  <c r="Z14" s="1"/>
  <c r="J14"/>
  <c r="AC14" s="1"/>
  <c r="H14"/>
  <c r="AB14" s="1"/>
  <c r="F14"/>
  <c r="AA14" s="1"/>
  <c r="Q13"/>
  <c r="Z13" s="1"/>
  <c r="AA12"/>
  <c r="U12"/>
  <c r="S12"/>
  <c r="Q12"/>
  <c r="Z12" s="1"/>
  <c r="Q11"/>
  <c r="Z11" s="1"/>
  <c r="J11"/>
  <c r="AC11" s="1"/>
  <c r="H11"/>
  <c r="AB11" s="1"/>
  <c r="F11"/>
  <c r="AA11" s="1"/>
  <c r="W10"/>
  <c r="S10"/>
  <c r="J10"/>
  <c r="AC10" s="1"/>
  <c r="H10"/>
  <c r="U10" s="1"/>
  <c r="F10"/>
  <c r="AA10" s="1"/>
  <c r="E8"/>
  <c r="G8" s="1"/>
  <c r="I7"/>
  <c r="G7"/>
  <c r="E7"/>
  <c r="F29" i="89"/>
  <c r="G28"/>
  <c r="G27"/>
  <c r="G26"/>
  <c r="F25"/>
  <c r="C25" s="1"/>
  <c r="F24"/>
  <c r="F23"/>
  <c r="E22"/>
  <c r="E21"/>
  <c r="E19"/>
  <c r="F17"/>
  <c r="E16"/>
  <c r="F15"/>
  <c r="F14"/>
  <c r="K9"/>
  <c r="J9"/>
  <c r="I9"/>
  <c r="H9"/>
  <c r="G9"/>
  <c r="F9"/>
  <c r="E9"/>
  <c r="D9"/>
  <c r="C9"/>
  <c r="D22" s="1"/>
  <c r="C22" s="1"/>
  <c r="B131" i="88"/>
  <c r="B129"/>
  <c r="B127"/>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E109"/>
  <c r="F109" s="1"/>
  <c r="G109" s="1"/>
  <c r="H109" s="1"/>
  <c r="I109" s="1"/>
  <c r="J109" s="1"/>
  <c r="K109" s="1"/>
  <c r="L109" s="1"/>
  <c r="M109" s="1"/>
  <c r="D109"/>
  <c r="E107"/>
  <c r="F107" s="1"/>
  <c r="G107" s="1"/>
  <c r="H107" s="1"/>
  <c r="I107" s="1"/>
  <c r="J107" s="1"/>
  <c r="K107" s="1"/>
  <c r="L107" s="1"/>
  <c r="M107" s="1"/>
  <c r="D107"/>
  <c r="M103"/>
  <c r="L103"/>
  <c r="K103"/>
  <c r="J103"/>
  <c r="I103"/>
  <c r="H103"/>
  <c r="G103"/>
  <c r="F103"/>
  <c r="E103"/>
  <c r="D103"/>
  <c r="C103"/>
  <c r="D102"/>
  <c r="E102" s="1"/>
  <c r="F102" s="1"/>
  <c r="G102" s="1"/>
  <c r="H102" s="1"/>
  <c r="I102" s="1"/>
  <c r="J102" s="1"/>
  <c r="K102" s="1"/>
  <c r="L102" s="1"/>
  <c r="M102" s="1"/>
  <c r="B99"/>
  <c r="B97"/>
  <c r="B95"/>
  <c r="B93"/>
  <c r="D92"/>
  <c r="E92" s="1"/>
  <c r="F92" s="1"/>
  <c r="G92" s="1"/>
  <c r="H92" s="1"/>
  <c r="I92" s="1"/>
  <c r="J92" s="1"/>
  <c r="K92" s="1"/>
  <c r="L92" s="1"/>
  <c r="M92" s="1"/>
  <c r="B91"/>
  <c r="E90"/>
  <c r="F90" s="1"/>
  <c r="G90" s="1"/>
  <c r="H90" s="1"/>
  <c r="I90" s="1"/>
  <c r="J90" s="1"/>
  <c r="K90" s="1"/>
  <c r="L90" s="1"/>
  <c r="M90" s="1"/>
  <c r="D90"/>
  <c r="B89"/>
  <c r="D88"/>
  <c r="E88" s="1"/>
  <c r="F88" s="1"/>
  <c r="G88" s="1"/>
  <c r="H88" s="1"/>
  <c r="I88" s="1"/>
  <c r="J88" s="1"/>
  <c r="K88" s="1"/>
  <c r="L88" s="1"/>
  <c r="M88" s="1"/>
  <c r="D86"/>
  <c r="E86" s="1"/>
  <c r="F86" s="1"/>
  <c r="G86" s="1"/>
  <c r="D84"/>
  <c r="E84" s="1"/>
  <c r="F84" s="1"/>
  <c r="G84" s="1"/>
  <c r="D82"/>
  <c r="E82" s="1"/>
  <c r="F82" s="1"/>
  <c r="G82" s="1"/>
  <c r="D80"/>
  <c r="E80" s="1"/>
  <c r="F80" s="1"/>
  <c r="G80" s="1"/>
  <c r="D78"/>
  <c r="E78" s="1"/>
  <c r="F78" s="1"/>
  <c r="G78" s="1"/>
  <c r="B75"/>
  <c r="B73"/>
  <c r="B71"/>
  <c r="E70"/>
  <c r="F70" s="1"/>
  <c r="G70" s="1"/>
  <c r="H70" s="1"/>
  <c r="I70" s="1"/>
  <c r="J70" s="1"/>
  <c r="K70" s="1"/>
  <c r="L70" s="1"/>
  <c r="M70" s="1"/>
  <c r="D70"/>
  <c r="M68"/>
  <c r="L68"/>
  <c r="K68"/>
  <c r="J68"/>
  <c r="I68"/>
  <c r="H68"/>
  <c r="G68"/>
  <c r="F68"/>
  <c r="E68"/>
  <c r="D68"/>
  <c r="C68"/>
  <c r="F67"/>
  <c r="G67" s="1"/>
  <c r="H67" s="1"/>
  <c r="I67" s="1"/>
  <c r="C64"/>
  <c r="I55"/>
  <c r="J55" s="1"/>
  <c r="G55"/>
  <c r="H55" s="1"/>
  <c r="E55"/>
  <c r="F55" s="1"/>
  <c r="P50"/>
  <c r="P49"/>
  <c r="K49"/>
  <c r="V48"/>
  <c r="T48"/>
  <c r="R48"/>
  <c r="P48"/>
  <c r="Q47"/>
  <c r="Z47" s="1"/>
  <c r="J47"/>
  <c r="AC47" s="1"/>
  <c r="H47"/>
  <c r="AB47" s="1"/>
  <c r="F47"/>
  <c r="AA47"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F34"/>
  <c r="AA34" s="1"/>
  <c r="C34"/>
  <c r="H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I29"/>
  <c r="H29"/>
  <c r="AB29" s="1"/>
  <c r="G29"/>
  <c r="F29"/>
  <c r="AA29" s="1"/>
  <c r="Q28"/>
  <c r="Z28" s="1"/>
  <c r="J28"/>
  <c r="AC28" s="1"/>
  <c r="H28"/>
  <c r="AB28" s="1"/>
  <c r="F28"/>
  <c r="AA28" s="1"/>
  <c r="Q27"/>
  <c r="Z27" s="1"/>
  <c r="J27"/>
  <c r="H27"/>
  <c r="AB27" s="1"/>
  <c r="F27"/>
  <c r="AA27" s="1"/>
  <c r="Q25"/>
  <c r="Z25" s="1"/>
  <c r="J25"/>
  <c r="AC25" s="1"/>
  <c r="H25"/>
  <c r="AB25" s="1"/>
  <c r="F25"/>
  <c r="AA25" s="1"/>
  <c r="AC23"/>
  <c r="W23"/>
  <c r="Q23"/>
  <c r="Z23" s="1"/>
  <c r="J23"/>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D23" i="74"/>
  <c r="D22"/>
  <c r="D21"/>
  <c r="I40" i="77"/>
  <c r="E40"/>
  <c r="E9"/>
  <c r="G9" s="1"/>
  <c r="E8"/>
  <c r="G8" s="1"/>
  <c r="G7"/>
  <c r="E7"/>
  <c r="I13" i="39"/>
  <c r="G13"/>
  <c r="E13"/>
  <c r="E13" i="77" s="1"/>
  <c r="E13" i="90" s="1"/>
  <c r="H12" i="39"/>
  <c r="J12"/>
  <c r="C12"/>
  <c r="I9"/>
  <c r="G9"/>
  <c r="I9" i="77" s="1"/>
  <c r="E9" i="39"/>
  <c r="E9" i="90" s="1"/>
  <c r="G9" s="1"/>
  <c r="I7" i="39"/>
  <c r="G7"/>
  <c r="E7"/>
  <c r="I9" i="90" l="1"/>
  <c r="F40"/>
  <c r="W12"/>
  <c r="AB10"/>
  <c r="S11"/>
  <c r="W11"/>
  <c r="S14"/>
  <c r="W14"/>
  <c r="U15"/>
  <c r="S16"/>
  <c r="W16"/>
  <c r="U11"/>
  <c r="U14"/>
  <c r="S15"/>
  <c r="W15"/>
  <c r="U16"/>
  <c r="U17"/>
  <c r="U19"/>
  <c r="U21"/>
  <c r="U23"/>
  <c r="U25"/>
  <c r="AA40"/>
  <c r="S40"/>
  <c r="AC40"/>
  <c r="W40"/>
  <c r="S17"/>
  <c r="W17"/>
  <c r="S19"/>
  <c r="W19"/>
  <c r="S21"/>
  <c r="W21"/>
  <c r="S23"/>
  <c r="W23"/>
  <c r="S25"/>
  <c r="W25"/>
  <c r="AA27"/>
  <c r="S27"/>
  <c r="AC27"/>
  <c r="W27"/>
  <c r="U27"/>
  <c r="U29"/>
  <c r="U31"/>
  <c r="S29"/>
  <c r="W29"/>
  <c r="S31"/>
  <c r="W31"/>
  <c r="U33"/>
  <c r="S34"/>
  <c r="W34"/>
  <c r="U36"/>
  <c r="S37"/>
  <c r="W37"/>
  <c r="U38"/>
  <c r="S39"/>
  <c r="W39"/>
  <c r="H40"/>
  <c r="U41"/>
  <c r="S42"/>
  <c r="W42"/>
  <c r="U43"/>
  <c r="S44"/>
  <c r="W44"/>
  <c r="U45"/>
  <c r="S46"/>
  <c r="W46"/>
  <c r="U47"/>
  <c r="S33"/>
  <c r="W33"/>
  <c r="U34"/>
  <c r="S36"/>
  <c r="W36"/>
  <c r="U37"/>
  <c r="S38"/>
  <c r="W38"/>
  <c r="U39"/>
  <c r="S41"/>
  <c r="W41"/>
  <c r="U42"/>
  <c r="S43"/>
  <c r="W43"/>
  <c r="U44"/>
  <c r="S45"/>
  <c r="W45"/>
  <c r="U46"/>
  <c r="S47"/>
  <c r="W47"/>
  <c r="D16" i="89"/>
  <c r="U8" i="88"/>
  <c r="AA8"/>
  <c r="AC8"/>
  <c r="U9"/>
  <c r="S10"/>
  <c r="W10"/>
  <c r="U11"/>
  <c r="S12"/>
  <c r="W12"/>
  <c r="U13"/>
  <c r="S14"/>
  <c r="W14"/>
  <c r="S15"/>
  <c r="W15"/>
  <c r="S17"/>
  <c r="W17"/>
  <c r="S19"/>
  <c r="W19"/>
  <c r="S21"/>
  <c r="W21"/>
  <c r="S23"/>
  <c r="U25"/>
  <c r="AB34"/>
  <c r="U34"/>
  <c r="S9"/>
  <c r="W9"/>
  <c r="U10"/>
  <c r="S11"/>
  <c r="W11"/>
  <c r="U12"/>
  <c r="S13"/>
  <c r="W13"/>
  <c r="U14"/>
  <c r="U15"/>
  <c r="U17"/>
  <c r="U19"/>
  <c r="U21"/>
  <c r="AC27"/>
  <c r="W27"/>
  <c r="S27"/>
  <c r="U23"/>
  <c r="S25"/>
  <c r="W25"/>
  <c r="U27"/>
  <c r="S28"/>
  <c r="W28"/>
  <c r="U29"/>
  <c r="S30"/>
  <c r="W30"/>
  <c r="U31"/>
  <c r="S32"/>
  <c r="W32"/>
  <c r="U33"/>
  <c r="S35"/>
  <c r="W35"/>
  <c r="U36"/>
  <c r="S37"/>
  <c r="W37"/>
  <c r="U38"/>
  <c r="S39"/>
  <c r="W39"/>
  <c r="U40"/>
  <c r="S41"/>
  <c r="W41"/>
  <c r="U42"/>
  <c r="S43"/>
  <c r="W43"/>
  <c r="U44"/>
  <c r="S45"/>
  <c r="W45"/>
  <c r="U46"/>
  <c r="S47"/>
  <c r="W47"/>
  <c r="U28"/>
  <c r="S29"/>
  <c r="W29"/>
  <c r="U30"/>
  <c r="S31"/>
  <c r="W31"/>
  <c r="U32"/>
  <c r="S33"/>
  <c r="W33"/>
  <c r="S34"/>
  <c r="W34"/>
  <c r="U35"/>
  <c r="S36"/>
  <c r="W36"/>
  <c r="U37"/>
  <c r="S38"/>
  <c r="W38"/>
  <c r="U39"/>
  <c r="S40"/>
  <c r="W40"/>
  <c r="U41"/>
  <c r="S42"/>
  <c r="W42"/>
  <c r="U43"/>
  <c r="S44"/>
  <c r="W44"/>
  <c r="U45"/>
  <c r="S46"/>
  <c r="W46"/>
  <c r="U47"/>
  <c r="D3" i="74"/>
  <c r="D28" s="1"/>
  <c r="D29"/>
  <c r="D27"/>
  <c r="D20"/>
  <c r="D18"/>
  <c r="AB40" i="90" l="1"/>
  <c r="U40"/>
  <c r="C16" i="89"/>
  <c r="D19"/>
  <c r="C19" s="1"/>
  <c r="D19" i="74"/>
  <c r="I47" i="21" l="1"/>
  <c r="G47"/>
  <c r="I5"/>
  <c r="G5"/>
  <c r="E47"/>
  <c r="C9" i="72" l="1"/>
  <c r="D22" s="1"/>
  <c r="K8" i="1"/>
  <c r="C34" i="34"/>
  <c r="C33" i="33"/>
  <c r="G41" i="69"/>
  <c r="H2" i="68"/>
  <c r="H4"/>
  <c r="G5"/>
  <c r="D16" i="72" l="1"/>
  <c r="C29" i="74"/>
  <c r="C20"/>
  <c r="G40" i="68"/>
  <c r="F40"/>
  <c r="F39"/>
  <c r="G39" s="1"/>
  <c r="E40"/>
  <c r="G38"/>
  <c r="F37"/>
  <c r="G36"/>
  <c r="G35"/>
  <c r="F34"/>
  <c r="G33"/>
  <c r="E32"/>
  <c r="F31"/>
  <c r="F32" s="1"/>
  <c r="G30"/>
  <c r="G29"/>
  <c r="G27"/>
  <c r="C19" i="69"/>
  <c r="D3" i="88" l="1"/>
  <c r="D3" i="34"/>
  <c r="G37" i="68"/>
  <c r="G34"/>
  <c r="F41"/>
  <c r="E41"/>
  <c r="G31"/>
  <c r="F29" i="83"/>
  <c r="G28"/>
  <c r="G27"/>
  <c r="G26"/>
  <c r="F25"/>
  <c r="C25" s="1"/>
  <c r="E22"/>
  <c r="E21"/>
  <c r="E19"/>
  <c r="F17"/>
  <c r="E16"/>
  <c r="F15"/>
  <c r="F14"/>
  <c r="K9"/>
  <c r="J9"/>
  <c r="I9"/>
  <c r="H9"/>
  <c r="G9"/>
  <c r="F9"/>
  <c r="E9"/>
  <c r="D9"/>
  <c r="F113" i="82"/>
  <c r="N99"/>
  <c r="N100" s="1"/>
  <c r="M99"/>
  <c r="M108" s="1"/>
  <c r="L99"/>
  <c r="L108" s="1"/>
  <c r="K99"/>
  <c r="K108" s="1"/>
  <c r="J99"/>
  <c r="J100" s="1"/>
  <c r="I99"/>
  <c r="I108" s="1"/>
  <c r="H99"/>
  <c r="H108" s="1"/>
  <c r="G99"/>
  <c r="G108" s="1"/>
  <c r="F99"/>
  <c r="F100" s="1"/>
  <c r="E99"/>
  <c r="E108" s="1"/>
  <c r="D99"/>
  <c r="D108" s="1"/>
  <c r="C99"/>
  <c r="C108" s="1"/>
  <c r="N87"/>
  <c r="M87"/>
  <c r="K87"/>
  <c r="J87" s="1"/>
  <c r="D87"/>
  <c r="B87"/>
  <c r="N86"/>
  <c r="M86"/>
  <c r="K86"/>
  <c r="J86" s="1"/>
  <c r="D86"/>
  <c r="M85"/>
  <c r="N85" s="1"/>
  <c r="K85"/>
  <c r="J85"/>
  <c r="D85"/>
  <c r="B85"/>
  <c r="N84"/>
  <c r="M84"/>
  <c r="K84"/>
  <c r="J84" s="1"/>
  <c r="D84"/>
  <c r="B84"/>
  <c r="M83"/>
  <c r="N83" s="1"/>
  <c r="K83"/>
  <c r="J83"/>
  <c r="D83"/>
  <c r="B83"/>
  <c r="N82"/>
  <c r="M82"/>
  <c r="K82"/>
  <c r="J82" s="1"/>
  <c r="D82"/>
  <c r="B82"/>
  <c r="M81"/>
  <c r="N81" s="1"/>
  <c r="K81"/>
  <c r="J81"/>
  <c r="D81"/>
  <c r="B81"/>
  <c r="N80"/>
  <c r="M80"/>
  <c r="K80"/>
  <c r="J80" s="1"/>
  <c r="F80"/>
  <c r="H87" s="1"/>
  <c r="E80"/>
  <c r="B78" s="1"/>
  <c r="D80"/>
  <c r="B80"/>
  <c r="B76"/>
  <c r="B74"/>
  <c r="B73"/>
  <c r="B72"/>
  <c r="B71"/>
  <c r="B70"/>
  <c r="B69"/>
  <c r="B66"/>
  <c r="B65"/>
  <c r="B64"/>
  <c r="B62"/>
  <c r="B60"/>
  <c r="B59"/>
  <c r="B58"/>
  <c r="M55"/>
  <c r="N55" s="1"/>
  <c r="K55"/>
  <c r="J55"/>
  <c r="D55"/>
  <c r="B55"/>
  <c r="M54"/>
  <c r="N54" s="1"/>
  <c r="K54"/>
  <c r="J54" s="1"/>
  <c r="D54"/>
  <c r="B54"/>
  <c r="M53"/>
  <c r="N53" s="1"/>
  <c r="K53"/>
  <c r="J53"/>
  <c r="D53"/>
  <c r="B53"/>
  <c r="M52"/>
  <c r="N52" s="1"/>
  <c r="K52"/>
  <c r="J52" s="1"/>
  <c r="D52"/>
  <c r="M51"/>
  <c r="N51" s="1"/>
  <c r="K51"/>
  <c r="J51" s="1"/>
  <c r="D51"/>
  <c r="B51"/>
  <c r="M50"/>
  <c r="N50" s="1"/>
  <c r="K50"/>
  <c r="J50"/>
  <c r="D50"/>
  <c r="M49"/>
  <c r="N49" s="1"/>
  <c r="K49"/>
  <c r="J49"/>
  <c r="D49"/>
  <c r="B49"/>
  <c r="M48"/>
  <c r="N48" s="1"/>
  <c r="K48"/>
  <c r="J48" s="1"/>
  <c r="D48"/>
  <c r="B48"/>
  <c r="M47"/>
  <c r="N47" s="1"/>
  <c r="K47"/>
  <c r="J47"/>
  <c r="F47"/>
  <c r="D47"/>
  <c r="E47" s="1"/>
  <c r="B45" s="1"/>
  <c r="B47"/>
  <c r="H39"/>
  <c r="H38"/>
  <c r="H37"/>
  <c r="H36"/>
  <c r="H35"/>
  <c r="H34"/>
  <c r="H33"/>
  <c r="J20"/>
  <c r="M19"/>
  <c r="I19"/>
  <c r="C18"/>
  <c r="F15"/>
  <c r="E15"/>
  <c r="D15"/>
  <c r="C15"/>
  <c r="AJ12"/>
  <c r="AH12"/>
  <c r="AF12"/>
  <c r="AD12"/>
  <c r="AB12"/>
  <c r="Z12"/>
  <c r="Y12"/>
  <c r="Y10"/>
  <c r="C10"/>
  <c r="C11" s="1"/>
  <c r="AJ9"/>
  <c r="AJ10" s="1"/>
  <c r="AI9"/>
  <c r="AI10" s="1"/>
  <c r="AH9"/>
  <c r="AH10" s="1"/>
  <c r="AG9"/>
  <c r="AG10" s="1"/>
  <c r="AF9"/>
  <c r="AF10" s="1"/>
  <c r="AE9"/>
  <c r="AE10" s="1"/>
  <c r="AD9"/>
  <c r="AD10" s="1"/>
  <c r="AC9"/>
  <c r="AC10" s="1"/>
  <c r="AB9"/>
  <c r="AB10" s="1"/>
  <c r="AA9"/>
  <c r="AA10" s="1"/>
  <c r="Z9"/>
  <c r="Z10" s="1"/>
  <c r="C9"/>
  <c r="A7"/>
  <c r="I2"/>
  <c r="N12" s="1"/>
  <c r="G2"/>
  <c r="X7" s="1"/>
  <c r="M1"/>
  <c r="D1"/>
  <c r="Y22" i="3"/>
  <c r="G25" i="6" s="1"/>
  <c r="U20" i="3"/>
  <c r="G23" i="6" s="1"/>
  <c r="Q17" i="3"/>
  <c r="G26" i="6" s="1"/>
  <c r="I13" i="3"/>
  <c r="F20" i="6" s="1"/>
  <c r="S19" i="3"/>
  <c r="F19" i="6" s="1"/>
  <c r="E18" i="68"/>
  <c r="F17"/>
  <c r="F16"/>
  <c r="G16" s="1"/>
  <c r="G15"/>
  <c r="F14"/>
  <c r="G13"/>
  <c r="G12"/>
  <c r="G14" s="1"/>
  <c r="F11"/>
  <c r="G10"/>
  <c r="G9"/>
  <c r="G8"/>
  <c r="O16" i="3" s="1"/>
  <c r="G21" i="6" s="1"/>
  <c r="E7" i="68"/>
  <c r="F6"/>
  <c r="F7" s="1"/>
  <c r="K14" i="3"/>
  <c r="F21" i="6" s="1"/>
  <c r="G4" i="68"/>
  <c r="G2"/>
  <c r="G41" l="1"/>
  <c r="AN13" i="3"/>
  <c r="E19" i="68"/>
  <c r="G11"/>
  <c r="F18"/>
  <c r="F19" s="1"/>
  <c r="C33" i="21" s="1"/>
  <c r="G17" i="68"/>
  <c r="W21" i="3"/>
  <c r="G24" i="6" s="1"/>
  <c r="M15" i="3"/>
  <c r="G22" i="6" s="1"/>
  <c r="C12" i="82"/>
  <c r="H80"/>
  <c r="H82"/>
  <c r="E9"/>
  <c r="E8"/>
  <c r="E11"/>
  <c r="E10"/>
  <c r="N1"/>
  <c r="H113"/>
  <c r="M2"/>
  <c r="N3"/>
  <c r="M4"/>
  <c r="N5"/>
  <c r="F69" s="1"/>
  <c r="N6"/>
  <c r="M7"/>
  <c r="M8"/>
  <c r="M9"/>
  <c r="N10"/>
  <c r="N11"/>
  <c r="M12"/>
  <c r="AA12"/>
  <c r="AC12"/>
  <c r="AE12"/>
  <c r="AG12"/>
  <c r="AI12"/>
  <c r="D17"/>
  <c r="I17"/>
  <c r="K17"/>
  <c r="M17"/>
  <c r="O17"/>
  <c r="F33"/>
  <c r="F35"/>
  <c r="F37"/>
  <c r="F39"/>
  <c r="H54"/>
  <c r="H52"/>
  <c r="H51"/>
  <c r="H55"/>
  <c r="H53"/>
  <c r="H50"/>
  <c r="H49"/>
  <c r="H47"/>
  <c r="H48"/>
  <c r="N2"/>
  <c r="M3"/>
  <c r="N4"/>
  <c r="M5"/>
  <c r="M6"/>
  <c r="C6" s="1"/>
  <c r="N7"/>
  <c r="N8"/>
  <c r="N9"/>
  <c r="M10"/>
  <c r="M11"/>
  <c r="C17"/>
  <c r="E17"/>
  <c r="H17"/>
  <c r="J17"/>
  <c r="L17"/>
  <c r="N17"/>
  <c r="F34"/>
  <c r="F36"/>
  <c r="F38"/>
  <c r="H81"/>
  <c r="H83"/>
  <c r="H85"/>
  <c r="H86"/>
  <c r="C100"/>
  <c r="E100"/>
  <c r="G100"/>
  <c r="I100"/>
  <c r="K100"/>
  <c r="M100"/>
  <c r="F108"/>
  <c r="J108"/>
  <c r="N108"/>
  <c r="H84"/>
  <c r="D100"/>
  <c r="H100"/>
  <c r="L100"/>
  <c r="G6" i="68"/>
  <c r="R9" i="80"/>
  <c r="R11"/>
  <c r="H28" i="78"/>
  <c r="G18" i="68" l="1"/>
  <c r="G19" s="1"/>
  <c r="H77" i="82"/>
  <c r="G77" s="1"/>
  <c r="H71"/>
  <c r="G71" s="1"/>
  <c r="H72"/>
  <c r="G72" s="1"/>
  <c r="H75"/>
  <c r="G75" s="1"/>
  <c r="H76"/>
  <c r="G76" s="1"/>
  <c r="H70"/>
  <c r="G70" s="1"/>
  <c r="H74"/>
  <c r="G74" s="1"/>
  <c r="H73"/>
  <c r="G73" s="1"/>
  <c r="H69"/>
  <c r="G69" s="1"/>
  <c r="F58"/>
  <c r="H66" s="1"/>
  <c r="G66" s="1"/>
  <c r="G17"/>
  <c r="C16" s="1"/>
  <c r="C5" s="1"/>
  <c r="C7"/>
  <c r="D22" i="78"/>
  <c r="C22"/>
  <c r="R8" i="80"/>
  <c r="R7"/>
  <c r="R6"/>
  <c r="R5"/>
  <c r="R3"/>
  <c r="K70" i="82" l="1"/>
  <c r="M70"/>
  <c r="N70" s="1"/>
  <c r="K71"/>
  <c r="M71"/>
  <c r="N71" s="1"/>
  <c r="K74"/>
  <c r="J74" s="1"/>
  <c r="D74" s="1"/>
  <c r="M74"/>
  <c r="N74" s="1"/>
  <c r="K72"/>
  <c r="M72"/>
  <c r="N72" s="1"/>
  <c r="H65"/>
  <c r="G65" s="1"/>
  <c r="K73"/>
  <c r="M73"/>
  <c r="N73" s="1"/>
  <c r="K75"/>
  <c r="M75"/>
  <c r="N75" s="1"/>
  <c r="H62"/>
  <c r="G62" s="1"/>
  <c r="K62" s="1"/>
  <c r="H63"/>
  <c r="G63" s="1"/>
  <c r="K69"/>
  <c r="M69"/>
  <c r="N69" s="1"/>
  <c r="K76"/>
  <c r="J76" s="1"/>
  <c r="D76" s="1"/>
  <c r="M76"/>
  <c r="N76" s="1"/>
  <c r="K77"/>
  <c r="M77"/>
  <c r="N77" s="1"/>
  <c r="H59"/>
  <c r="G59" s="1"/>
  <c r="K59" s="1"/>
  <c r="J59" s="1"/>
  <c r="D59" s="1"/>
  <c r="H61"/>
  <c r="G61" s="1"/>
  <c r="M61" s="1"/>
  <c r="N61" s="1"/>
  <c r="H58"/>
  <c r="G58" s="1"/>
  <c r="M58" s="1"/>
  <c r="N58" s="1"/>
  <c r="H60"/>
  <c r="G60" s="1"/>
  <c r="K60" s="1"/>
  <c r="H64"/>
  <c r="G64" s="1"/>
  <c r="M64" s="1"/>
  <c r="N64" s="1"/>
  <c r="D5"/>
  <c r="K61"/>
  <c r="M60"/>
  <c r="N60" s="1"/>
  <c r="K64"/>
  <c r="K66"/>
  <c r="M66"/>
  <c r="N66" s="1"/>
  <c r="M62"/>
  <c r="N62" s="1"/>
  <c r="M59"/>
  <c r="N59" s="1"/>
  <c r="K63"/>
  <c r="J63" s="1"/>
  <c r="D63" s="1"/>
  <c r="M63"/>
  <c r="N63" s="1"/>
  <c r="K65"/>
  <c r="J65" s="1"/>
  <c r="D65" s="1"/>
  <c r="M65"/>
  <c r="N65" s="1"/>
  <c r="H32" i="78"/>
  <c r="G27"/>
  <c r="G31"/>
  <c r="D70" i="82" l="1"/>
  <c r="J70"/>
  <c r="J73"/>
  <c r="D73"/>
  <c r="D72"/>
  <c r="J72"/>
  <c r="J71"/>
  <c r="D71"/>
  <c r="K58"/>
  <c r="D58" s="1"/>
  <c r="J77"/>
  <c r="D77"/>
  <c r="J69"/>
  <c r="D69"/>
  <c r="E69" s="1"/>
  <c r="B67" s="1"/>
  <c r="J75"/>
  <c r="D75"/>
  <c r="J62"/>
  <c r="D62"/>
  <c r="D66"/>
  <c r="J66"/>
  <c r="D64"/>
  <c r="J64"/>
  <c r="D60"/>
  <c r="J60"/>
  <c r="J58"/>
  <c r="J61"/>
  <c r="D61"/>
  <c r="D16" i="78"/>
  <c r="C16"/>
  <c r="C17" s="1"/>
  <c r="G28" s="1"/>
  <c r="B15"/>
  <c r="D13"/>
  <c r="C13"/>
  <c r="D12"/>
  <c r="D14" s="1"/>
  <c r="G33" s="1"/>
  <c r="C12"/>
  <c r="C14" s="1"/>
  <c r="G29" s="1"/>
  <c r="F2"/>
  <c r="E58" i="82" l="1"/>
  <c r="B56" s="1"/>
  <c r="C24" s="1"/>
  <c r="D17" i="78"/>
  <c r="G32" s="1"/>
  <c r="D26" i="74" l="1"/>
  <c r="D17"/>
  <c r="D14"/>
  <c r="D32" s="1"/>
  <c r="D11"/>
  <c r="I73" i="77"/>
  <c r="J73"/>
  <c r="K73" s="1"/>
  <c r="L73" s="1"/>
  <c r="M73" s="1"/>
  <c r="N73" s="1"/>
  <c r="E73"/>
  <c r="F73" s="1"/>
  <c r="G73" s="1"/>
  <c r="H73" s="1"/>
  <c r="D73"/>
  <c r="C40"/>
  <c r="F40" s="1"/>
  <c r="AA40" s="1"/>
  <c r="C40" i="39"/>
  <c r="J73"/>
  <c r="K73" s="1"/>
  <c r="L73" s="1"/>
  <c r="M73" s="1"/>
  <c r="N73" s="1"/>
  <c r="E73"/>
  <c r="F73" s="1"/>
  <c r="G73" s="1"/>
  <c r="H73" s="1"/>
  <c r="I73" s="1"/>
  <c r="D73"/>
  <c r="B133" i="77"/>
  <c r="B131"/>
  <c r="B129"/>
  <c r="D128"/>
  <c r="E128" s="1"/>
  <c r="F128" s="1"/>
  <c r="G128" s="1"/>
  <c r="H128" s="1"/>
  <c r="I128" s="1"/>
  <c r="J128" s="1"/>
  <c r="K128" s="1"/>
  <c r="L128" s="1"/>
  <c r="M128" s="1"/>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M118"/>
  <c r="L118"/>
  <c r="K118"/>
  <c r="J118"/>
  <c r="I118"/>
  <c r="H118"/>
  <c r="G118"/>
  <c r="F118"/>
  <c r="E118"/>
  <c r="D118"/>
  <c r="C118"/>
  <c r="B116"/>
  <c r="B114"/>
  <c r="B112"/>
  <c r="D111"/>
  <c r="E111" s="1"/>
  <c r="F111" s="1"/>
  <c r="D109"/>
  <c r="E109" s="1"/>
  <c r="E107"/>
  <c r="F107" s="1"/>
  <c r="G107" s="1"/>
  <c r="H107" s="1"/>
  <c r="I107" s="1"/>
  <c r="J107" s="1"/>
  <c r="K107" s="1"/>
  <c r="L107" s="1"/>
  <c r="M107" s="1"/>
  <c r="D107"/>
  <c r="B106"/>
  <c r="D105"/>
  <c r="E105" s="1"/>
  <c r="F105" s="1"/>
  <c r="G105" s="1"/>
  <c r="D103"/>
  <c r="E103" s="1"/>
  <c r="F103" s="1"/>
  <c r="G103" s="1"/>
  <c r="D101"/>
  <c r="E101" s="1"/>
  <c r="F101" s="1"/>
  <c r="G101" s="1"/>
  <c r="D99"/>
  <c r="E99" s="1"/>
  <c r="F99" s="1"/>
  <c r="G99" s="1"/>
  <c r="D97"/>
  <c r="E97" s="1"/>
  <c r="F97" s="1"/>
  <c r="G97" s="1"/>
  <c r="D95"/>
  <c r="E95" s="1"/>
  <c r="F95" s="1"/>
  <c r="G95" s="1"/>
  <c r="D93"/>
  <c r="E93" s="1"/>
  <c r="F93" s="1"/>
  <c r="G93" s="1"/>
  <c r="D91"/>
  <c r="E91" s="1"/>
  <c r="F91" s="1"/>
  <c r="G91" s="1"/>
  <c r="B88"/>
  <c r="B86"/>
  <c r="B84"/>
  <c r="D83"/>
  <c r="E83" s="1"/>
  <c r="F83" s="1"/>
  <c r="G83" s="1"/>
  <c r="H83" s="1"/>
  <c r="I83" s="1"/>
  <c r="J83" s="1"/>
  <c r="K83" s="1"/>
  <c r="L83" s="1"/>
  <c r="M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J57"/>
  <c r="I55"/>
  <c r="J55" s="1"/>
  <c r="G55"/>
  <c r="H55" s="1"/>
  <c r="E55"/>
  <c r="F55" s="1"/>
  <c r="P50"/>
  <c r="P49"/>
  <c r="K49"/>
  <c r="V48"/>
  <c r="T48"/>
  <c r="R48"/>
  <c r="P48"/>
  <c r="Q47"/>
  <c r="Z47" s="1"/>
  <c r="J47"/>
  <c r="AC47" s="1"/>
  <c r="H47"/>
  <c r="AB47" s="1"/>
  <c r="F47"/>
  <c r="AA47"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Q39"/>
  <c r="Z39" s="1"/>
  <c r="J39"/>
  <c r="AC39" s="1"/>
  <c r="H39"/>
  <c r="AB39" s="1"/>
  <c r="F39"/>
  <c r="AA39" s="1"/>
  <c r="Q38"/>
  <c r="Z38" s="1"/>
  <c r="J38"/>
  <c r="AC38" s="1"/>
  <c r="H38"/>
  <c r="AB38" s="1"/>
  <c r="F38"/>
  <c r="AA38" s="1"/>
  <c r="Q37"/>
  <c r="Z37" s="1"/>
  <c r="J37"/>
  <c r="AC37" s="1"/>
  <c r="H37"/>
  <c r="AB37" s="1"/>
  <c r="F37"/>
  <c r="AA37" s="1"/>
  <c r="Q36"/>
  <c r="Z36" s="1"/>
  <c r="Q34"/>
  <c r="Z34" s="1"/>
  <c r="Q33"/>
  <c r="Z33" s="1"/>
  <c r="J33"/>
  <c r="AC33" s="1"/>
  <c r="H33"/>
  <c r="AB33" s="1"/>
  <c r="F33"/>
  <c r="AA33" s="1"/>
  <c r="Q31"/>
  <c r="Z31" s="1"/>
  <c r="J31"/>
  <c r="AC31" s="1"/>
  <c r="H31"/>
  <c r="AB31" s="1"/>
  <c r="F31"/>
  <c r="AA31" s="1"/>
  <c r="C31"/>
  <c r="Q29"/>
  <c r="Z29" s="1"/>
  <c r="J29"/>
  <c r="AC29" s="1"/>
  <c r="H29"/>
  <c r="AB29" s="1"/>
  <c r="F29"/>
  <c r="AA29" s="1"/>
  <c r="C29"/>
  <c r="Q27"/>
  <c r="Z27" s="1"/>
  <c r="C27"/>
  <c r="Q25"/>
  <c r="Z25" s="1"/>
  <c r="J25"/>
  <c r="AC25" s="1"/>
  <c r="H25"/>
  <c r="AB25" s="1"/>
  <c r="F25"/>
  <c r="C25"/>
  <c r="Q23"/>
  <c r="Z23" s="1"/>
  <c r="J23"/>
  <c r="AC23" s="1"/>
  <c r="H23"/>
  <c r="F23"/>
  <c r="AA23" s="1"/>
  <c r="C23"/>
  <c r="Q21"/>
  <c r="Z21" s="1"/>
  <c r="J21"/>
  <c r="AC21" s="1"/>
  <c r="F21"/>
  <c r="AA21" s="1"/>
  <c r="C21"/>
  <c r="Q19"/>
  <c r="Z19" s="1"/>
  <c r="J19"/>
  <c r="AC19" s="1"/>
  <c r="H19"/>
  <c r="AB19" s="1"/>
  <c r="F19"/>
  <c r="AA19" s="1"/>
  <c r="C19"/>
  <c r="Q17"/>
  <c r="Z17" s="1"/>
  <c r="J17"/>
  <c r="AC17" s="1"/>
  <c r="H17"/>
  <c r="AB17" s="1"/>
  <c r="F17"/>
  <c r="AA17" s="1"/>
  <c r="C17"/>
  <c r="Q16"/>
  <c r="Z16" s="1"/>
  <c r="J16"/>
  <c r="AC16" s="1"/>
  <c r="H16"/>
  <c r="AB16" s="1"/>
  <c r="F16"/>
  <c r="AA16" s="1"/>
  <c r="Q15"/>
  <c r="Z15" s="1"/>
  <c r="J15"/>
  <c r="AC15" s="1"/>
  <c r="H15"/>
  <c r="AB15" s="1"/>
  <c r="F15"/>
  <c r="AA15" s="1"/>
  <c r="Q14"/>
  <c r="Z14" s="1"/>
  <c r="J14"/>
  <c r="AC14" s="1"/>
  <c r="H14"/>
  <c r="AB14" s="1"/>
  <c r="F14"/>
  <c r="AA14" s="1"/>
  <c r="Q13"/>
  <c r="Z13" s="1"/>
  <c r="Q12"/>
  <c r="Z12" s="1"/>
  <c r="AC12"/>
  <c r="AB12"/>
  <c r="AA12"/>
  <c r="Q11"/>
  <c r="Z11" s="1"/>
  <c r="J11"/>
  <c r="AC11" s="1"/>
  <c r="H11"/>
  <c r="AB11" s="1"/>
  <c r="F11"/>
  <c r="AA11" s="1"/>
  <c r="J10"/>
  <c r="W10" s="1"/>
  <c r="H10"/>
  <c r="AB10" s="1"/>
  <c r="F10"/>
  <c r="S10" s="1"/>
  <c r="H21" l="1"/>
  <c r="AB21" s="1"/>
  <c r="H27"/>
  <c r="AB27" s="1"/>
  <c r="G111"/>
  <c r="H111" s="1"/>
  <c r="I111" s="1"/>
  <c r="J111" s="1"/>
  <c r="K111" s="1"/>
  <c r="L111" s="1"/>
  <c r="M111" s="1"/>
  <c r="H36"/>
  <c r="AB36" s="1"/>
  <c r="J36"/>
  <c r="AC36" s="1"/>
  <c r="F36"/>
  <c r="AA36" s="1"/>
  <c r="F109"/>
  <c r="G109" s="1"/>
  <c r="H109" s="1"/>
  <c r="I109" s="1"/>
  <c r="J109" s="1"/>
  <c r="K109" s="1"/>
  <c r="L109" s="1"/>
  <c r="M109" s="1"/>
  <c r="J34"/>
  <c r="AC34" s="1"/>
  <c r="H34"/>
  <c r="AB34" s="1"/>
  <c r="F34"/>
  <c r="AA34" s="1"/>
  <c r="F27"/>
  <c r="AA27" s="1"/>
  <c r="J27"/>
  <c r="AC27" s="1"/>
  <c r="U10"/>
  <c r="AA10"/>
  <c r="AC10"/>
  <c r="S14"/>
  <c r="W14"/>
  <c r="U15"/>
  <c r="S16"/>
  <c r="W16"/>
  <c r="S17"/>
  <c r="W17"/>
  <c r="S19"/>
  <c r="W19"/>
  <c r="S21"/>
  <c r="W21"/>
  <c r="S23"/>
  <c r="U11"/>
  <c r="S12"/>
  <c r="W12"/>
  <c r="S11"/>
  <c r="W11"/>
  <c r="U12"/>
  <c r="U14"/>
  <c r="S15"/>
  <c r="W15"/>
  <c r="U16"/>
  <c r="U17"/>
  <c r="U19"/>
  <c r="AB23"/>
  <c r="U23"/>
  <c r="W23"/>
  <c r="AA25"/>
  <c r="S25"/>
  <c r="W25"/>
  <c r="S29"/>
  <c r="W29"/>
  <c r="S31"/>
  <c r="W31"/>
  <c r="U33"/>
  <c r="S37"/>
  <c r="W37"/>
  <c r="U38"/>
  <c r="S39"/>
  <c r="W39"/>
  <c r="U40"/>
  <c r="S41"/>
  <c r="W41"/>
  <c r="U42"/>
  <c r="S43"/>
  <c r="W43"/>
  <c r="U44"/>
  <c r="S45"/>
  <c r="W45"/>
  <c r="U46"/>
  <c r="S47"/>
  <c r="W47"/>
  <c r="U25"/>
  <c r="U29"/>
  <c r="U31"/>
  <c r="S33"/>
  <c r="W33"/>
  <c r="U34"/>
  <c r="U37"/>
  <c r="S38"/>
  <c r="W38"/>
  <c r="U39"/>
  <c r="S40"/>
  <c r="W40"/>
  <c r="U41"/>
  <c r="S42"/>
  <c r="W42"/>
  <c r="U43"/>
  <c r="S44"/>
  <c r="W44"/>
  <c r="U45"/>
  <c r="S46"/>
  <c r="W46"/>
  <c r="U47"/>
  <c r="U21" l="1"/>
  <c r="W36"/>
  <c r="U36"/>
  <c r="U27"/>
  <c r="S36"/>
  <c r="S27"/>
  <c r="S34"/>
  <c r="W34"/>
  <c r="W27"/>
  <c r="G12" i="74" l="1"/>
  <c r="G15" l="1"/>
  <c r="G21"/>
  <c r="G18"/>
  <c r="D9"/>
  <c r="D12" s="1"/>
  <c r="D10"/>
  <c r="D13" s="1"/>
  <c r="I29" i="34"/>
  <c r="G29"/>
  <c r="C112" i="73"/>
  <c r="D111"/>
  <c r="C109"/>
  <c r="E108"/>
  <c r="D107"/>
  <c r="C107" s="1"/>
  <c r="C105" s="1"/>
  <c r="D96"/>
  <c r="H95"/>
  <c r="D95"/>
  <c r="C94"/>
  <c r="D86"/>
  <c r="F77"/>
  <c r="D77" s="1"/>
  <c r="N75" s="1"/>
  <c r="E77"/>
  <c r="O76"/>
  <c r="N76"/>
  <c r="L76"/>
  <c r="K76"/>
  <c r="P75"/>
  <c r="O75"/>
  <c r="L75"/>
  <c r="K75"/>
  <c r="K77" s="1"/>
  <c r="K79" s="1"/>
  <c r="K81" s="1"/>
  <c r="O74"/>
  <c r="F74"/>
  <c r="P74" s="1"/>
  <c r="O73"/>
  <c r="I73"/>
  <c r="F73"/>
  <c r="P73" s="1"/>
  <c r="O72"/>
  <c r="F72"/>
  <c r="F71"/>
  <c r="F70"/>
  <c r="F66"/>
  <c r="P72" s="1"/>
  <c r="E66"/>
  <c r="D66"/>
  <c r="N72" s="1"/>
  <c r="C46"/>
  <c r="A46"/>
  <c r="C45"/>
  <c r="A45"/>
  <c r="K44"/>
  <c r="A44"/>
  <c r="C44" s="1"/>
  <c r="O39" s="1"/>
  <c r="K43"/>
  <c r="C43"/>
  <c r="K47" s="1"/>
  <c r="K41"/>
  <c r="K40"/>
  <c r="K39"/>
  <c r="K29"/>
  <c r="K30" s="1"/>
  <c r="C25"/>
  <c r="C24"/>
  <c r="D17"/>
  <c r="C17"/>
  <c r="C18" s="1"/>
  <c r="D18" s="1"/>
  <c r="M44" s="1"/>
  <c r="M4"/>
  <c r="L4"/>
  <c r="A2"/>
  <c r="F29" i="72"/>
  <c r="G28"/>
  <c r="G27"/>
  <c r="G26"/>
  <c r="F25"/>
  <c r="C25" s="1"/>
  <c r="F24"/>
  <c r="F23"/>
  <c r="E22"/>
  <c r="E21"/>
  <c r="E19"/>
  <c r="F17"/>
  <c r="E16"/>
  <c r="F15"/>
  <c r="F14"/>
  <c r="K9"/>
  <c r="J9"/>
  <c r="I9"/>
  <c r="H9"/>
  <c r="G9"/>
  <c r="F9"/>
  <c r="E9"/>
  <c r="D9"/>
  <c r="D1" i="69"/>
  <c r="AN18" i="3"/>
  <c r="D29" i="46"/>
  <c r="F113" i="69"/>
  <c r="J108"/>
  <c r="H108"/>
  <c r="G108"/>
  <c r="J100"/>
  <c r="H100"/>
  <c r="G100"/>
  <c r="N99"/>
  <c r="N108" s="1"/>
  <c r="M99"/>
  <c r="M108" s="1"/>
  <c r="L99"/>
  <c r="K99"/>
  <c r="K108" s="1"/>
  <c r="J99"/>
  <c r="I99"/>
  <c r="I108" s="1"/>
  <c r="H99"/>
  <c r="G99"/>
  <c r="F99"/>
  <c r="F108" s="1"/>
  <c r="E99"/>
  <c r="E108" s="1"/>
  <c r="D99"/>
  <c r="C99"/>
  <c r="C108" s="1"/>
  <c r="M87"/>
  <c r="N87" s="1"/>
  <c r="K87"/>
  <c r="J87"/>
  <c r="D87"/>
  <c r="B87"/>
  <c r="N86"/>
  <c r="M86"/>
  <c r="K86"/>
  <c r="J86"/>
  <c r="D86"/>
  <c r="M85"/>
  <c r="N85" s="1"/>
  <c r="K85"/>
  <c r="J85" s="1"/>
  <c r="D85"/>
  <c r="B85"/>
  <c r="N84"/>
  <c r="M84"/>
  <c r="K84"/>
  <c r="J84" s="1"/>
  <c r="D84"/>
  <c r="B84"/>
  <c r="M83"/>
  <c r="N83" s="1"/>
  <c r="K83"/>
  <c r="J83"/>
  <c r="D83"/>
  <c r="B83"/>
  <c r="N82"/>
  <c r="M82"/>
  <c r="K82"/>
  <c r="J82" s="1"/>
  <c r="D82"/>
  <c r="B82"/>
  <c r="M81"/>
  <c r="N81" s="1"/>
  <c r="K81"/>
  <c r="J81"/>
  <c r="D81"/>
  <c r="E80" s="1"/>
  <c r="B78" s="1"/>
  <c r="B81"/>
  <c r="M80"/>
  <c r="N80" s="1"/>
  <c r="K80"/>
  <c r="J80" s="1"/>
  <c r="F80"/>
  <c r="H84" s="1"/>
  <c r="D80"/>
  <c r="B80"/>
  <c r="N77"/>
  <c r="M77"/>
  <c r="K77"/>
  <c r="J77" s="1"/>
  <c r="D77"/>
  <c r="N76"/>
  <c r="M76"/>
  <c r="K76"/>
  <c r="J76" s="1"/>
  <c r="D76"/>
  <c r="N75"/>
  <c r="M75"/>
  <c r="K75"/>
  <c r="J75"/>
  <c r="D75"/>
  <c r="M74"/>
  <c r="N74" s="1"/>
  <c r="K74"/>
  <c r="J74" s="1"/>
  <c r="D74"/>
  <c r="N73"/>
  <c r="M73"/>
  <c r="K73"/>
  <c r="J73" s="1"/>
  <c r="D73"/>
  <c r="M72"/>
  <c r="N72" s="1"/>
  <c r="K72"/>
  <c r="J72"/>
  <c r="D72"/>
  <c r="B72"/>
  <c r="N71"/>
  <c r="M71"/>
  <c r="K71"/>
  <c r="J71" s="1"/>
  <c r="D71"/>
  <c r="B71"/>
  <c r="M70"/>
  <c r="N70" s="1"/>
  <c r="K70"/>
  <c r="J70"/>
  <c r="D70"/>
  <c r="E69" s="1"/>
  <c r="B67" s="1"/>
  <c r="N69"/>
  <c r="M69"/>
  <c r="K69"/>
  <c r="J69" s="1"/>
  <c r="F69"/>
  <c r="H73" s="1"/>
  <c r="D69"/>
  <c r="B69"/>
  <c r="B62"/>
  <c r="B60"/>
  <c r="N55"/>
  <c r="M55"/>
  <c r="K55"/>
  <c r="J55" s="1"/>
  <c r="D55"/>
  <c r="M54"/>
  <c r="N54" s="1"/>
  <c r="K54"/>
  <c r="J54" s="1"/>
  <c r="D54"/>
  <c r="M53"/>
  <c r="N53" s="1"/>
  <c r="K53"/>
  <c r="J53" s="1"/>
  <c r="D53"/>
  <c r="N52"/>
  <c r="M52"/>
  <c r="K52"/>
  <c r="J52" s="1"/>
  <c r="D52"/>
  <c r="M51"/>
  <c r="N51" s="1"/>
  <c r="K51"/>
  <c r="J51" s="1"/>
  <c r="D51"/>
  <c r="B51"/>
  <c r="M50"/>
  <c r="N50" s="1"/>
  <c r="K50"/>
  <c r="J50" s="1"/>
  <c r="D50"/>
  <c r="M49"/>
  <c r="N49" s="1"/>
  <c r="K49"/>
  <c r="J49" s="1"/>
  <c r="D49"/>
  <c r="B49"/>
  <c r="M48"/>
  <c r="N48" s="1"/>
  <c r="K48"/>
  <c r="J48"/>
  <c r="D48"/>
  <c r="M47"/>
  <c r="N47" s="1"/>
  <c r="K47"/>
  <c r="J47" s="1"/>
  <c r="F47"/>
  <c r="H50" s="1"/>
  <c r="D47"/>
  <c r="E47" s="1"/>
  <c r="B45" s="1"/>
  <c r="H39"/>
  <c r="H38"/>
  <c r="H37"/>
  <c r="H36"/>
  <c r="H35"/>
  <c r="H34"/>
  <c r="H33"/>
  <c r="J20"/>
  <c r="M19"/>
  <c r="I19"/>
  <c r="C18"/>
  <c r="F15"/>
  <c r="E15"/>
  <c r="D15"/>
  <c r="C15"/>
  <c r="AJ12"/>
  <c r="AE12"/>
  <c r="AB12"/>
  <c r="Y12"/>
  <c r="AJ10"/>
  <c r="AH10"/>
  <c r="AG10"/>
  <c r="AF10"/>
  <c r="AE10"/>
  <c r="AB10"/>
  <c r="Y10"/>
  <c r="C10"/>
  <c r="C11" s="1"/>
  <c r="E10" s="1"/>
  <c r="AJ9"/>
  <c r="AI9"/>
  <c r="AH9"/>
  <c r="AH12" s="1"/>
  <c r="AG9"/>
  <c r="AG12" s="1"/>
  <c r="AF9"/>
  <c r="AF12" s="1"/>
  <c r="AE9"/>
  <c r="AD9"/>
  <c r="AD10" s="1"/>
  <c r="AC9"/>
  <c r="AC10" s="1"/>
  <c r="AB9"/>
  <c r="AA9"/>
  <c r="Z9"/>
  <c r="Z12" s="1"/>
  <c r="C9"/>
  <c r="A7"/>
  <c r="I2"/>
  <c r="M9" s="1"/>
  <c r="G2"/>
  <c r="L17" s="1"/>
  <c r="AH5" i="59"/>
  <c r="AG5"/>
  <c r="AE5"/>
  <c r="AF5" s="1"/>
  <c r="AD5"/>
  <c r="Q5"/>
  <c r="P5"/>
  <c r="O5"/>
  <c r="N5"/>
  <c r="D25" i="74" l="1"/>
  <c r="D31"/>
  <c r="D24"/>
  <c r="D30"/>
  <c r="E9" i="69"/>
  <c r="N7"/>
  <c r="D16" i="74"/>
  <c r="D15"/>
  <c r="C110" i="73"/>
  <c r="O41"/>
  <c r="M43"/>
  <c r="K33"/>
  <c r="N69"/>
  <c r="O40"/>
  <c r="K31" s="1"/>
  <c r="K32" s="1"/>
  <c r="C12" i="69"/>
  <c r="M11"/>
  <c r="H53"/>
  <c r="H80"/>
  <c r="H82"/>
  <c r="N3"/>
  <c r="M4"/>
  <c r="N4"/>
  <c r="M1"/>
  <c r="M5"/>
  <c r="M6"/>
  <c r="C6" s="1"/>
  <c r="F10" i="78" s="1"/>
  <c r="N12" i="69"/>
  <c r="M3"/>
  <c r="N11"/>
  <c r="H47"/>
  <c r="H49"/>
  <c r="H69"/>
  <c r="C17"/>
  <c r="H71"/>
  <c r="D17"/>
  <c r="H55"/>
  <c r="H72"/>
  <c r="H77"/>
  <c r="N1"/>
  <c r="N6"/>
  <c r="J17"/>
  <c r="X7"/>
  <c r="AC12"/>
  <c r="K17"/>
  <c r="F39"/>
  <c r="AD12"/>
  <c r="D108"/>
  <c r="D100"/>
  <c r="L108"/>
  <c r="L100"/>
  <c r="H113"/>
  <c r="I17"/>
  <c r="H17"/>
  <c r="O17"/>
  <c r="F36"/>
  <c r="F37"/>
  <c r="F33"/>
  <c r="N17"/>
  <c r="E17"/>
  <c r="F38"/>
  <c r="F34"/>
  <c r="M17"/>
  <c r="Z10"/>
  <c r="N10"/>
  <c r="M8"/>
  <c r="M7"/>
  <c r="M10"/>
  <c r="N9"/>
  <c r="N2"/>
  <c r="N8"/>
  <c r="AA12"/>
  <c r="AA10"/>
  <c r="AI12"/>
  <c r="AI10"/>
  <c r="M2"/>
  <c r="N5"/>
  <c r="M12"/>
  <c r="E11"/>
  <c r="E8"/>
  <c r="F35"/>
  <c r="H83"/>
  <c r="H48"/>
  <c r="H54"/>
  <c r="H70"/>
  <c r="H81"/>
  <c r="I100"/>
  <c r="H76"/>
  <c r="H87"/>
  <c r="H52"/>
  <c r="H75"/>
  <c r="H86"/>
  <c r="C100"/>
  <c r="K100"/>
  <c r="H51"/>
  <c r="H74"/>
  <c r="H85"/>
  <c r="E100"/>
  <c r="M100"/>
  <c r="F100"/>
  <c r="N100"/>
  <c r="AH6" i="59"/>
  <c r="AG6"/>
  <c r="AE6"/>
  <c r="AF6" s="1"/>
  <c r="AD6"/>
  <c r="Q6"/>
  <c r="P6"/>
  <c r="O6"/>
  <c r="N6"/>
  <c r="K34" i="73" l="1"/>
  <c r="F58" i="69"/>
  <c r="H61" s="1"/>
  <c r="G61" s="1"/>
  <c r="I10" i="78"/>
  <c r="F33" s="1"/>
  <c r="H10"/>
  <c r="F32" s="1"/>
  <c r="G10"/>
  <c r="F31" s="1"/>
  <c r="M83" i="73"/>
  <c r="N83" s="1"/>
  <c r="N89" s="1"/>
  <c r="O89" s="1"/>
  <c r="M88"/>
  <c r="N88" s="1"/>
  <c r="M85"/>
  <c r="N85" s="1"/>
  <c r="M87"/>
  <c r="N87" s="1"/>
  <c r="M84"/>
  <c r="N84" s="1"/>
  <c r="M86"/>
  <c r="N86" s="1"/>
  <c r="C7" i="69"/>
  <c r="G17"/>
  <c r="C16" s="1"/>
  <c r="D5" s="1"/>
  <c r="F25" i="12"/>
  <c r="C25" s="1"/>
  <c r="H58" i="69" l="1"/>
  <c r="G58" s="1"/>
  <c r="H65"/>
  <c r="G65" s="1"/>
  <c r="H59"/>
  <c r="G59" s="1"/>
  <c r="K59" s="1"/>
  <c r="J59" s="1"/>
  <c r="D59" s="1"/>
  <c r="H60"/>
  <c r="G60" s="1"/>
  <c r="H66"/>
  <c r="G66" s="1"/>
  <c r="M66" s="1"/>
  <c r="N66" s="1"/>
  <c r="H63"/>
  <c r="G63" s="1"/>
  <c r="H64"/>
  <c r="G64" s="1"/>
  <c r="K64" s="1"/>
  <c r="H62"/>
  <c r="G62" s="1"/>
  <c r="K66"/>
  <c r="K63"/>
  <c r="J63" s="1"/>
  <c r="D63" s="1"/>
  <c r="M63"/>
  <c r="N63" s="1"/>
  <c r="M62"/>
  <c r="N62" s="1"/>
  <c r="K62"/>
  <c r="K61"/>
  <c r="M61"/>
  <c r="N61" s="1"/>
  <c r="M58"/>
  <c r="N58" s="1"/>
  <c r="K58"/>
  <c r="K65"/>
  <c r="J65" s="1"/>
  <c r="D65" s="1"/>
  <c r="M65"/>
  <c r="N65" s="1"/>
  <c r="M59"/>
  <c r="N59" s="1"/>
  <c r="M60"/>
  <c r="N60" s="1"/>
  <c r="K60"/>
  <c r="C5"/>
  <c r="C16" i="11"/>
  <c r="C15"/>
  <c r="C14"/>
  <c r="C9"/>
  <c r="C8"/>
  <c r="M64" i="69" l="1"/>
  <c r="N64" s="1"/>
  <c r="J60"/>
  <c r="D60"/>
  <c r="J58"/>
  <c r="D58"/>
  <c r="J62"/>
  <c r="D62"/>
  <c r="J64"/>
  <c r="D64"/>
  <c r="J61"/>
  <c r="D61"/>
  <c r="J66"/>
  <c r="D66"/>
  <c r="K36" i="36"/>
  <c r="K38" i="35"/>
  <c r="K42" i="37"/>
  <c r="K49" i="34"/>
  <c r="E58" i="69" l="1"/>
  <c r="B56" s="1"/>
  <c r="C24" s="1"/>
  <c r="K48" i="33"/>
  <c r="K48" i="21"/>
  <c r="K44" i="40" l="1"/>
  <c r="K49" i="39"/>
  <c r="E77" i="9"/>
  <c r="F77"/>
  <c r="AH7" i="59" l="1"/>
  <c r="AG7"/>
  <c r="AE7"/>
  <c r="AF7" s="1"/>
  <c r="AD7"/>
  <c r="Q7"/>
  <c r="P7"/>
  <c r="O7"/>
  <c r="N7"/>
  <c r="A21" i="31" l="1"/>
  <c r="C109" i="9" l="1"/>
  <c r="AH8" i="59" l="1"/>
  <c r="AG8"/>
  <c r="AE8"/>
  <c r="AF8" s="1"/>
  <c r="AD8"/>
  <c r="Q8"/>
  <c r="P8"/>
  <c r="O8"/>
  <c r="N8"/>
  <c r="Q10" l="1"/>
  <c r="P10"/>
  <c r="O10"/>
  <c r="N10"/>
  <c r="AH9"/>
  <c r="AG9"/>
  <c r="AE9"/>
  <c r="AF9" s="1"/>
  <c r="AD9"/>
  <c r="Q9"/>
  <c r="AB8" s="1"/>
  <c r="P9"/>
  <c r="AA8" s="1"/>
  <c r="O9"/>
  <c r="Y7" s="1"/>
  <c r="Z7" s="1"/>
  <c r="N9"/>
  <c r="AH10"/>
  <c r="AG10"/>
  <c r="AE10"/>
  <c r="AF10"/>
  <c r="AD10"/>
  <c r="Q11"/>
  <c r="Q12"/>
  <c r="AB5" s="1"/>
  <c r="P11"/>
  <c r="P12"/>
  <c r="O11"/>
  <c r="O12"/>
  <c r="N11"/>
  <c r="N12"/>
  <c r="AH11"/>
  <c r="AG11"/>
  <c r="AE11"/>
  <c r="AF11" s="1"/>
  <c r="AD11"/>
  <c r="AH12"/>
  <c r="AG12"/>
  <c r="AE12"/>
  <c r="AF12"/>
  <c r="AD12"/>
  <c r="M15" i="49"/>
  <c r="L15"/>
  <c r="K15"/>
  <c r="J15"/>
  <c r="I15"/>
  <c r="H15"/>
  <c r="G15"/>
  <c r="F15"/>
  <c r="E15"/>
  <c r="D15"/>
  <c r="C15"/>
  <c r="B15"/>
  <c r="AH13" i="59"/>
  <c r="AG13"/>
  <c r="AE13"/>
  <c r="AF13" s="1"/>
  <c r="AD13"/>
  <c r="Q13"/>
  <c r="P13"/>
  <c r="O13"/>
  <c r="N13"/>
  <c r="L3"/>
  <c r="AH3" s="1"/>
  <c r="K3"/>
  <c r="AG3" s="1"/>
  <c r="J3"/>
  <c r="AE3" s="1"/>
  <c r="AF3" s="1"/>
  <c r="I3"/>
  <c r="AD3" s="1"/>
  <c r="AH14"/>
  <c r="AG14"/>
  <c r="AE14"/>
  <c r="AF14"/>
  <c r="AD14"/>
  <c r="Q14"/>
  <c r="Q15"/>
  <c r="P14"/>
  <c r="P15"/>
  <c r="O14"/>
  <c r="O15"/>
  <c r="N14"/>
  <c r="N15"/>
  <c r="AH15"/>
  <c r="AG15"/>
  <c r="AE15"/>
  <c r="AF15" s="1"/>
  <c r="AD15"/>
  <c r="Q16"/>
  <c r="P16"/>
  <c r="O16"/>
  <c r="N16"/>
  <c r="M19" i="46"/>
  <c r="J50" i="15"/>
  <c r="J51" s="1"/>
  <c r="D18" i="59"/>
  <c r="AH16"/>
  <c r="AG16"/>
  <c r="AE16"/>
  <c r="AF16"/>
  <c r="AD16"/>
  <c r="AE17"/>
  <c r="AF17" s="1"/>
  <c r="AG17"/>
  <c r="AH17"/>
  <c r="AD17"/>
  <c r="Q17"/>
  <c r="P17"/>
  <c r="O17"/>
  <c r="C17" s="1"/>
  <c r="N17"/>
  <c r="B17" s="1"/>
  <c r="N18"/>
  <c r="Q18"/>
  <c r="P18"/>
  <c r="O18"/>
  <c r="K59" i="15"/>
  <c r="P62" s="1"/>
  <c r="Q74" i="44"/>
  <c r="Q61"/>
  <c r="Q60"/>
  <c r="Q53"/>
  <c r="J51"/>
  <c r="J52"/>
  <c r="M48"/>
  <c r="A16" i="55"/>
  <c r="B67" i="63" s="1"/>
  <c r="A15" i="55"/>
  <c r="B66" i="63" s="1"/>
  <c r="A14" i="55"/>
  <c r="A11"/>
  <c r="B62" i="63" s="1"/>
  <c r="A10" i="55"/>
  <c r="B61" i="63" s="1"/>
  <c r="A9" i="55"/>
  <c r="B60" i="63" s="1"/>
  <c r="A8" i="55"/>
  <c r="B59" i="63" s="1"/>
  <c r="A6" i="54"/>
  <c r="B49" i="63" s="1"/>
  <c r="A8" i="54"/>
  <c r="B53" i="63" s="1"/>
  <c r="A7" i="54"/>
  <c r="B51" i="63" s="1"/>
  <c r="A27" i="51"/>
  <c r="B20" i="63" s="1"/>
  <c r="Q19" i="59"/>
  <c r="O19"/>
  <c r="N20"/>
  <c r="X3" s="1"/>
  <c r="O20"/>
  <c r="P20"/>
  <c r="Q20"/>
  <c r="N19"/>
  <c r="P19"/>
  <c r="K75" i="9"/>
  <c r="K6" i="4"/>
  <c r="L76" i="9" s="1"/>
  <c r="B22" i="31"/>
  <c r="E15" i="66"/>
  <c r="F15"/>
  <c r="E16"/>
  <c r="F16"/>
  <c r="E17"/>
  <c r="F17"/>
  <c r="E18"/>
  <c r="F18"/>
  <c r="E19"/>
  <c r="F19"/>
  <c r="E20"/>
  <c r="F20"/>
  <c r="E21"/>
  <c r="F21"/>
  <c r="E22"/>
  <c r="F22"/>
  <c r="E23"/>
  <c r="F23"/>
  <c r="B3"/>
  <c r="E17" i="59"/>
  <c r="E16"/>
  <c r="E15" s="1"/>
  <c r="E14" s="1"/>
  <c r="E13" s="1"/>
  <c r="E12" s="1"/>
  <c r="E11" s="1"/>
  <c r="E10" s="1"/>
  <c r="F17"/>
  <c r="V17"/>
  <c r="U17"/>
  <c r="AD18"/>
  <c r="AE18"/>
  <c r="AF18"/>
  <c r="AG18"/>
  <c r="AH18"/>
  <c r="AD19"/>
  <c r="AE19"/>
  <c r="AF19"/>
  <c r="AG19"/>
  <c r="AH19"/>
  <c r="AD20"/>
  <c r="AE20"/>
  <c r="AF20" s="1"/>
  <c r="AG20"/>
  <c r="AH20"/>
  <c r="AD21"/>
  <c r="AE21"/>
  <c r="AF21" s="1"/>
  <c r="AG21"/>
  <c r="AH21"/>
  <c r="AD22"/>
  <c r="AE22"/>
  <c r="AF22" s="1"/>
  <c r="AG22"/>
  <c r="AH22"/>
  <c r="AD23"/>
  <c r="AE23"/>
  <c r="AF23"/>
  <c r="AG23"/>
  <c r="AH23"/>
  <c r="AD24"/>
  <c r="AE24"/>
  <c r="AF24" s="1"/>
  <c r="AG24"/>
  <c r="AH24"/>
  <c r="AD25"/>
  <c r="AE25"/>
  <c r="AF25" s="1"/>
  <c r="AG25"/>
  <c r="AH25"/>
  <c r="AD26"/>
  <c r="AE26"/>
  <c r="AF26"/>
  <c r="AG26"/>
  <c r="AH26"/>
  <c r="AD27"/>
  <c r="AE27"/>
  <c r="AF27"/>
  <c r="AG27"/>
  <c r="AH27"/>
  <c r="AD28"/>
  <c r="AE28"/>
  <c r="AF28" s="1"/>
  <c r="AG28"/>
  <c r="AH28"/>
  <c r="AD29"/>
  <c r="AE29"/>
  <c r="AF29" s="1"/>
  <c r="AG29"/>
  <c r="AH29"/>
  <c r="AD30"/>
  <c r="AE30"/>
  <c r="AF30" s="1"/>
  <c r="AG30"/>
  <c r="AH30"/>
  <c r="AD31"/>
  <c r="AE31"/>
  <c r="AF31"/>
  <c r="AG31"/>
  <c r="AH31"/>
  <c r="AH32"/>
  <c r="AG32"/>
  <c r="AE32"/>
  <c r="AF32" s="1"/>
  <c r="AD32"/>
  <c r="AD33"/>
  <c r="AE33"/>
  <c r="AF33" s="1"/>
  <c r="AG33"/>
  <c r="AH33"/>
  <c r="S2" i="31"/>
  <c r="M2"/>
  <c r="N2"/>
  <c r="O2"/>
  <c r="P2"/>
  <c r="Q2"/>
  <c r="R2"/>
  <c r="C3" i="65"/>
  <c r="C1"/>
  <c r="N1" s="1"/>
  <c r="B76" i="63"/>
  <c r="M5" i="54"/>
  <c r="B41" i="63" s="1"/>
  <c r="A23" i="51"/>
  <c r="B17" i="63" s="1"/>
  <c r="Y12" i="46"/>
  <c r="AA9"/>
  <c r="AA12" s="1"/>
  <c r="AB9"/>
  <c r="AB10" s="1"/>
  <c r="AC9"/>
  <c r="AC10" s="1"/>
  <c r="AD9"/>
  <c r="AD10"/>
  <c r="AE9"/>
  <c r="AE12" s="1"/>
  <c r="AF9"/>
  <c r="AF10"/>
  <c r="AG9"/>
  <c r="AG10" s="1"/>
  <c r="AH9"/>
  <c r="AH10" s="1"/>
  <c r="AI9"/>
  <c r="AJ9"/>
  <c r="AJ10" s="1"/>
  <c r="Z9"/>
  <c r="Z10"/>
  <c r="AI10"/>
  <c r="AA10"/>
  <c r="Y10"/>
  <c r="Z12"/>
  <c r="AI12"/>
  <c r="AG12"/>
  <c r="AC12"/>
  <c r="B75" i="63"/>
  <c r="B73"/>
  <c r="A21" i="64"/>
  <c r="A27"/>
  <c r="A15"/>
  <c r="A14"/>
  <c r="A11"/>
  <c r="A3"/>
  <c r="A45" i="9"/>
  <c r="K40" s="1"/>
  <c r="A44"/>
  <c r="C57" i="10"/>
  <c r="A28" i="64" s="1"/>
  <c r="C56" i="10"/>
  <c r="A26" i="64" s="1"/>
  <c r="C55" i="10"/>
  <c r="C54"/>
  <c r="B44" i="63"/>
  <c r="B40"/>
  <c r="B30"/>
  <c r="B27"/>
  <c r="B25"/>
  <c r="A11" i="51"/>
  <c r="B10" i="63" s="1"/>
  <c r="K39" i="9"/>
  <c r="B58" i="63"/>
  <c r="A46" i="9"/>
  <c r="K41" s="1"/>
  <c r="B8" i="63"/>
  <c r="A21" i="55"/>
  <c r="B71" i="63" s="1"/>
  <c r="A20" i="55"/>
  <c r="B69" i="63" s="1"/>
  <c r="B26"/>
  <c r="B28"/>
  <c r="B29"/>
  <c r="B31"/>
  <c r="B33"/>
  <c r="B35"/>
  <c r="B36"/>
  <c r="B37"/>
  <c r="B63"/>
  <c r="B64"/>
  <c r="B68"/>
  <c r="D51" i="10"/>
  <c r="B51"/>
  <c r="A15" i="51"/>
  <c r="B12" i="63" s="1"/>
  <c r="A14" i="51"/>
  <c r="B11" i="63" s="1"/>
  <c r="A4" i="55"/>
  <c r="B57" i="63" s="1"/>
  <c r="G5" i="54"/>
  <c r="B34" i="63" s="1"/>
  <c r="E5" i="54"/>
  <c r="B32" i="63" s="1"/>
  <c r="R2" i="54"/>
  <c r="B24" i="63" s="1"/>
  <c r="B49" i="50"/>
  <c r="B5" i="63" s="1"/>
  <c r="B40" i="50"/>
  <c r="B3" i="63"/>
  <c r="I19" i="46"/>
  <c r="Q21" i="59"/>
  <c r="AB21" s="1"/>
  <c r="P21"/>
  <c r="O21"/>
  <c r="C21" s="1"/>
  <c r="N21"/>
  <c r="D82"/>
  <c r="F81"/>
  <c r="E81"/>
  <c r="E80"/>
  <c r="E79"/>
  <c r="C81"/>
  <c r="D81" s="1"/>
  <c r="B81"/>
  <c r="B80" s="1"/>
  <c r="B79" s="1"/>
  <c r="F80"/>
  <c r="F79" s="1"/>
  <c r="D78"/>
  <c r="F77"/>
  <c r="E77"/>
  <c r="E76"/>
  <c r="E75"/>
  <c r="C77"/>
  <c r="D77" s="1"/>
  <c r="B77"/>
  <c r="B76" s="1"/>
  <c r="B75" s="1"/>
  <c r="F76"/>
  <c r="F75" s="1"/>
  <c r="D74"/>
  <c r="Q73"/>
  <c r="P73"/>
  <c r="O73"/>
  <c r="N73"/>
  <c r="F73"/>
  <c r="V73" s="1"/>
  <c r="E73"/>
  <c r="U73"/>
  <c r="C73"/>
  <c r="T73" s="1"/>
  <c r="B73"/>
  <c r="S73"/>
  <c r="Q72"/>
  <c r="P72"/>
  <c r="O72"/>
  <c r="N72"/>
  <c r="F72"/>
  <c r="F71" s="1"/>
  <c r="B72"/>
  <c r="B71"/>
  <c r="Q71"/>
  <c r="P71"/>
  <c r="O71"/>
  <c r="N71"/>
  <c r="Q70"/>
  <c r="P70"/>
  <c r="O70"/>
  <c r="N70"/>
  <c r="D70"/>
  <c r="Q69"/>
  <c r="P69"/>
  <c r="O69"/>
  <c r="N69"/>
  <c r="F69"/>
  <c r="V69"/>
  <c r="E69"/>
  <c r="U69" s="1"/>
  <c r="C69"/>
  <c r="T69"/>
  <c r="B69"/>
  <c r="S69" s="1"/>
  <c r="Q68"/>
  <c r="P68"/>
  <c r="O68"/>
  <c r="N68"/>
  <c r="F68"/>
  <c r="F67"/>
  <c r="B68"/>
  <c r="B67" s="1"/>
  <c r="Q67"/>
  <c r="P67"/>
  <c r="O67"/>
  <c r="N67"/>
  <c r="Q66"/>
  <c r="P66"/>
  <c r="O66"/>
  <c r="N66"/>
  <c r="D66"/>
  <c r="Q65"/>
  <c r="P65"/>
  <c r="O65"/>
  <c r="N65"/>
  <c r="F65"/>
  <c r="V65"/>
  <c r="E65"/>
  <c r="U65" s="1"/>
  <c r="C65"/>
  <c r="T65"/>
  <c r="B65"/>
  <c r="S65" s="1"/>
  <c r="Q64"/>
  <c r="P64"/>
  <c r="O64"/>
  <c r="N64"/>
  <c r="F64"/>
  <c r="F63"/>
  <c r="B64"/>
  <c r="B63" s="1"/>
  <c r="Q63"/>
  <c r="P63"/>
  <c r="O63"/>
  <c r="N63"/>
  <c r="Q62"/>
  <c r="P62"/>
  <c r="O62"/>
  <c r="N62"/>
  <c r="D62"/>
  <c r="F61"/>
  <c r="Q61" s="1"/>
  <c r="E61"/>
  <c r="E60"/>
  <c r="E59" s="1"/>
  <c r="P60"/>
  <c r="C61"/>
  <c r="O61" s="1"/>
  <c r="B61"/>
  <c r="N61"/>
  <c r="F60"/>
  <c r="F59" s="1"/>
  <c r="B60"/>
  <c r="N60" s="1"/>
  <c r="D58"/>
  <c r="Q57"/>
  <c r="P57"/>
  <c r="O57"/>
  <c r="N57"/>
  <c r="Q56"/>
  <c r="P56"/>
  <c r="O56"/>
  <c r="N56"/>
  <c r="Q55"/>
  <c r="P55"/>
  <c r="O55"/>
  <c r="N55"/>
  <c r="Q54"/>
  <c r="F55"/>
  <c r="F56" s="1"/>
  <c r="F57" s="1"/>
  <c r="V57" s="1"/>
  <c r="P54"/>
  <c r="E55" s="1"/>
  <c r="E56" s="1"/>
  <c r="E57" s="1"/>
  <c r="U57" s="1"/>
  <c r="O54"/>
  <c r="C55" s="1"/>
  <c r="N54"/>
  <c r="B55"/>
  <c r="B56" s="1"/>
  <c r="B57" s="1"/>
  <c r="S57" s="1"/>
  <c r="D54"/>
  <c r="Q53"/>
  <c r="P53"/>
  <c r="O53"/>
  <c r="N53"/>
  <c r="Q52"/>
  <c r="P52"/>
  <c r="O52"/>
  <c r="N52"/>
  <c r="Q51"/>
  <c r="P51"/>
  <c r="O51"/>
  <c r="N51"/>
  <c r="Q50"/>
  <c r="F51" s="1"/>
  <c r="F52" s="1"/>
  <c r="F53" s="1"/>
  <c r="V53" s="1"/>
  <c r="P50"/>
  <c r="E51"/>
  <c r="E52" s="1"/>
  <c r="E53" s="1"/>
  <c r="U53" s="1"/>
  <c r="O50"/>
  <c r="C51" s="1"/>
  <c r="N50"/>
  <c r="B51"/>
  <c r="B52"/>
  <c r="B53" s="1"/>
  <c r="S53" s="1"/>
  <c r="D50"/>
  <c r="Q49"/>
  <c r="P49"/>
  <c r="O49"/>
  <c r="N49"/>
  <c r="Q48"/>
  <c r="P48"/>
  <c r="O48"/>
  <c r="N48"/>
  <c r="Q47"/>
  <c r="P47"/>
  <c r="O47"/>
  <c r="N47"/>
  <c r="Q46"/>
  <c r="F47" s="1"/>
  <c r="F48" s="1"/>
  <c r="F49" s="1"/>
  <c r="V49" s="1"/>
  <c r="P46"/>
  <c r="E47"/>
  <c r="E48"/>
  <c r="E49" s="1"/>
  <c r="U49" s="1"/>
  <c r="O46"/>
  <c r="C47"/>
  <c r="D47" s="1"/>
  <c r="N46"/>
  <c r="B47" s="1"/>
  <c r="B48" s="1"/>
  <c r="B49" s="1"/>
  <c r="S49" s="1"/>
  <c r="D46"/>
  <c r="Q45"/>
  <c r="P45"/>
  <c r="O45"/>
  <c r="N45"/>
  <c r="Q44"/>
  <c r="P44"/>
  <c r="O44"/>
  <c r="N44"/>
  <c r="Q43"/>
  <c r="P43"/>
  <c r="O43"/>
  <c r="N43"/>
  <c r="Q42"/>
  <c r="F43"/>
  <c r="F44" s="1"/>
  <c r="F45" s="1"/>
  <c r="V45" s="1"/>
  <c r="P42"/>
  <c r="E43" s="1"/>
  <c r="E44" s="1"/>
  <c r="E45" s="1"/>
  <c r="U45" s="1"/>
  <c r="O42"/>
  <c r="C43"/>
  <c r="N42"/>
  <c r="B43" s="1"/>
  <c r="B44" s="1"/>
  <c r="B45" s="1"/>
  <c r="S45" s="1"/>
  <c r="D42"/>
  <c r="T41"/>
  <c r="Q41"/>
  <c r="P41"/>
  <c r="O41"/>
  <c r="N41"/>
  <c r="D41"/>
  <c r="Q40"/>
  <c r="P40"/>
  <c r="O40"/>
  <c r="N40"/>
  <c r="Q39"/>
  <c r="P39"/>
  <c r="O39"/>
  <c r="N39"/>
  <c r="Q38"/>
  <c r="F39" s="1"/>
  <c r="F40" s="1"/>
  <c r="F41" s="1"/>
  <c r="V41" s="1"/>
  <c r="P38"/>
  <c r="E39"/>
  <c r="E40" s="1"/>
  <c r="E41" s="1"/>
  <c r="U41" s="1"/>
  <c r="O38"/>
  <c r="C39" s="1"/>
  <c r="N38"/>
  <c r="B39"/>
  <c r="B40"/>
  <c r="B41" s="1"/>
  <c r="S41" s="1"/>
  <c r="D38"/>
  <c r="Q37"/>
  <c r="P37"/>
  <c r="O37"/>
  <c r="N37"/>
  <c r="Q36"/>
  <c r="P36"/>
  <c r="O36"/>
  <c r="N36"/>
  <c r="Q35"/>
  <c r="P35"/>
  <c r="O35"/>
  <c r="N35"/>
  <c r="Q34"/>
  <c r="F35" s="1"/>
  <c r="F36" s="1"/>
  <c r="F37" s="1"/>
  <c r="V37" s="1"/>
  <c r="P34"/>
  <c r="E35"/>
  <c r="E36"/>
  <c r="E37" s="1"/>
  <c r="U37" s="1"/>
  <c r="O34"/>
  <c r="C35"/>
  <c r="C36" s="1"/>
  <c r="N34"/>
  <c r="B35" s="1"/>
  <c r="B36" s="1"/>
  <c r="B37" s="1"/>
  <c r="S37" s="1"/>
  <c r="D34"/>
  <c r="Q33"/>
  <c r="P33"/>
  <c r="O33"/>
  <c r="N33"/>
  <c r="Q32"/>
  <c r="AB32" s="1"/>
  <c r="P32"/>
  <c r="O32"/>
  <c r="N32"/>
  <c r="X32" s="1"/>
  <c r="Q31"/>
  <c r="P31"/>
  <c r="AA31" s="1"/>
  <c r="O31"/>
  <c r="Y31" s="1"/>
  <c r="Z31" s="1"/>
  <c r="N31"/>
  <c r="X31" s="1"/>
  <c r="Q30"/>
  <c r="AB30" s="1"/>
  <c r="F31"/>
  <c r="P30"/>
  <c r="O30"/>
  <c r="C31"/>
  <c r="D31" s="1"/>
  <c r="N30"/>
  <c r="X30" s="1"/>
  <c r="D30"/>
  <c r="Q29"/>
  <c r="P29"/>
  <c r="O29"/>
  <c r="Y29" s="1"/>
  <c r="Z29" s="1"/>
  <c r="N29"/>
  <c r="Q28"/>
  <c r="P28"/>
  <c r="O28"/>
  <c r="Y28" s="1"/>
  <c r="Z28" s="1"/>
  <c r="N28"/>
  <c r="Q27"/>
  <c r="P27"/>
  <c r="O27"/>
  <c r="N27"/>
  <c r="Q26"/>
  <c r="F27"/>
  <c r="P26"/>
  <c r="AA26" s="1"/>
  <c r="O26"/>
  <c r="N26"/>
  <c r="B27"/>
  <c r="B28" s="1"/>
  <c r="B29" s="1"/>
  <c r="S29" s="1"/>
  <c r="D26"/>
  <c r="Q25"/>
  <c r="P25"/>
  <c r="O25"/>
  <c r="N25"/>
  <c r="X25" s="1"/>
  <c r="Q24"/>
  <c r="P24"/>
  <c r="O24"/>
  <c r="N24"/>
  <c r="Q23"/>
  <c r="P23"/>
  <c r="O23"/>
  <c r="N23"/>
  <c r="X23" s="1"/>
  <c r="Q22"/>
  <c r="F23" s="1"/>
  <c r="F24" s="1"/>
  <c r="F25" s="1"/>
  <c r="V25" s="1"/>
  <c r="P22"/>
  <c r="O22"/>
  <c r="C23" s="1"/>
  <c r="N22"/>
  <c r="B23"/>
  <c r="D22"/>
  <c r="S61"/>
  <c r="F28"/>
  <c r="F29" s="1"/>
  <c r="V29" s="1"/>
  <c r="F32"/>
  <c r="F33" s="1"/>
  <c r="V33" s="1"/>
  <c r="C32"/>
  <c r="C33" s="1"/>
  <c r="C44"/>
  <c r="C45" s="1"/>
  <c r="D43"/>
  <c r="Q60"/>
  <c r="T61"/>
  <c r="D61"/>
  <c r="C60"/>
  <c r="C59" s="1"/>
  <c r="P61"/>
  <c r="U61"/>
  <c r="C64"/>
  <c r="D64" s="1"/>
  <c r="E64"/>
  <c r="E63" s="1"/>
  <c r="D65"/>
  <c r="C68"/>
  <c r="C67" s="1"/>
  <c r="D67" s="1"/>
  <c r="D69"/>
  <c r="C72"/>
  <c r="D72" s="1"/>
  <c r="E72"/>
  <c r="E71" s="1"/>
  <c r="D73"/>
  <c r="C76"/>
  <c r="D76" s="1"/>
  <c r="C80"/>
  <c r="D80" s="1"/>
  <c r="U16" i="4"/>
  <c r="S16"/>
  <c r="Q16"/>
  <c r="O16"/>
  <c r="M16"/>
  <c r="K16"/>
  <c r="O60" i="59"/>
  <c r="D44"/>
  <c r="O27" i="6"/>
  <c r="N27"/>
  <c r="P26"/>
  <c r="L26"/>
  <c r="P25"/>
  <c r="L25"/>
  <c r="P24"/>
  <c r="P23"/>
  <c r="L23"/>
  <c r="P22"/>
  <c r="L22"/>
  <c r="P21"/>
  <c r="L21"/>
  <c r="P20"/>
  <c r="P19"/>
  <c r="P27" s="1"/>
  <c r="Z18" i="36"/>
  <c r="Q18"/>
  <c r="C18"/>
  <c r="D66"/>
  <c r="E66" s="1"/>
  <c r="F18"/>
  <c r="AA18" s="1"/>
  <c r="Z18" i="35"/>
  <c r="Q18"/>
  <c r="F18"/>
  <c r="AA18" s="1"/>
  <c r="C18"/>
  <c r="D68"/>
  <c r="E68"/>
  <c r="F68" s="1"/>
  <c r="G68" s="1"/>
  <c r="Q21" i="37"/>
  <c r="Z21" s="1"/>
  <c r="F21"/>
  <c r="AA21"/>
  <c r="C21"/>
  <c r="E77"/>
  <c r="F77" s="1"/>
  <c r="G77" s="1"/>
  <c r="D77"/>
  <c r="Z21" i="34"/>
  <c r="Q21"/>
  <c r="C21"/>
  <c r="D84"/>
  <c r="F21"/>
  <c r="S21" s="1"/>
  <c r="Z21" i="33"/>
  <c r="Q21"/>
  <c r="C21"/>
  <c r="D83"/>
  <c r="E83"/>
  <c r="F83" s="1"/>
  <c r="G83"/>
  <c r="Q21" i="21"/>
  <c r="Z21" s="1"/>
  <c r="D83"/>
  <c r="E83"/>
  <c r="F21"/>
  <c r="AA21" s="1"/>
  <c r="C21"/>
  <c r="Z27" i="40"/>
  <c r="Q27"/>
  <c r="D96"/>
  <c r="E96" s="1"/>
  <c r="F27"/>
  <c r="Z31" i="39"/>
  <c r="Q31"/>
  <c r="D105"/>
  <c r="E105" s="1"/>
  <c r="F31"/>
  <c r="AA31" s="1"/>
  <c r="G20" i="20"/>
  <c r="C22"/>
  <c r="S18" i="36"/>
  <c r="S21" i="37"/>
  <c r="S31" i="39"/>
  <c r="C31"/>
  <c r="H18" i="35"/>
  <c r="J18"/>
  <c r="H21" i="37"/>
  <c r="J21"/>
  <c r="E84" i="34"/>
  <c r="F84" s="1"/>
  <c r="G84" s="1"/>
  <c r="J21"/>
  <c r="H21"/>
  <c r="F21" i="33"/>
  <c r="H21"/>
  <c r="J21"/>
  <c r="F83" i="21"/>
  <c r="G83" s="1"/>
  <c r="H21"/>
  <c r="J21"/>
  <c r="F96" i="40"/>
  <c r="H27"/>
  <c r="F105" i="39"/>
  <c r="H31"/>
  <c r="F23" i="15"/>
  <c r="G17" i="11"/>
  <c r="F15" i="15"/>
  <c r="F17"/>
  <c r="F18"/>
  <c r="F20"/>
  <c r="F21"/>
  <c r="F33"/>
  <c r="F60" s="1"/>
  <c r="K2" i="4"/>
  <c r="K1"/>
  <c r="B1"/>
  <c r="B37" i="50" s="1"/>
  <c r="B2" i="63" s="1"/>
  <c r="C31" i="57"/>
  <c r="C32"/>
  <c r="I23"/>
  <c r="D20"/>
  <c r="I19"/>
  <c r="I18"/>
  <c r="I17"/>
  <c r="I20"/>
  <c r="E15"/>
  <c r="I14"/>
  <c r="I13"/>
  <c r="I12"/>
  <c r="I15" s="1"/>
  <c r="I9"/>
  <c r="I8"/>
  <c r="I7"/>
  <c r="I6"/>
  <c r="I5"/>
  <c r="I4"/>
  <c r="I3"/>
  <c r="I10" s="1"/>
  <c r="C30"/>
  <c r="E26" s="1"/>
  <c r="C112" i="9"/>
  <c r="C7" i="11"/>
  <c r="F80" i="46"/>
  <c r="H81" s="1"/>
  <c r="D1"/>
  <c r="F113"/>
  <c r="D99"/>
  <c r="D108" s="1"/>
  <c r="E99"/>
  <c r="E108" s="1"/>
  <c r="F99"/>
  <c r="F100" s="1"/>
  <c r="G99"/>
  <c r="G108" s="1"/>
  <c r="H99"/>
  <c r="H108" s="1"/>
  <c r="I99"/>
  <c r="I108"/>
  <c r="J99"/>
  <c r="J108" s="1"/>
  <c r="K99"/>
  <c r="K108" s="1"/>
  <c r="L99"/>
  <c r="L108" s="1"/>
  <c r="L100"/>
  <c r="M99"/>
  <c r="M108"/>
  <c r="N99"/>
  <c r="N108" s="1"/>
  <c r="C99"/>
  <c r="C108" s="1"/>
  <c r="K58"/>
  <c r="J58"/>
  <c r="D58"/>
  <c r="D83"/>
  <c r="D77"/>
  <c r="B83"/>
  <c r="B82"/>
  <c r="B71"/>
  <c r="B60"/>
  <c r="B49"/>
  <c r="M87"/>
  <c r="N87"/>
  <c r="K87"/>
  <c r="J87" s="1"/>
  <c r="D87"/>
  <c r="M86"/>
  <c r="N86"/>
  <c r="D86"/>
  <c r="K86"/>
  <c r="J86"/>
  <c r="M85"/>
  <c r="N85" s="1"/>
  <c r="D85"/>
  <c r="K85"/>
  <c r="J85"/>
  <c r="M84"/>
  <c r="N84"/>
  <c r="K84"/>
  <c r="J84"/>
  <c r="M83"/>
  <c r="N83"/>
  <c r="K83"/>
  <c r="J83"/>
  <c r="M82"/>
  <c r="N82"/>
  <c r="K82"/>
  <c r="J82"/>
  <c r="D82"/>
  <c r="M81"/>
  <c r="N81"/>
  <c r="K81"/>
  <c r="J81" s="1"/>
  <c r="M80"/>
  <c r="N80" s="1"/>
  <c r="K80"/>
  <c r="J80" s="1"/>
  <c r="M77"/>
  <c r="N77"/>
  <c r="K77"/>
  <c r="J77"/>
  <c r="M76"/>
  <c r="N76"/>
  <c r="D76"/>
  <c r="K76"/>
  <c r="J76"/>
  <c r="M75"/>
  <c r="N75"/>
  <c r="K75"/>
  <c r="J75" s="1"/>
  <c r="M74"/>
  <c r="N74" s="1"/>
  <c r="K74"/>
  <c r="J74"/>
  <c r="D74"/>
  <c r="M73"/>
  <c r="D73"/>
  <c r="K73"/>
  <c r="J73"/>
  <c r="M72"/>
  <c r="N72" s="1"/>
  <c r="K72"/>
  <c r="J72"/>
  <c r="D72"/>
  <c r="M71"/>
  <c r="N71"/>
  <c r="K71"/>
  <c r="J71"/>
  <c r="M70"/>
  <c r="N70"/>
  <c r="K70"/>
  <c r="J70"/>
  <c r="D70"/>
  <c r="M69"/>
  <c r="N69" s="1"/>
  <c r="K69"/>
  <c r="J69" s="1"/>
  <c r="M66"/>
  <c r="N66"/>
  <c r="K66"/>
  <c r="J66" s="1"/>
  <c r="M65"/>
  <c r="N65" s="1"/>
  <c r="K65"/>
  <c r="J65" s="1"/>
  <c r="D65"/>
  <c r="M64"/>
  <c r="N64"/>
  <c r="K64"/>
  <c r="J64" s="1"/>
  <c r="D64"/>
  <c r="M63"/>
  <c r="N63" s="1"/>
  <c r="K63"/>
  <c r="J63"/>
  <c r="D63"/>
  <c r="M62"/>
  <c r="N62" s="1"/>
  <c r="K62"/>
  <c r="J62"/>
  <c r="D62"/>
  <c r="M61"/>
  <c r="N61"/>
  <c r="K61"/>
  <c r="J61"/>
  <c r="D61"/>
  <c r="M60"/>
  <c r="N60"/>
  <c r="K60"/>
  <c r="J60" s="1"/>
  <c r="D60"/>
  <c r="M59"/>
  <c r="N59"/>
  <c r="K59"/>
  <c r="J59" s="1"/>
  <c r="D59"/>
  <c r="M58"/>
  <c r="N58" s="1"/>
  <c r="D80"/>
  <c r="D81"/>
  <c r="N73"/>
  <c r="D75"/>
  <c r="D66"/>
  <c r="Q73" i="15"/>
  <c r="Q60"/>
  <c r="Q59"/>
  <c r="Q52"/>
  <c r="AE9" i="1"/>
  <c r="AE10"/>
  <c r="AE11"/>
  <c r="AE12"/>
  <c r="AE13"/>
  <c r="M47" i="15"/>
  <c r="AG7" i="1"/>
  <c r="AG8"/>
  <c r="AG9"/>
  <c r="AG10"/>
  <c r="AG11"/>
  <c r="AG12"/>
  <c r="AG13"/>
  <c r="D12" i="31"/>
  <c r="E12" s="1"/>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1" i="1"/>
  <c r="AP11" s="1"/>
  <c r="F12"/>
  <c r="AP12" s="1"/>
  <c r="F13"/>
  <c r="AP13" s="1"/>
  <c r="D11"/>
  <c r="D12"/>
  <c r="D13"/>
  <c r="D6"/>
  <c r="D7"/>
  <c r="D8"/>
  <c r="D9"/>
  <c r="D10"/>
  <c r="B2"/>
  <c r="A12"/>
  <c r="A13"/>
  <c r="B13" s="1"/>
  <c r="E13" s="1"/>
  <c r="A7"/>
  <c r="A8"/>
  <c r="A9"/>
  <c r="A10"/>
  <c r="A11"/>
  <c r="A6"/>
  <c r="T4"/>
  <c r="G79" i="36"/>
  <c r="G85" i="35"/>
  <c r="G97" i="37"/>
  <c r="G110" i="34"/>
  <c r="G109" i="33"/>
  <c r="L2" i="31"/>
  <c r="K2"/>
  <c r="J2"/>
  <c r="I2"/>
  <c r="H2"/>
  <c r="G2"/>
  <c r="F2"/>
  <c r="E2"/>
  <c r="D2"/>
  <c r="C2"/>
  <c r="D60" i="15"/>
  <c r="G19" i="20"/>
  <c r="B84" i="46" s="1"/>
  <c r="BT112" i="3"/>
  <c r="BS112"/>
  <c r="BR112"/>
  <c r="BQ112"/>
  <c r="BP112"/>
  <c r="BO112"/>
  <c r="BN112"/>
  <c r="BM112"/>
  <c r="BK112"/>
  <c r="BJ112"/>
  <c r="BI112"/>
  <c r="BH112"/>
  <c r="BG112"/>
  <c r="BF112"/>
  <c r="BE112"/>
  <c r="BD112"/>
  <c r="BC112"/>
  <c r="BB112"/>
  <c r="AX112"/>
  <c r="AW112"/>
  <c r="AV112"/>
  <c r="AC112"/>
  <c r="G112" s="1"/>
  <c r="H112"/>
  <c r="BT111"/>
  <c r="BS111"/>
  <c r="BR111"/>
  <c r="BQ111"/>
  <c r="BP111"/>
  <c r="BO111"/>
  <c r="BN111"/>
  <c r="BM111"/>
  <c r="BL111" s="1"/>
  <c r="BK111"/>
  <c r="BJ111"/>
  <c r="BI111"/>
  <c r="BH111"/>
  <c r="BA111" s="1"/>
  <c r="BG111"/>
  <c r="BF111"/>
  <c r="BE111"/>
  <c r="BD111"/>
  <c r="BC111"/>
  <c r="BB111"/>
  <c r="AZ111"/>
  <c r="AX111"/>
  <c r="AW111"/>
  <c r="AV111"/>
  <c r="AC111"/>
  <c r="H111"/>
  <c r="G111" s="1"/>
  <c r="BT110"/>
  <c r="BS110"/>
  <c r="BL110" s="1"/>
  <c r="BR110"/>
  <c r="BQ110"/>
  <c r="BP110"/>
  <c r="BO110"/>
  <c r="BN110"/>
  <c r="BM110"/>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G109" s="1"/>
  <c r="H109"/>
  <c r="BT108"/>
  <c r="BS108"/>
  <c r="BR108"/>
  <c r="BQ108"/>
  <c r="BP108"/>
  <c r="BO108"/>
  <c r="BN108"/>
  <c r="BM108"/>
  <c r="BL108" s="1"/>
  <c r="BK108"/>
  <c r="BJ108"/>
  <c r="BI108"/>
  <c r="BH108"/>
  <c r="BA108" s="1"/>
  <c r="AZ108" s="1"/>
  <c r="BG108"/>
  <c r="BF108"/>
  <c r="BE108"/>
  <c r="BD108"/>
  <c r="BC108"/>
  <c r="BB108"/>
  <c r="AX108"/>
  <c r="AW108"/>
  <c r="AV108"/>
  <c r="AC108"/>
  <c r="H108"/>
  <c r="G108" s="1"/>
  <c r="BT107"/>
  <c r="BS107"/>
  <c r="BL107" s="1"/>
  <c r="BR107"/>
  <c r="BQ107"/>
  <c r="BP107"/>
  <c r="BO107"/>
  <c r="BN107"/>
  <c r="BM107"/>
  <c r="BK107"/>
  <c r="BJ107"/>
  <c r="BI107"/>
  <c r="BH107"/>
  <c r="BG107"/>
  <c r="BF107"/>
  <c r="BE107"/>
  <c r="BD107"/>
  <c r="BC107"/>
  <c r="BB107"/>
  <c r="AX107"/>
  <c r="AW107"/>
  <c r="AV107"/>
  <c r="AC107"/>
  <c r="H107"/>
  <c r="G107"/>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AX105"/>
  <c r="AW105"/>
  <c r="AV105"/>
  <c r="AC105"/>
  <c r="H105"/>
  <c r="G105"/>
  <c r="BT104"/>
  <c r="BS104"/>
  <c r="BR104"/>
  <c r="BQ104"/>
  <c r="BP104"/>
  <c r="BO104"/>
  <c r="BN104"/>
  <c r="BM104"/>
  <c r="BL104" s="1"/>
  <c r="BK104"/>
  <c r="BJ104"/>
  <c r="BI104"/>
  <c r="BH104"/>
  <c r="BG104"/>
  <c r="BF104"/>
  <c r="BE104"/>
  <c r="BD104"/>
  <c r="BC104"/>
  <c r="BB104"/>
  <c r="BA104" s="1"/>
  <c r="AX104"/>
  <c r="AW104"/>
  <c r="AV104"/>
  <c r="AC104"/>
  <c r="H104"/>
  <c r="G104"/>
  <c r="BT103"/>
  <c r="BS103"/>
  <c r="BR103"/>
  <c r="BQ103"/>
  <c r="BP103"/>
  <c r="BO103"/>
  <c r="BN103"/>
  <c r="BM103"/>
  <c r="BL103" s="1"/>
  <c r="BK103"/>
  <c r="BJ103"/>
  <c r="BI103"/>
  <c r="BH103"/>
  <c r="BG103"/>
  <c r="BF103"/>
  <c r="BE103"/>
  <c r="BD103"/>
  <c r="BC103"/>
  <c r="BB103"/>
  <c r="BA103" s="1"/>
  <c r="AX103"/>
  <c r="AW103"/>
  <c r="AV103"/>
  <c r="AC103"/>
  <c r="G103" s="1"/>
  <c r="H103"/>
  <c r="BT102"/>
  <c r="BS102"/>
  <c r="BR102"/>
  <c r="BQ102"/>
  <c r="BP102"/>
  <c r="BO102"/>
  <c r="BN102"/>
  <c r="BM102"/>
  <c r="BL102" s="1"/>
  <c r="BK102"/>
  <c r="BJ102"/>
  <c r="BI102"/>
  <c r="BH102"/>
  <c r="BA102" s="1"/>
  <c r="BG102"/>
  <c r="BF102"/>
  <c r="BE102"/>
  <c r="BD102"/>
  <c r="BC102"/>
  <c r="BB102"/>
  <c r="AX102"/>
  <c r="AW102"/>
  <c r="AV102"/>
  <c r="AC102"/>
  <c r="H102"/>
  <c r="G102"/>
  <c r="BT101"/>
  <c r="BS101"/>
  <c r="BR101"/>
  <c r="BQ101"/>
  <c r="BP101"/>
  <c r="BO101"/>
  <c r="BN101"/>
  <c r="BM101"/>
  <c r="BK101"/>
  <c r="BJ101"/>
  <c r="BI101"/>
  <c r="BH101"/>
  <c r="BG101"/>
  <c r="BF101"/>
  <c r="BE101"/>
  <c r="BD101"/>
  <c r="BC101"/>
  <c r="BB101"/>
  <c r="BA101" s="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G100" s="1"/>
  <c r="H100"/>
  <c r="BT99"/>
  <c r="BS99"/>
  <c r="BR99"/>
  <c r="BQ99"/>
  <c r="BP99"/>
  <c r="BO99"/>
  <c r="BN99"/>
  <c r="BM99"/>
  <c r="BL99" s="1"/>
  <c r="BK99"/>
  <c r="BJ99"/>
  <c r="BI99"/>
  <c r="BH99"/>
  <c r="BA99" s="1"/>
  <c r="BG99"/>
  <c r="BF99"/>
  <c r="BE99"/>
  <c r="BD99"/>
  <c r="BC99"/>
  <c r="BB99"/>
  <c r="AX99"/>
  <c r="AW99"/>
  <c r="AV99"/>
  <c r="AC99"/>
  <c r="G99" s="1"/>
  <c r="H99"/>
  <c r="BT98"/>
  <c r="BS98"/>
  <c r="BR98"/>
  <c r="BQ98"/>
  <c r="BP98"/>
  <c r="BO98"/>
  <c r="BN98"/>
  <c r="BM98"/>
  <c r="BL98" s="1"/>
  <c r="BK98"/>
  <c r="BJ98"/>
  <c r="BI98"/>
  <c r="BH98"/>
  <c r="BG98"/>
  <c r="BF98"/>
  <c r="BE98"/>
  <c r="BD98"/>
  <c r="BC98"/>
  <c r="BB98"/>
  <c r="BA98" s="1"/>
  <c r="AX98"/>
  <c r="AW98"/>
  <c r="AV98"/>
  <c r="AC98"/>
  <c r="H98"/>
  <c r="G98"/>
  <c r="BT97"/>
  <c r="BS97"/>
  <c r="BR97"/>
  <c r="BQ97"/>
  <c r="BP97"/>
  <c r="BO97"/>
  <c r="BN97"/>
  <c r="BM97"/>
  <c r="BL97"/>
  <c r="BK97"/>
  <c r="BJ97"/>
  <c r="BI97"/>
  <c r="BH97"/>
  <c r="BG97"/>
  <c r="BF97"/>
  <c r="BE97"/>
  <c r="BD97"/>
  <c r="BC97"/>
  <c r="BB97"/>
  <c r="AX97"/>
  <c r="AW97"/>
  <c r="AV97"/>
  <c r="AC97"/>
  <c r="H97"/>
  <c r="G97" s="1"/>
  <c r="BT96"/>
  <c r="BS96"/>
  <c r="BR96"/>
  <c r="BQ96"/>
  <c r="BP96"/>
  <c r="BO96"/>
  <c r="BN96"/>
  <c r="BM96"/>
  <c r="BK96"/>
  <c r="BJ96"/>
  <c r="BI96"/>
  <c r="BH96"/>
  <c r="BG96"/>
  <c r="BF96"/>
  <c r="BE96"/>
  <c r="BD96"/>
  <c r="BC96"/>
  <c r="BB96"/>
  <c r="AX96"/>
  <c r="AW96"/>
  <c r="AV96"/>
  <c r="AC96"/>
  <c r="G96" s="1"/>
  <c r="H96"/>
  <c r="BT95"/>
  <c r="BS95"/>
  <c r="BR95"/>
  <c r="BQ95"/>
  <c r="BP95"/>
  <c r="BO95"/>
  <c r="BN95"/>
  <c r="BM95"/>
  <c r="BK95"/>
  <c r="BJ95"/>
  <c r="BI95"/>
  <c r="BH95"/>
  <c r="BG95"/>
  <c r="BF95"/>
  <c r="BE95"/>
  <c r="BD95"/>
  <c r="BC95"/>
  <c r="BB95"/>
  <c r="BA95" s="1"/>
  <c r="AX95"/>
  <c r="AW95"/>
  <c r="AV95"/>
  <c r="AC95"/>
  <c r="H95"/>
  <c r="G95"/>
  <c r="BT94"/>
  <c r="BS94"/>
  <c r="BR94"/>
  <c r="BQ94"/>
  <c r="BP94"/>
  <c r="BO94"/>
  <c r="BN94"/>
  <c r="BM94"/>
  <c r="BL94" s="1"/>
  <c r="BK94"/>
  <c r="BJ94"/>
  <c r="BI94"/>
  <c r="BH94"/>
  <c r="BG94"/>
  <c r="BF94"/>
  <c r="BE94"/>
  <c r="BD94"/>
  <c r="BC94"/>
  <c r="BB94"/>
  <c r="BA94" s="1"/>
  <c r="AX94"/>
  <c r="AW94"/>
  <c r="AV94"/>
  <c r="AC94"/>
  <c r="H94"/>
  <c r="BT93"/>
  <c r="BS93"/>
  <c r="BR93"/>
  <c r="BQ93"/>
  <c r="BP93"/>
  <c r="BO93"/>
  <c r="BN93"/>
  <c r="BM93"/>
  <c r="BK93"/>
  <c r="BJ93"/>
  <c r="BI93"/>
  <c r="BH93"/>
  <c r="BG93"/>
  <c r="BF93"/>
  <c r="BE93"/>
  <c r="BD93"/>
  <c r="BC93"/>
  <c r="BB93"/>
  <c r="BA93" s="1"/>
  <c r="AX93"/>
  <c r="AW93"/>
  <c r="AV93"/>
  <c r="AC93"/>
  <c r="G93" s="1"/>
  <c r="H93"/>
  <c r="BT92"/>
  <c r="BS92"/>
  <c r="BR92"/>
  <c r="BQ92"/>
  <c r="BP92"/>
  <c r="BO92"/>
  <c r="BN92"/>
  <c r="BM92"/>
  <c r="BK92"/>
  <c r="BJ92"/>
  <c r="BI92"/>
  <c r="BH92"/>
  <c r="BG92"/>
  <c r="BF92"/>
  <c r="BE92"/>
  <c r="BD92"/>
  <c r="BC92"/>
  <c r="BB92"/>
  <c r="BA92" s="1"/>
  <c r="AX92"/>
  <c r="AW92"/>
  <c r="AV92"/>
  <c r="AC92"/>
  <c r="H92"/>
  <c r="G92"/>
  <c r="BT91"/>
  <c r="BS91"/>
  <c r="BR91"/>
  <c r="BQ91"/>
  <c r="BP91"/>
  <c r="BO91"/>
  <c r="BN91"/>
  <c r="BM91"/>
  <c r="BL91" s="1"/>
  <c r="BK91"/>
  <c r="BJ91"/>
  <c r="BI91"/>
  <c r="BH91"/>
  <c r="BG91"/>
  <c r="BF91"/>
  <c r="BE91"/>
  <c r="BD91"/>
  <c r="BC91"/>
  <c r="BB91"/>
  <c r="AX91"/>
  <c r="AW91"/>
  <c r="AV91"/>
  <c r="AC91"/>
  <c r="H91"/>
  <c r="G91" s="1"/>
  <c r="BT90"/>
  <c r="BS90"/>
  <c r="BR90"/>
  <c r="BQ90"/>
  <c r="BP90"/>
  <c r="BO90"/>
  <c r="BN90"/>
  <c r="BL90" s="1"/>
  <c r="BM90"/>
  <c r="BK90"/>
  <c r="BJ90"/>
  <c r="BI90"/>
  <c r="BH90"/>
  <c r="BG90"/>
  <c r="BF90"/>
  <c r="BE90"/>
  <c r="BD90"/>
  <c r="BC90"/>
  <c r="BB90"/>
  <c r="AX90"/>
  <c r="AW90"/>
  <c r="AV90"/>
  <c r="AC90"/>
  <c r="H90"/>
  <c r="G90" s="1"/>
  <c r="BT89"/>
  <c r="BS89"/>
  <c r="BR89"/>
  <c r="BQ89"/>
  <c r="BP89"/>
  <c r="BO89"/>
  <c r="BN89"/>
  <c r="BL89" s="1"/>
  <c r="BM89"/>
  <c r="BK89"/>
  <c r="BJ89"/>
  <c r="BI89"/>
  <c r="BH89"/>
  <c r="BG89"/>
  <c r="BF89"/>
  <c r="BE89"/>
  <c r="BD89"/>
  <c r="BC89"/>
  <c r="BB89"/>
  <c r="BA89"/>
  <c r="AZ89" s="1"/>
  <c r="AX89"/>
  <c r="AW89"/>
  <c r="AV89"/>
  <c r="AC89"/>
  <c r="H89"/>
  <c r="G89"/>
  <c r="BT88"/>
  <c r="BS88"/>
  <c r="BR88"/>
  <c r="BQ88"/>
  <c r="BP88"/>
  <c r="BO88"/>
  <c r="BN88"/>
  <c r="BM88"/>
  <c r="BL88"/>
  <c r="BK88"/>
  <c r="BJ88"/>
  <c r="BI88"/>
  <c r="BH88"/>
  <c r="BG88"/>
  <c r="BF88"/>
  <c r="BE88"/>
  <c r="BD88"/>
  <c r="BC88"/>
  <c r="BB88"/>
  <c r="AX88"/>
  <c r="AW88"/>
  <c r="AV88"/>
  <c r="AC88"/>
  <c r="H88"/>
  <c r="G88" s="1"/>
  <c r="BT87"/>
  <c r="BS87"/>
  <c r="BR87"/>
  <c r="BQ87"/>
  <c r="BP87"/>
  <c r="BO87"/>
  <c r="BN87"/>
  <c r="BL87" s="1"/>
  <c r="BM87"/>
  <c r="BK87"/>
  <c r="BJ87"/>
  <c r="BI87"/>
  <c r="BH87"/>
  <c r="BG87"/>
  <c r="BF87"/>
  <c r="BE87"/>
  <c r="BD87"/>
  <c r="BC87"/>
  <c r="BB87"/>
  <c r="AX87"/>
  <c r="AW87"/>
  <c r="AV87"/>
  <c r="AC87"/>
  <c r="G87" s="1"/>
  <c r="H87"/>
  <c r="BT86"/>
  <c r="BS86"/>
  <c r="BR86"/>
  <c r="BQ86"/>
  <c r="BP86"/>
  <c r="BO86"/>
  <c r="BN86"/>
  <c r="BM86"/>
  <c r="BL86" s="1"/>
  <c r="BK86"/>
  <c r="BJ86"/>
  <c r="BI86"/>
  <c r="BH86"/>
  <c r="BG86"/>
  <c r="BF86"/>
  <c r="BE86"/>
  <c r="BD86"/>
  <c r="BC86"/>
  <c r="BB86"/>
  <c r="BA86" s="1"/>
  <c r="AX86"/>
  <c r="AW86"/>
  <c r="AV86"/>
  <c r="AC86"/>
  <c r="H86"/>
  <c r="G86"/>
  <c r="BT85"/>
  <c r="BS85"/>
  <c r="BR85"/>
  <c r="BQ85"/>
  <c r="BP85"/>
  <c r="BO85"/>
  <c r="BN85"/>
  <c r="BM85"/>
  <c r="BL85"/>
  <c r="BK85"/>
  <c r="BJ85"/>
  <c r="BI85"/>
  <c r="BH85"/>
  <c r="BG85"/>
  <c r="BF85"/>
  <c r="BE85"/>
  <c r="BD85"/>
  <c r="BC85"/>
  <c r="BB85"/>
  <c r="AX85"/>
  <c r="AW85"/>
  <c r="AV85"/>
  <c r="AC85"/>
  <c r="H85"/>
  <c r="G85" s="1"/>
  <c r="BT84"/>
  <c r="BS84"/>
  <c r="BR84"/>
  <c r="BQ84"/>
  <c r="BP84"/>
  <c r="BO84"/>
  <c r="BN84"/>
  <c r="BM84"/>
  <c r="BK84"/>
  <c r="BJ84"/>
  <c r="BI84"/>
  <c r="BH84"/>
  <c r="BG84"/>
  <c r="BF84"/>
  <c r="BE84"/>
  <c r="BD84"/>
  <c r="BC84"/>
  <c r="BB84"/>
  <c r="AX84"/>
  <c r="AW84"/>
  <c r="AV84"/>
  <c r="AC84"/>
  <c r="H84"/>
  <c r="G84" s="1"/>
  <c r="BT83"/>
  <c r="BS83"/>
  <c r="BR83"/>
  <c r="BQ83"/>
  <c r="BP83"/>
  <c r="BO83"/>
  <c r="BN83"/>
  <c r="BL83" s="1"/>
  <c r="BM83"/>
  <c r="BK83"/>
  <c r="BJ83"/>
  <c r="BI83"/>
  <c r="BH83"/>
  <c r="BG83"/>
  <c r="BF83"/>
  <c r="BE83"/>
  <c r="BD83"/>
  <c r="BC83"/>
  <c r="BB83"/>
  <c r="BA83"/>
  <c r="AZ83" s="1"/>
  <c r="AX83"/>
  <c r="AW83"/>
  <c r="AV83"/>
  <c r="AC83"/>
  <c r="H83"/>
  <c r="G83"/>
  <c r="BT82"/>
  <c r="BS82"/>
  <c r="BR82"/>
  <c r="BQ82"/>
  <c r="BP82"/>
  <c r="BO82"/>
  <c r="BN82"/>
  <c r="BM82"/>
  <c r="BL82"/>
  <c r="BK82"/>
  <c r="BJ82"/>
  <c r="BI82"/>
  <c r="BH82"/>
  <c r="BG82"/>
  <c r="BF82"/>
  <c r="BE82"/>
  <c r="BD82"/>
  <c r="BC82"/>
  <c r="BB82"/>
  <c r="AX82"/>
  <c r="AW82"/>
  <c r="AV82"/>
  <c r="AC82"/>
  <c r="H82"/>
  <c r="G82" s="1"/>
  <c r="BT81"/>
  <c r="BS81"/>
  <c r="BR81"/>
  <c r="BQ81"/>
  <c r="BP81"/>
  <c r="BO81"/>
  <c r="BN81"/>
  <c r="BM81"/>
  <c r="BL81" s="1"/>
  <c r="BK81"/>
  <c r="BJ81"/>
  <c r="BI81"/>
  <c r="BH81"/>
  <c r="BG81"/>
  <c r="BF81"/>
  <c r="BE81"/>
  <c r="BD81"/>
  <c r="BC81"/>
  <c r="BA81" s="1"/>
  <c r="BB81"/>
  <c r="AX81"/>
  <c r="AW81"/>
  <c r="AV81"/>
  <c r="AC81"/>
  <c r="H81"/>
  <c r="G81" s="1"/>
  <c r="BT80"/>
  <c r="BS80"/>
  <c r="BR80"/>
  <c r="BQ80"/>
  <c r="BP80"/>
  <c r="BO80"/>
  <c r="BN80"/>
  <c r="BL80" s="1"/>
  <c r="BM80"/>
  <c r="BK80"/>
  <c r="BJ80"/>
  <c r="BI80"/>
  <c r="BH80"/>
  <c r="BG80"/>
  <c r="BF80"/>
  <c r="BE80"/>
  <c r="BD80"/>
  <c r="BC80"/>
  <c r="BB80"/>
  <c r="BA80"/>
  <c r="AZ80" s="1"/>
  <c r="AX80"/>
  <c r="AW80"/>
  <c r="AV80"/>
  <c r="AC80"/>
  <c r="H80"/>
  <c r="G80"/>
  <c r="BT79"/>
  <c r="BS79"/>
  <c r="BR79"/>
  <c r="BQ79"/>
  <c r="BP79"/>
  <c r="BO79"/>
  <c r="BN79"/>
  <c r="BM79"/>
  <c r="BL79"/>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A78" s="1"/>
  <c r="BB78"/>
  <c r="AX78"/>
  <c r="AW78"/>
  <c r="AV78"/>
  <c r="AC78"/>
  <c r="G78" s="1"/>
  <c r="H78"/>
  <c r="BT77"/>
  <c r="BS77"/>
  <c r="BR77"/>
  <c r="BQ77"/>
  <c r="BP77"/>
  <c r="BO77"/>
  <c r="BN77"/>
  <c r="BM77"/>
  <c r="BL77" s="1"/>
  <c r="BK77"/>
  <c r="BJ77"/>
  <c r="BI77"/>
  <c r="BH77"/>
  <c r="BA77" s="1"/>
  <c r="BG77"/>
  <c r="BF77"/>
  <c r="BE77"/>
  <c r="BD77"/>
  <c r="BC77"/>
  <c r="BB77"/>
  <c r="AZ77"/>
  <c r="AX77"/>
  <c r="AW77"/>
  <c r="AV77"/>
  <c r="AC77"/>
  <c r="H77"/>
  <c r="G77" s="1"/>
  <c r="BT76"/>
  <c r="BS76"/>
  <c r="BL76" s="1"/>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A75" s="1"/>
  <c r="BB75"/>
  <c r="AX75"/>
  <c r="AW75"/>
  <c r="AV75"/>
  <c r="AC75"/>
  <c r="H75"/>
  <c r="G75" s="1"/>
  <c r="BT74"/>
  <c r="BS74"/>
  <c r="BR74"/>
  <c r="BQ74"/>
  <c r="BP74"/>
  <c r="BO74"/>
  <c r="BN74"/>
  <c r="BM74"/>
  <c r="BK74"/>
  <c r="BJ74"/>
  <c r="BI74"/>
  <c r="BH74"/>
  <c r="BG74"/>
  <c r="BF74"/>
  <c r="BE74"/>
  <c r="BD74"/>
  <c r="BC74"/>
  <c r="BB74"/>
  <c r="BA74"/>
  <c r="AX74"/>
  <c r="AW74"/>
  <c r="AV74"/>
  <c r="AC74"/>
  <c r="H74"/>
  <c r="G74" s="1"/>
  <c r="BT73"/>
  <c r="BS73"/>
  <c r="BL73" s="1"/>
  <c r="BR73"/>
  <c r="BQ73"/>
  <c r="BP73"/>
  <c r="BO73"/>
  <c r="BN73"/>
  <c r="BM73"/>
  <c r="BK73"/>
  <c r="BJ73"/>
  <c r="BI73"/>
  <c r="BH73"/>
  <c r="BG73"/>
  <c r="BF73"/>
  <c r="BE73"/>
  <c r="BD73"/>
  <c r="BC73"/>
  <c r="BB73"/>
  <c r="AX73"/>
  <c r="AW73"/>
  <c r="AV73"/>
  <c r="AC73"/>
  <c r="H73"/>
  <c r="G73" s="1"/>
  <c r="BT72"/>
  <c r="BS72"/>
  <c r="BR72"/>
  <c r="BQ72"/>
  <c r="BP72"/>
  <c r="BO72"/>
  <c r="BN72"/>
  <c r="BM72"/>
  <c r="BL72" s="1"/>
  <c r="BK72"/>
  <c r="BJ72"/>
  <c r="BI72"/>
  <c r="BH72"/>
  <c r="BG72"/>
  <c r="BF72"/>
  <c r="BE72"/>
  <c r="BD72"/>
  <c r="BC72"/>
  <c r="BA72" s="1"/>
  <c r="AZ72" s="1"/>
  <c r="BB72"/>
  <c r="AX72"/>
  <c r="AW72"/>
  <c r="AV72"/>
  <c r="AC72"/>
  <c r="H72"/>
  <c r="G72" s="1"/>
  <c r="BT71"/>
  <c r="BS71"/>
  <c r="BR71"/>
  <c r="BQ71"/>
  <c r="BP71"/>
  <c r="BO71"/>
  <c r="BN71"/>
  <c r="BL71" s="1"/>
  <c r="BM71"/>
  <c r="BK71"/>
  <c r="BJ71"/>
  <c r="BI71"/>
  <c r="BH71"/>
  <c r="BG71"/>
  <c r="BF71"/>
  <c r="BE71"/>
  <c r="BD71"/>
  <c r="BC71"/>
  <c r="BB71"/>
  <c r="BA71"/>
  <c r="AX71"/>
  <c r="AW71"/>
  <c r="AV71"/>
  <c r="AC71"/>
  <c r="H71"/>
  <c r="G71" s="1"/>
  <c r="BT70"/>
  <c r="BS70"/>
  <c r="BL70" s="1"/>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G69" s="1"/>
  <c r="H69"/>
  <c r="BT68"/>
  <c r="BS68"/>
  <c r="BR68"/>
  <c r="BQ68"/>
  <c r="BP68"/>
  <c r="BO68"/>
  <c r="BN68"/>
  <c r="BM68"/>
  <c r="BL68" s="1"/>
  <c r="BK68"/>
  <c r="BJ68"/>
  <c r="BI68"/>
  <c r="BH68"/>
  <c r="BA68" s="1"/>
  <c r="BG68"/>
  <c r="BF68"/>
  <c r="BE68"/>
  <c r="BD68"/>
  <c r="BC68"/>
  <c r="BB68"/>
  <c r="AZ68"/>
  <c r="AX68"/>
  <c r="AW68"/>
  <c r="AV68"/>
  <c r="AC68"/>
  <c r="H68"/>
  <c r="G68" s="1"/>
  <c r="BT67"/>
  <c r="BS67"/>
  <c r="BL67" s="1"/>
  <c r="BR67"/>
  <c r="BQ67"/>
  <c r="BP67"/>
  <c r="BO67"/>
  <c r="BN67"/>
  <c r="BM67"/>
  <c r="BK67"/>
  <c r="BJ67"/>
  <c r="BI67"/>
  <c r="BH67"/>
  <c r="BG67"/>
  <c r="BF67"/>
  <c r="BE67"/>
  <c r="BD67"/>
  <c r="BC67"/>
  <c r="BB67"/>
  <c r="BA67" s="1"/>
  <c r="AZ67" s="1"/>
  <c r="AX67"/>
  <c r="AW67"/>
  <c r="AV67"/>
  <c r="AC67"/>
  <c r="H67"/>
  <c r="G67" s="1"/>
  <c r="BT66"/>
  <c r="BS66"/>
  <c r="BR66"/>
  <c r="BQ66"/>
  <c r="BP66"/>
  <c r="BO66"/>
  <c r="BN66"/>
  <c r="BM66"/>
  <c r="BK66"/>
  <c r="BJ66"/>
  <c r="BI66"/>
  <c r="BH66"/>
  <c r="BG66"/>
  <c r="BF66"/>
  <c r="BE66"/>
  <c r="BA66" s="1"/>
  <c r="BD66"/>
  <c r="BC66"/>
  <c r="BB66"/>
  <c r="AX66"/>
  <c r="AW66"/>
  <c r="AV66"/>
  <c r="AC66"/>
  <c r="G66" s="1"/>
  <c r="H66"/>
  <c r="BT65"/>
  <c r="BS65"/>
  <c r="BR65"/>
  <c r="BQ65"/>
  <c r="BP65"/>
  <c r="BO65"/>
  <c r="BN65"/>
  <c r="BM65"/>
  <c r="BK65"/>
  <c r="BJ65"/>
  <c r="BI65"/>
  <c r="BH65"/>
  <c r="BA65" s="1"/>
  <c r="BG65"/>
  <c r="BF65"/>
  <c r="BE65"/>
  <c r="BD65"/>
  <c r="BC65"/>
  <c r="BB65"/>
  <c r="AX65"/>
  <c r="AW65"/>
  <c r="AV65"/>
  <c r="AC65"/>
  <c r="H65"/>
  <c r="G65" s="1"/>
  <c r="BT64"/>
  <c r="BS64"/>
  <c r="BL64" s="1"/>
  <c r="BR64"/>
  <c r="BQ64"/>
  <c r="BP64"/>
  <c r="BO64"/>
  <c r="BN64"/>
  <c r="BM64"/>
  <c r="BK64"/>
  <c r="BJ64"/>
  <c r="BI64"/>
  <c r="BH64"/>
  <c r="BG64"/>
  <c r="BF64"/>
  <c r="BE64"/>
  <c r="BD64"/>
  <c r="BC64"/>
  <c r="BB64"/>
  <c r="AX64"/>
  <c r="AW64"/>
  <c r="AV64"/>
  <c r="AC64"/>
  <c r="H64"/>
  <c r="G64" s="1"/>
  <c r="BT63"/>
  <c r="BS63"/>
  <c r="BR63"/>
  <c r="BQ63"/>
  <c r="BP63"/>
  <c r="BO63"/>
  <c r="BN63"/>
  <c r="BM63"/>
  <c r="BK63"/>
  <c r="BJ63"/>
  <c r="BI63"/>
  <c r="BH63"/>
  <c r="BG63"/>
  <c r="BF63"/>
  <c r="BE63"/>
  <c r="BD63"/>
  <c r="BC63"/>
  <c r="BB63"/>
  <c r="AX63"/>
  <c r="AW63"/>
  <c r="AV63"/>
  <c r="AC63"/>
  <c r="G63" s="1"/>
  <c r="H63"/>
  <c r="BT62"/>
  <c r="BS62"/>
  <c r="BR62"/>
  <c r="BQ62"/>
  <c r="BP62"/>
  <c r="BO62"/>
  <c r="BN62"/>
  <c r="BM62"/>
  <c r="BL62" s="1"/>
  <c r="BK62"/>
  <c r="BJ62"/>
  <c r="BI62"/>
  <c r="BH62"/>
  <c r="BA62" s="1"/>
  <c r="BG62"/>
  <c r="BF62"/>
  <c r="BE62"/>
  <c r="BD62"/>
  <c r="BC62"/>
  <c r="BB62"/>
  <c r="AZ62"/>
  <c r="AX62"/>
  <c r="AW62"/>
  <c r="AV62"/>
  <c r="AC62"/>
  <c r="H62"/>
  <c r="G62" s="1"/>
  <c r="BT61"/>
  <c r="BS61"/>
  <c r="BL61" s="1"/>
  <c r="BR61"/>
  <c r="BQ61"/>
  <c r="BP61"/>
  <c r="BO61"/>
  <c r="BN61"/>
  <c r="BM6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E60"/>
  <c r="BA60" s="1"/>
  <c r="BD60"/>
  <c r="BC60"/>
  <c r="BB60"/>
  <c r="AX60"/>
  <c r="AW60"/>
  <c r="AV60"/>
  <c r="AC60"/>
  <c r="H60"/>
  <c r="G60" s="1"/>
  <c r="BT59"/>
  <c r="BS59"/>
  <c r="BR59"/>
  <c r="BQ59"/>
  <c r="BP59"/>
  <c r="BO59"/>
  <c r="BN59"/>
  <c r="BM59"/>
  <c r="BK59"/>
  <c r="BJ59"/>
  <c r="BI59"/>
  <c r="BH59"/>
  <c r="BG59"/>
  <c r="BF59"/>
  <c r="BE59"/>
  <c r="BD59"/>
  <c r="BC59"/>
  <c r="BB59"/>
  <c r="BA59"/>
  <c r="AX59"/>
  <c r="AW59"/>
  <c r="AV59"/>
  <c r="AC59"/>
  <c r="H59"/>
  <c r="G59" s="1"/>
  <c r="BT58"/>
  <c r="BS58"/>
  <c r="BL58" s="1"/>
  <c r="BR58"/>
  <c r="BQ58"/>
  <c r="BP58"/>
  <c r="BO58"/>
  <c r="BN58"/>
  <c r="BM58"/>
  <c r="BK58"/>
  <c r="BJ58"/>
  <c r="BI58"/>
  <c r="BH58"/>
  <c r="BG58"/>
  <c r="BF58"/>
  <c r="BE58"/>
  <c r="BD58"/>
  <c r="BC58"/>
  <c r="BB58"/>
  <c r="AX58"/>
  <c r="AW58"/>
  <c r="AV58"/>
  <c r="AC58"/>
  <c r="H58"/>
  <c r="G58" s="1"/>
  <c r="BT57"/>
  <c r="BS57"/>
  <c r="BR57"/>
  <c r="BQ57"/>
  <c r="BP57"/>
  <c r="BO57"/>
  <c r="BN57"/>
  <c r="BM57"/>
  <c r="BK57"/>
  <c r="BJ57"/>
  <c r="BI57"/>
  <c r="BH57"/>
  <c r="BG57"/>
  <c r="BF57"/>
  <c r="BE57"/>
  <c r="BD57"/>
  <c r="BC57"/>
  <c r="BB57"/>
  <c r="AX57"/>
  <c r="AW57"/>
  <c r="AV57"/>
  <c r="AC57"/>
  <c r="H57"/>
  <c r="G57" s="1"/>
  <c r="BT56"/>
  <c r="BS56"/>
  <c r="BR56"/>
  <c r="BQ56"/>
  <c r="BP56"/>
  <c r="BO56"/>
  <c r="BN56"/>
  <c r="BM56"/>
  <c r="BK56"/>
  <c r="BJ56"/>
  <c r="BI56"/>
  <c r="BH56"/>
  <c r="BG56"/>
  <c r="BF56"/>
  <c r="BE56"/>
  <c r="BD56"/>
  <c r="BC56"/>
  <c r="BB56"/>
  <c r="BA56"/>
  <c r="AX56"/>
  <c r="AW56"/>
  <c r="AV56"/>
  <c r="AC56"/>
  <c r="H56"/>
  <c r="G56" s="1"/>
  <c r="BT55"/>
  <c r="BS55"/>
  <c r="BL55" s="1"/>
  <c r="BR55"/>
  <c r="BQ55"/>
  <c r="BP55"/>
  <c r="BO55"/>
  <c r="BN55"/>
  <c r="BM55"/>
  <c r="BK55"/>
  <c r="BJ55"/>
  <c r="BI55"/>
  <c r="BH55"/>
  <c r="BG55"/>
  <c r="BF55"/>
  <c r="BE55"/>
  <c r="BD55"/>
  <c r="BC55"/>
  <c r="BB55"/>
  <c r="AX55"/>
  <c r="AW55"/>
  <c r="AV55"/>
  <c r="AC55"/>
  <c r="H55"/>
  <c r="G55"/>
  <c r="BT54"/>
  <c r="BS54"/>
  <c r="BR54"/>
  <c r="BQ54"/>
  <c r="BP54"/>
  <c r="BO54"/>
  <c r="BN54"/>
  <c r="BM54"/>
  <c r="BL54" s="1"/>
  <c r="BK54"/>
  <c r="BJ54"/>
  <c r="BI54"/>
  <c r="BH54"/>
  <c r="BG54"/>
  <c r="BF54"/>
  <c r="BE54"/>
  <c r="BD54"/>
  <c r="BC54"/>
  <c r="BB54"/>
  <c r="AX54"/>
  <c r="AW54"/>
  <c r="AV54"/>
  <c r="AC54"/>
  <c r="G54" s="1"/>
  <c r="H54"/>
  <c r="BT53"/>
  <c r="BS53"/>
  <c r="BR53"/>
  <c r="BQ53"/>
  <c r="BP53"/>
  <c r="BO53"/>
  <c r="BN53"/>
  <c r="BM53"/>
  <c r="BL53" s="1"/>
  <c r="BK53"/>
  <c r="BJ53"/>
  <c r="BI53"/>
  <c r="BH53"/>
  <c r="BA53" s="1"/>
  <c r="AZ53" s="1"/>
  <c r="BG53"/>
  <c r="BF53"/>
  <c r="BE53"/>
  <c r="BD53"/>
  <c r="BC53"/>
  <c r="BB53"/>
  <c r="AX53"/>
  <c r="AW53"/>
  <c r="AV53"/>
  <c r="AC53"/>
  <c r="H53"/>
  <c r="G53" s="1"/>
  <c r="BT52"/>
  <c r="BS52"/>
  <c r="BL52" s="1"/>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G51" s="1"/>
  <c r="BT50"/>
  <c r="BS50"/>
  <c r="BR50"/>
  <c r="BQ50"/>
  <c r="BP50"/>
  <c r="BO50"/>
  <c r="BN50"/>
  <c r="BM50"/>
  <c r="BL50" s="1"/>
  <c r="BK50"/>
  <c r="BJ50"/>
  <c r="BI50"/>
  <c r="BH50"/>
  <c r="BA50" s="1"/>
  <c r="BG50"/>
  <c r="BF50"/>
  <c r="BE50"/>
  <c r="BD50"/>
  <c r="BC50"/>
  <c r="BB50"/>
  <c r="AZ50"/>
  <c r="AX50"/>
  <c r="AW50"/>
  <c r="AV50"/>
  <c r="AC50"/>
  <c r="H50"/>
  <c r="G50" s="1"/>
  <c r="BT49"/>
  <c r="BS49"/>
  <c r="BL49" s="1"/>
  <c r="BR49"/>
  <c r="BQ49"/>
  <c r="BP49"/>
  <c r="BO49"/>
  <c r="BN49"/>
  <c r="BM49"/>
  <c r="BK49"/>
  <c r="BJ49"/>
  <c r="BI49"/>
  <c r="BH49"/>
  <c r="BG49"/>
  <c r="BF49"/>
  <c r="BE49"/>
  <c r="BD49"/>
  <c r="BC49"/>
  <c r="BB49"/>
  <c r="AX49"/>
  <c r="AW49"/>
  <c r="AV49"/>
  <c r="AC49"/>
  <c r="H49"/>
  <c r="G49" s="1"/>
  <c r="BT48"/>
  <c r="BS48"/>
  <c r="BR48"/>
  <c r="BQ48"/>
  <c r="BP48"/>
  <c r="BO48"/>
  <c r="BN48"/>
  <c r="BM48"/>
  <c r="BK48"/>
  <c r="BJ48"/>
  <c r="BI48"/>
  <c r="BH48"/>
  <c r="BG48"/>
  <c r="BF48"/>
  <c r="BE48"/>
  <c r="BA48" s="1"/>
  <c r="BD48"/>
  <c r="BC48"/>
  <c r="BB48"/>
  <c r="AX48"/>
  <c r="AW48"/>
  <c r="AV48"/>
  <c r="AC48"/>
  <c r="H48"/>
  <c r="G48" s="1"/>
  <c r="BT47"/>
  <c r="BS47"/>
  <c r="BR47"/>
  <c r="BQ47"/>
  <c r="BP47"/>
  <c r="BO47"/>
  <c r="BN47"/>
  <c r="BM47"/>
  <c r="BL47" s="1"/>
  <c r="BK47"/>
  <c r="BJ47"/>
  <c r="BI47"/>
  <c r="BH47"/>
  <c r="BA47" s="1"/>
  <c r="BG47"/>
  <c r="BF47"/>
  <c r="BE47"/>
  <c r="BD47"/>
  <c r="BC47"/>
  <c r="BB47"/>
  <c r="AX47"/>
  <c r="AW47"/>
  <c r="AV47"/>
  <c r="AC47"/>
  <c r="H47"/>
  <c r="G47"/>
  <c r="BT46"/>
  <c r="BS46"/>
  <c r="BR46"/>
  <c r="BQ46"/>
  <c r="BP46"/>
  <c r="BO46"/>
  <c r="BN46"/>
  <c r="BM46"/>
  <c r="BL46" s="1"/>
  <c r="BK46"/>
  <c r="BJ46"/>
  <c r="BI46"/>
  <c r="BH46"/>
  <c r="BG46"/>
  <c r="BF46"/>
  <c r="BE46"/>
  <c r="BD46"/>
  <c r="BC46"/>
  <c r="BB46"/>
  <c r="BA46" s="1"/>
  <c r="AX46"/>
  <c r="AW46"/>
  <c r="AV46"/>
  <c r="AC46"/>
  <c r="H46"/>
  <c r="G46"/>
  <c r="BT45"/>
  <c r="BS45"/>
  <c r="BR45"/>
  <c r="BQ45"/>
  <c r="BP45"/>
  <c r="BO45"/>
  <c r="BN45"/>
  <c r="BM45"/>
  <c r="BL45" s="1"/>
  <c r="BK45"/>
  <c r="BJ45"/>
  <c r="BI45"/>
  <c r="BH45"/>
  <c r="BG45"/>
  <c r="BF45"/>
  <c r="BE45"/>
  <c r="BD45"/>
  <c r="BC45"/>
  <c r="BB45"/>
  <c r="BA45" s="1"/>
  <c r="AX45"/>
  <c r="AW45"/>
  <c r="AV45"/>
  <c r="AC45"/>
  <c r="H45"/>
  <c r="G45" s="1"/>
  <c r="BT44"/>
  <c r="BS44"/>
  <c r="BR44"/>
  <c r="BQ44"/>
  <c r="BP44"/>
  <c r="BO44"/>
  <c r="BN44"/>
  <c r="BM44"/>
  <c r="BK44"/>
  <c r="BJ44"/>
  <c r="BI44"/>
  <c r="BH44"/>
  <c r="BA44" s="1"/>
  <c r="BG44"/>
  <c r="BF44"/>
  <c r="BE44"/>
  <c r="BD44"/>
  <c r="BC44"/>
  <c r="BB44"/>
  <c r="AX44"/>
  <c r="AW44"/>
  <c r="AV44"/>
  <c r="AC44"/>
  <c r="H44"/>
  <c r="G44" s="1"/>
  <c r="BT43"/>
  <c r="BS43"/>
  <c r="BL43" s="1"/>
  <c r="BR43"/>
  <c r="BQ43"/>
  <c r="BP43"/>
  <c r="BO43"/>
  <c r="BN43"/>
  <c r="BM43"/>
  <c r="BK43"/>
  <c r="BJ43"/>
  <c r="BI43"/>
  <c r="BH43"/>
  <c r="BG43"/>
  <c r="BF43"/>
  <c r="BE43"/>
  <c r="BD43"/>
  <c r="BC43"/>
  <c r="BB43"/>
  <c r="AX43"/>
  <c r="AW43"/>
  <c r="AV43"/>
  <c r="AC43"/>
  <c r="H43"/>
  <c r="G43"/>
  <c r="BT42"/>
  <c r="BS42"/>
  <c r="BR42"/>
  <c r="BQ42"/>
  <c r="BP42"/>
  <c r="BO42"/>
  <c r="BN42"/>
  <c r="BM42"/>
  <c r="BL42" s="1"/>
  <c r="BK42"/>
  <c r="BJ42"/>
  <c r="BI42"/>
  <c r="BH42"/>
  <c r="BG42"/>
  <c r="BF42"/>
  <c r="BE42"/>
  <c r="BD42"/>
  <c r="BC42"/>
  <c r="BB42"/>
  <c r="BA42" s="1"/>
  <c r="AZ42" s="1"/>
  <c r="AX42"/>
  <c r="AW42"/>
  <c r="AV42"/>
  <c r="AC42"/>
  <c r="H42"/>
  <c r="G42" s="1"/>
  <c r="BT41"/>
  <c r="BS41"/>
  <c r="BR41"/>
  <c r="BQ41"/>
  <c r="BP41"/>
  <c r="BO41"/>
  <c r="BN41"/>
  <c r="BM41"/>
  <c r="BK41"/>
  <c r="BJ41"/>
  <c r="BI41"/>
  <c r="BH41"/>
  <c r="BA41" s="1"/>
  <c r="BG41"/>
  <c r="BF41"/>
  <c r="BE41"/>
  <c r="BD41"/>
  <c r="BC41"/>
  <c r="BB41"/>
  <c r="AX41"/>
  <c r="AW41"/>
  <c r="AV41"/>
  <c r="AC41"/>
  <c r="H41"/>
  <c r="G41" s="1"/>
  <c r="BT40"/>
  <c r="BS40"/>
  <c r="BL40" s="1"/>
  <c r="BR40"/>
  <c r="BQ40"/>
  <c r="BP40"/>
  <c r="BO40"/>
  <c r="BN40"/>
  <c r="BM40"/>
  <c r="BK40"/>
  <c r="BJ40"/>
  <c r="BI40"/>
  <c r="BH40"/>
  <c r="BG40"/>
  <c r="BF40"/>
  <c r="BE40"/>
  <c r="BD40"/>
  <c r="BC40"/>
  <c r="BB40"/>
  <c r="BA40" s="1"/>
  <c r="AX40"/>
  <c r="AW40"/>
  <c r="AV40"/>
  <c r="AC40"/>
  <c r="H40"/>
  <c r="G40"/>
  <c r="BT39"/>
  <c r="BS39"/>
  <c r="BR39"/>
  <c r="BQ39"/>
  <c r="BP39"/>
  <c r="BO39"/>
  <c r="BN39"/>
  <c r="BM39"/>
  <c r="BL39" s="1"/>
  <c r="BK39"/>
  <c r="BJ39"/>
  <c r="BI39"/>
  <c r="BH39"/>
  <c r="BG39"/>
  <c r="BF39"/>
  <c r="BE39"/>
  <c r="BD39"/>
  <c r="BC39"/>
  <c r="BB39"/>
  <c r="BA39" s="1"/>
  <c r="AX39"/>
  <c r="AW39"/>
  <c r="AV39"/>
  <c r="AC39"/>
  <c r="H39"/>
  <c r="BT38"/>
  <c r="BS38"/>
  <c r="BR38"/>
  <c r="BQ38"/>
  <c r="BP38"/>
  <c r="BO38"/>
  <c r="BN38"/>
  <c r="BM38"/>
  <c r="BK38"/>
  <c r="BJ38"/>
  <c r="BI38"/>
  <c r="BH38"/>
  <c r="BG38"/>
  <c r="BF38"/>
  <c r="BE38"/>
  <c r="BD38"/>
  <c r="BC38"/>
  <c r="BB38"/>
  <c r="AX38"/>
  <c r="AW38"/>
  <c r="AV38"/>
  <c r="AC38"/>
  <c r="H38"/>
  <c r="G38"/>
  <c r="BT37"/>
  <c r="BS37"/>
  <c r="BR37"/>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AX36"/>
  <c r="AW36"/>
  <c r="AV36"/>
  <c r="AC36"/>
  <c r="H36"/>
  <c r="G36" s="1"/>
  <c r="BT35"/>
  <c r="BS35"/>
  <c r="BR35"/>
  <c r="BQ35"/>
  <c r="BP35"/>
  <c r="BO35"/>
  <c r="BN35"/>
  <c r="BM35"/>
  <c r="BL35" s="1"/>
  <c r="BK35"/>
  <c r="BJ35"/>
  <c r="BI35"/>
  <c r="BH35"/>
  <c r="BA35" s="1"/>
  <c r="BG35"/>
  <c r="BF35"/>
  <c r="BE35"/>
  <c r="BD35"/>
  <c r="BC35"/>
  <c r="BB35"/>
  <c r="AX35"/>
  <c r="AW35"/>
  <c r="AV35"/>
  <c r="AC35"/>
  <c r="H35"/>
  <c r="G35"/>
  <c r="BT34"/>
  <c r="BS34"/>
  <c r="BR34"/>
  <c r="BQ34"/>
  <c r="BP34"/>
  <c r="BO34"/>
  <c r="BN34"/>
  <c r="BM34"/>
  <c r="BL34" s="1"/>
  <c r="BK34"/>
  <c r="BJ34"/>
  <c r="BI34"/>
  <c r="BH34"/>
  <c r="BG34"/>
  <c r="BF34"/>
  <c r="BE34"/>
  <c r="BD34"/>
  <c r="BC34"/>
  <c r="BB34"/>
  <c r="BA34" s="1"/>
  <c r="AX34"/>
  <c r="AW34"/>
  <c r="AV34"/>
  <c r="AC34"/>
  <c r="H34"/>
  <c r="G34"/>
  <c r="BT33"/>
  <c r="BS33"/>
  <c r="BR33"/>
  <c r="BQ33"/>
  <c r="BP33"/>
  <c r="BO33"/>
  <c r="BN33"/>
  <c r="BM33"/>
  <c r="BL33" s="1"/>
  <c r="BK33"/>
  <c r="BJ33"/>
  <c r="BI33"/>
  <c r="BH33"/>
  <c r="BG33"/>
  <c r="BF33"/>
  <c r="BE33"/>
  <c r="BD33"/>
  <c r="BC33"/>
  <c r="BB33"/>
  <c r="AX33"/>
  <c r="AW33"/>
  <c r="AV33"/>
  <c r="AC33"/>
  <c r="H33"/>
  <c r="G33" s="1"/>
  <c r="BT32"/>
  <c r="BS32"/>
  <c r="BR32"/>
  <c r="BQ32"/>
  <c r="BP32"/>
  <c r="BO32"/>
  <c r="BN32"/>
  <c r="BM32"/>
  <c r="BK32"/>
  <c r="BJ32"/>
  <c r="BI32"/>
  <c r="BH32"/>
  <c r="BA32" s="1"/>
  <c r="BG32"/>
  <c r="BF32"/>
  <c r="BE32"/>
  <c r="BD32"/>
  <c r="BC32"/>
  <c r="BB32"/>
  <c r="AX32"/>
  <c r="AW32"/>
  <c r="AV32"/>
  <c r="AC32"/>
  <c r="H32"/>
  <c r="G32"/>
  <c r="BT31"/>
  <c r="BS31"/>
  <c r="BR31"/>
  <c r="BQ31"/>
  <c r="BP31"/>
  <c r="BO31"/>
  <c r="BN31"/>
  <c r="BM31"/>
  <c r="BL31" s="1"/>
  <c r="BK31"/>
  <c r="BJ31"/>
  <c r="BI31"/>
  <c r="BH31"/>
  <c r="BG31"/>
  <c r="BF31"/>
  <c r="BE31"/>
  <c r="BD31"/>
  <c r="BC31"/>
  <c r="BB31"/>
  <c r="BA31" s="1"/>
  <c r="AX31"/>
  <c r="AW31"/>
  <c r="AV31"/>
  <c r="AC31"/>
  <c r="H31"/>
  <c r="G31"/>
  <c r="BT30"/>
  <c r="BS30"/>
  <c r="BR30"/>
  <c r="BQ30"/>
  <c r="BP30"/>
  <c r="BO30"/>
  <c r="BN30"/>
  <c r="BM30"/>
  <c r="BL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G29"/>
  <c r="BT28"/>
  <c r="BS28"/>
  <c r="BR28"/>
  <c r="BQ28"/>
  <c r="BP28"/>
  <c r="BO28"/>
  <c r="BN28"/>
  <c r="BM28"/>
  <c r="BL28" s="1"/>
  <c r="BK28"/>
  <c r="BJ28"/>
  <c r="BI28"/>
  <c r="BH28"/>
  <c r="BG28"/>
  <c r="BF28"/>
  <c r="BE28"/>
  <c r="BD28"/>
  <c r="BC28"/>
  <c r="BB28"/>
  <c r="BA28" s="1"/>
  <c r="AX28"/>
  <c r="AW28"/>
  <c r="AV28"/>
  <c r="AC28"/>
  <c r="H28"/>
  <c r="G28"/>
  <c r="BT27"/>
  <c r="BS27"/>
  <c r="BR27"/>
  <c r="BQ27"/>
  <c r="BP27"/>
  <c r="BO27"/>
  <c r="BN27"/>
  <c r="BM27"/>
  <c r="BL27" s="1"/>
  <c r="BK27"/>
  <c r="BJ27"/>
  <c r="BI27"/>
  <c r="BH27"/>
  <c r="BG27"/>
  <c r="BF27"/>
  <c r="BE27"/>
  <c r="BD27"/>
  <c r="BC27"/>
  <c r="BB27"/>
  <c r="BA27" s="1"/>
  <c r="AX27"/>
  <c r="AW27"/>
  <c r="AV27"/>
  <c r="AC27"/>
  <c r="H27"/>
  <c r="BT26"/>
  <c r="BS26"/>
  <c r="BR26"/>
  <c r="BQ26"/>
  <c r="BP26"/>
  <c r="BO26"/>
  <c r="BN26"/>
  <c r="BM26"/>
  <c r="BK26"/>
  <c r="BJ26"/>
  <c r="BI26"/>
  <c r="BH26"/>
  <c r="BG26"/>
  <c r="BF26"/>
  <c r="BE26"/>
  <c r="BD26"/>
  <c r="BC26"/>
  <c r="BB26"/>
  <c r="BA26" s="1"/>
  <c r="AX26"/>
  <c r="AW26"/>
  <c r="AV26"/>
  <c r="AC26"/>
  <c r="H26"/>
  <c r="G26"/>
  <c r="BT25"/>
  <c r="BS25"/>
  <c r="BR25"/>
  <c r="BQ25"/>
  <c r="BP25"/>
  <c r="BO25"/>
  <c r="BN25"/>
  <c r="BM25"/>
  <c r="BK25"/>
  <c r="BJ25"/>
  <c r="BI25"/>
  <c r="BH25"/>
  <c r="BG25"/>
  <c r="BF25"/>
  <c r="BE25"/>
  <c r="BD25"/>
  <c r="BC25"/>
  <c r="BB25"/>
  <c r="BA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L23" s="1"/>
  <c r="BM23"/>
  <c r="BK23"/>
  <c r="BJ23"/>
  <c r="BI23"/>
  <c r="BH23"/>
  <c r="BG23"/>
  <c r="BF23"/>
  <c r="BE23"/>
  <c r="BD23"/>
  <c r="BC23"/>
  <c r="BB23"/>
  <c r="BA23" s="1"/>
  <c r="AX23"/>
  <c r="AW23"/>
  <c r="AV23"/>
  <c r="AC23"/>
  <c r="H23"/>
  <c r="G23" s="1"/>
  <c r="BT22"/>
  <c r="BS22"/>
  <c r="BR22"/>
  <c r="BQ22"/>
  <c r="BP22"/>
  <c r="BO22"/>
  <c r="BN22"/>
  <c r="BM22"/>
  <c r="BK22"/>
  <c r="BJ22"/>
  <c r="BA22" s="1"/>
  <c r="BI22"/>
  <c r="BH22"/>
  <c r="BG22"/>
  <c r="BF22"/>
  <c r="BE22"/>
  <c r="BD22"/>
  <c r="BC22"/>
  <c r="BB22"/>
  <c r="AX22"/>
  <c r="AW22"/>
  <c r="AV22"/>
  <c r="AC22"/>
  <c r="H22"/>
  <c r="G22" s="1"/>
  <c r="BT21"/>
  <c r="BS21"/>
  <c r="BR21"/>
  <c r="BQ21"/>
  <c r="BP21"/>
  <c r="BO21"/>
  <c r="BN21"/>
  <c r="BM21"/>
  <c r="BK21"/>
  <c r="BJ21"/>
  <c r="BI21"/>
  <c r="BH21"/>
  <c r="BG21"/>
  <c r="BF21"/>
  <c r="BE21"/>
  <c r="BD21"/>
  <c r="BC21"/>
  <c r="BB21"/>
  <c r="AX21"/>
  <c r="AW21"/>
  <c r="AV21"/>
  <c r="AC21"/>
  <c r="H21"/>
  <c r="BT204"/>
  <c r="BS204"/>
  <c r="BR204"/>
  <c r="BQ204"/>
  <c r="BP204"/>
  <c r="BO204"/>
  <c r="BN204"/>
  <c r="BL204" s="1"/>
  <c r="BM204"/>
  <c r="BK204"/>
  <c r="BJ204"/>
  <c r="BI204"/>
  <c r="BH204"/>
  <c r="BG204"/>
  <c r="BF204"/>
  <c r="BE204"/>
  <c r="BD204"/>
  <c r="BC204"/>
  <c r="BB204"/>
  <c r="BA204" s="1"/>
  <c r="AX204"/>
  <c r="AW204"/>
  <c r="AV204"/>
  <c r="AC204"/>
  <c r="H204"/>
  <c r="G204"/>
  <c r="BT203"/>
  <c r="BS203"/>
  <c r="BR203"/>
  <c r="BQ203"/>
  <c r="BP203"/>
  <c r="BO203"/>
  <c r="BN203"/>
  <c r="BM203"/>
  <c r="BK203"/>
  <c r="BJ203"/>
  <c r="BI203"/>
  <c r="BH203"/>
  <c r="BG203"/>
  <c r="BF203"/>
  <c r="BE203"/>
  <c r="BD203"/>
  <c r="BC203"/>
  <c r="BB203"/>
  <c r="BA203" s="1"/>
  <c r="AX203"/>
  <c r="AW203"/>
  <c r="AV203"/>
  <c r="AC203"/>
  <c r="H203"/>
  <c r="G203"/>
  <c r="BT202"/>
  <c r="BS202"/>
  <c r="BR202"/>
  <c r="BQ202"/>
  <c r="BP202"/>
  <c r="BO202"/>
  <c r="BN202"/>
  <c r="BM202"/>
  <c r="BL202"/>
  <c r="BK202"/>
  <c r="BJ202"/>
  <c r="BI202"/>
  <c r="BH202"/>
  <c r="BG202"/>
  <c r="BF202"/>
  <c r="BE202"/>
  <c r="BD202"/>
  <c r="BC202"/>
  <c r="BA202" s="1"/>
  <c r="AZ202" s="1"/>
  <c r="BB202"/>
  <c r="AX202"/>
  <c r="AW202"/>
  <c r="AV202"/>
  <c r="AC202"/>
  <c r="H202"/>
  <c r="BT201"/>
  <c r="BS201"/>
  <c r="BR201"/>
  <c r="BQ201"/>
  <c r="BP201"/>
  <c r="BO201"/>
  <c r="BN201"/>
  <c r="BM201"/>
  <c r="BK201"/>
  <c r="BJ201"/>
  <c r="BI201"/>
  <c r="BH201"/>
  <c r="BG201"/>
  <c r="BF201"/>
  <c r="BE201"/>
  <c r="BA201" s="1"/>
  <c r="BD201"/>
  <c r="BC201"/>
  <c r="BB201"/>
  <c r="AX201"/>
  <c r="AW201"/>
  <c r="AV201"/>
  <c r="AC201"/>
  <c r="G201" s="1"/>
  <c r="H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K199"/>
  <c r="BJ199"/>
  <c r="BI199"/>
  <c r="BH199"/>
  <c r="BG199"/>
  <c r="BF199"/>
  <c r="BE199"/>
  <c r="BD199"/>
  <c r="BC199"/>
  <c r="BB199"/>
  <c r="BA199"/>
  <c r="AX199"/>
  <c r="AW199"/>
  <c r="AV199"/>
  <c r="AC199"/>
  <c r="H199"/>
  <c r="G199" s="1"/>
  <c r="BT198"/>
  <c r="BS198"/>
  <c r="BL198" s="1"/>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AX197"/>
  <c r="AW197"/>
  <c r="AV197"/>
  <c r="AC197"/>
  <c r="H197"/>
  <c r="G197" s="1"/>
  <c r="BT196"/>
  <c r="BS196"/>
  <c r="BR196"/>
  <c r="BQ196"/>
  <c r="BP196"/>
  <c r="BO196"/>
  <c r="BN196"/>
  <c r="BM196"/>
  <c r="BK196"/>
  <c r="BJ196"/>
  <c r="BI196"/>
  <c r="BH196"/>
  <c r="BG196"/>
  <c r="BF196"/>
  <c r="BE196"/>
  <c r="BD196"/>
  <c r="BC196"/>
  <c r="BB196"/>
  <c r="AX196"/>
  <c r="AW196"/>
  <c r="AV196"/>
  <c r="AC196"/>
  <c r="H196"/>
  <c r="BT195"/>
  <c r="BS195"/>
  <c r="BR195"/>
  <c r="BQ195"/>
  <c r="BP195"/>
  <c r="BO195"/>
  <c r="BN195"/>
  <c r="BL195" s="1"/>
  <c r="BM195"/>
  <c r="BK195"/>
  <c r="BJ195"/>
  <c r="BI195"/>
  <c r="BH195"/>
  <c r="BG195"/>
  <c r="BF195"/>
  <c r="BE195"/>
  <c r="BD195"/>
  <c r="BC195"/>
  <c r="BB195"/>
  <c r="AX195"/>
  <c r="AW195"/>
  <c r="AV195"/>
  <c r="AC195"/>
  <c r="H195"/>
  <c r="G195" s="1"/>
  <c r="BT194"/>
  <c r="BS194"/>
  <c r="BR194"/>
  <c r="BQ194"/>
  <c r="BP194"/>
  <c r="BL194" s="1"/>
  <c r="BO194"/>
  <c r="BN194"/>
  <c r="BM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G185" s="1"/>
  <c r="H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BA183" s="1"/>
  <c r="AX183"/>
  <c r="AW183"/>
  <c r="AV183"/>
  <c r="AC183"/>
  <c r="H183"/>
  <c r="G183" s="1"/>
  <c r="BT182"/>
  <c r="BS182"/>
  <c r="BL182" s="1"/>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G181" s="1"/>
  <c r="BT180"/>
  <c r="BS180"/>
  <c r="BR180"/>
  <c r="BQ180"/>
  <c r="BP180"/>
  <c r="BO180"/>
  <c r="BN180"/>
  <c r="BM180"/>
  <c r="BL180" s="1"/>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K177"/>
  <c r="BJ177"/>
  <c r="BI177"/>
  <c r="BH177"/>
  <c r="BG177"/>
  <c r="BF177"/>
  <c r="BE177"/>
  <c r="BD177"/>
  <c r="BC177"/>
  <c r="BB177"/>
  <c r="BA177"/>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L173" s="1"/>
  <c r="BN173"/>
  <c r="BM173"/>
  <c r="BK173"/>
  <c r="BJ173"/>
  <c r="BI173"/>
  <c r="BH173"/>
  <c r="BG173"/>
  <c r="BF173"/>
  <c r="BE173"/>
  <c r="BD173"/>
  <c r="BC173"/>
  <c r="BB173"/>
  <c r="AX173"/>
  <c r="AW173"/>
  <c r="AV173"/>
  <c r="AC173"/>
  <c r="G173" s="1"/>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A170" s="1"/>
  <c r="BB170"/>
  <c r="AX170"/>
  <c r="AW170"/>
  <c r="AV170"/>
  <c r="AC170"/>
  <c r="H170"/>
  <c r="G170" s="1"/>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s="1"/>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L157" s="1"/>
  <c r="BQ157"/>
  <c r="BP157"/>
  <c r="BO157"/>
  <c r="BN157"/>
  <c r="BM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AX152"/>
  <c r="AW152"/>
  <c r="AV152"/>
  <c r="AC152"/>
  <c r="H152"/>
  <c r="G152"/>
  <c r="BT151"/>
  <c r="BS151"/>
  <c r="BR151"/>
  <c r="BQ151"/>
  <c r="BP151"/>
  <c r="BO151"/>
  <c r="BN151"/>
  <c r="BM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G149"/>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K145"/>
  <c r="BJ145"/>
  <c r="BI145"/>
  <c r="BH145"/>
  <c r="BG145"/>
  <c r="BF145"/>
  <c r="BE145"/>
  <c r="BA145" s="1"/>
  <c r="BD145"/>
  <c r="BC145"/>
  <c r="BB145"/>
  <c r="AX145"/>
  <c r="AW145"/>
  <c r="AV145"/>
  <c r="AC145"/>
  <c r="H145"/>
  <c r="G145" s="1"/>
  <c r="BT144"/>
  <c r="BS144"/>
  <c r="BR144"/>
  <c r="BQ144"/>
  <c r="BP144"/>
  <c r="BL144" s="1"/>
  <c r="BO144"/>
  <c r="BN144"/>
  <c r="BM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A143" s="1"/>
  <c r="BB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L141" s="1"/>
  <c r="BM141"/>
  <c r="BK141"/>
  <c r="BJ141"/>
  <c r="BI141"/>
  <c r="BH141"/>
  <c r="BG141"/>
  <c r="BF141"/>
  <c r="BE141"/>
  <c r="BD141"/>
  <c r="BC141"/>
  <c r="BB141"/>
  <c r="BA141" s="1"/>
  <c r="AX141"/>
  <c r="AW141"/>
  <c r="AV141"/>
  <c r="AC141"/>
  <c r="H141"/>
  <c r="BT140"/>
  <c r="BS140"/>
  <c r="BR140"/>
  <c r="BQ140"/>
  <c r="BP140"/>
  <c r="BO140"/>
  <c r="BN140"/>
  <c r="BM140"/>
  <c r="BK140"/>
  <c r="BJ140"/>
  <c r="BI140"/>
  <c r="BH140"/>
  <c r="BG140"/>
  <c r="BA140" s="1"/>
  <c r="BF140"/>
  <c r="BE140"/>
  <c r="BD140"/>
  <c r="BC140"/>
  <c r="BB140"/>
  <c r="AX140"/>
  <c r="AW140"/>
  <c r="AV140"/>
  <c r="AC140"/>
  <c r="H140"/>
  <c r="BT139"/>
  <c r="BS139"/>
  <c r="BR139"/>
  <c r="BQ139"/>
  <c r="BP139"/>
  <c r="BO139"/>
  <c r="BN139"/>
  <c r="BM139"/>
  <c r="BK139"/>
  <c r="BJ139"/>
  <c r="BI139"/>
  <c r="BH139"/>
  <c r="BG139"/>
  <c r="BA139" s="1"/>
  <c r="BF139"/>
  <c r="BE139"/>
  <c r="BD139"/>
  <c r="BC139"/>
  <c r="BB139"/>
  <c r="AX139"/>
  <c r="AW139"/>
  <c r="AV139"/>
  <c r="AC139"/>
  <c r="H139"/>
  <c r="G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L137" s="1"/>
  <c r="BM137"/>
  <c r="BK137"/>
  <c r="BJ137"/>
  <c r="BI137"/>
  <c r="BH137"/>
  <c r="BG137"/>
  <c r="BF137"/>
  <c r="BE137"/>
  <c r="BD137"/>
  <c r="BC137"/>
  <c r="BB137"/>
  <c r="AX137"/>
  <c r="AW137"/>
  <c r="AV137"/>
  <c r="AC137"/>
  <c r="H137"/>
  <c r="G137"/>
  <c r="BT136"/>
  <c r="BS136"/>
  <c r="BR136"/>
  <c r="BQ136"/>
  <c r="BP136"/>
  <c r="BO136"/>
  <c r="BN136"/>
  <c r="BM136"/>
  <c r="BL136"/>
  <c r="BK136"/>
  <c r="BJ136"/>
  <c r="BI136"/>
  <c r="BH136"/>
  <c r="BG136"/>
  <c r="BF136"/>
  <c r="BE136"/>
  <c r="BD136"/>
  <c r="BC136"/>
  <c r="BB136"/>
  <c r="AX136"/>
  <c r="AW136"/>
  <c r="AV136"/>
  <c r="AC136"/>
  <c r="H136"/>
  <c r="BT135"/>
  <c r="BS135"/>
  <c r="BR135"/>
  <c r="BQ135"/>
  <c r="BP135"/>
  <c r="BO135"/>
  <c r="BN135"/>
  <c r="BM135"/>
  <c r="BK135"/>
  <c r="BJ135"/>
  <c r="BI135"/>
  <c r="BH135"/>
  <c r="BG135"/>
  <c r="BF135"/>
  <c r="BE135"/>
  <c r="BD135"/>
  <c r="BC135"/>
  <c r="BB135"/>
  <c r="BA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A133" s="1"/>
  <c r="AZ133" s="1"/>
  <c r="BC133"/>
  <c r="BB133"/>
  <c r="AX133"/>
  <c r="AW133"/>
  <c r="AV133"/>
  <c r="AC133"/>
  <c r="G133" s="1"/>
  <c r="H133"/>
  <c r="BT132"/>
  <c r="BS132"/>
  <c r="BR132"/>
  <c r="BQ132"/>
  <c r="BP132"/>
  <c r="BO132"/>
  <c r="BL132" s="1"/>
  <c r="BN132"/>
  <c r="BM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K129"/>
  <c r="BJ129"/>
  <c r="BI129"/>
  <c r="BH129"/>
  <c r="BG129"/>
  <c r="BF129"/>
  <c r="BE129"/>
  <c r="BD129"/>
  <c r="BC129"/>
  <c r="BA129" s="1"/>
  <c r="BB129"/>
  <c r="AX129"/>
  <c r="AW129"/>
  <c r="AV129"/>
  <c r="AC129"/>
  <c r="H129"/>
  <c r="G129" s="1"/>
  <c r="BT128"/>
  <c r="BS128"/>
  <c r="BR128"/>
  <c r="BQ128"/>
  <c r="BP128"/>
  <c r="BO128"/>
  <c r="BN128"/>
  <c r="BL128" s="1"/>
  <c r="BM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A127" s="1"/>
  <c r="BB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L125" s="1"/>
  <c r="BM125"/>
  <c r="BK125"/>
  <c r="BJ125"/>
  <c r="BI125"/>
  <c r="BH125"/>
  <c r="BG125"/>
  <c r="BF125"/>
  <c r="BE125"/>
  <c r="BD125"/>
  <c r="BC125"/>
  <c r="BB125"/>
  <c r="AX125"/>
  <c r="AW125"/>
  <c r="AV125"/>
  <c r="AC125"/>
  <c r="H125"/>
  <c r="G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G123" s="1"/>
  <c r="H123"/>
  <c r="BT122"/>
  <c r="BS122"/>
  <c r="BR122"/>
  <c r="BQ122"/>
  <c r="BP122"/>
  <c r="BO122"/>
  <c r="BL122" s="1"/>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BA121" s="1"/>
  <c r="AX121"/>
  <c r="AW121"/>
  <c r="AV121"/>
  <c r="AC121"/>
  <c r="H121"/>
  <c r="G121" s="1"/>
  <c r="BT120"/>
  <c r="BS120"/>
  <c r="BR120"/>
  <c r="BQ120"/>
  <c r="BP120"/>
  <c r="BO120"/>
  <c r="BN120"/>
  <c r="BL120" s="1"/>
  <c r="BM120"/>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A119" s="1"/>
  <c r="BB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G117" s="1"/>
  <c r="H117"/>
  <c r="BT116"/>
  <c r="BS116"/>
  <c r="BR116"/>
  <c r="BQ116"/>
  <c r="BP116"/>
  <c r="BO116"/>
  <c r="BN116"/>
  <c r="BM116"/>
  <c r="BL116" s="1"/>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s="1"/>
  <c r="BK113"/>
  <c r="BJ113"/>
  <c r="BI113"/>
  <c r="BH113"/>
  <c r="BG113"/>
  <c r="BF113"/>
  <c r="BE113"/>
  <c r="BD113"/>
  <c r="BC113"/>
  <c r="BB113"/>
  <c r="BA113" s="1"/>
  <c r="AX113"/>
  <c r="AW113"/>
  <c r="AV113"/>
  <c r="AC113"/>
  <c r="H113"/>
  <c r="G113"/>
  <c r="BT296"/>
  <c r="BS296"/>
  <c r="BR296"/>
  <c r="BQ296"/>
  <c r="BP296"/>
  <c r="BO296"/>
  <c r="BN296"/>
  <c r="BM296"/>
  <c r="BL296" s="1"/>
  <c r="BK296"/>
  <c r="BJ296"/>
  <c r="BI296"/>
  <c r="BH296"/>
  <c r="BG296"/>
  <c r="BF296"/>
  <c r="BE296"/>
  <c r="BD296"/>
  <c r="BC296"/>
  <c r="BB296"/>
  <c r="BA296" s="1"/>
  <c r="AZ296" s="1"/>
  <c r="AX296"/>
  <c r="AW296"/>
  <c r="AV296"/>
  <c r="AC296"/>
  <c r="H296"/>
  <c r="G296" s="1"/>
  <c r="BT295"/>
  <c r="BS295"/>
  <c r="BR295"/>
  <c r="BQ295"/>
  <c r="BP295"/>
  <c r="BO295"/>
  <c r="BN295"/>
  <c r="BM295"/>
  <c r="BL295" s="1"/>
  <c r="BK295"/>
  <c r="BJ295"/>
  <c r="BI295"/>
  <c r="BH295"/>
  <c r="BG295"/>
  <c r="BF295"/>
  <c r="BE295"/>
  <c r="BA295" s="1"/>
  <c r="BD295"/>
  <c r="BC295"/>
  <c r="BB295"/>
  <c r="AX295"/>
  <c r="AW295"/>
  <c r="AV295"/>
  <c r="AC295"/>
  <c r="H295"/>
  <c r="G295" s="1"/>
  <c r="BT294"/>
  <c r="BS294"/>
  <c r="BR294"/>
  <c r="BQ294"/>
  <c r="BP294"/>
  <c r="BO294"/>
  <c r="BN294"/>
  <c r="BL294" s="1"/>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A292" s="1"/>
  <c r="BD292"/>
  <c r="BC292"/>
  <c r="BB292"/>
  <c r="AX292"/>
  <c r="AW292"/>
  <c r="AV292"/>
  <c r="AC292"/>
  <c r="H292"/>
  <c r="G292" s="1"/>
  <c r="BT291"/>
  <c r="BS291"/>
  <c r="BR291"/>
  <c r="BQ291"/>
  <c r="BP291"/>
  <c r="BO291"/>
  <c r="BN291"/>
  <c r="BL291" s="1"/>
  <c r="BM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s="1"/>
  <c r="AX290"/>
  <c r="AW290"/>
  <c r="AV290"/>
  <c r="AC290"/>
  <c r="G290" s="1"/>
  <c r="H290"/>
  <c r="BT289"/>
  <c r="BS289"/>
  <c r="BR289"/>
  <c r="BQ289"/>
  <c r="BP289"/>
  <c r="BO289"/>
  <c r="BL289" s="1"/>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A287" s="1"/>
  <c r="AZ287" s="1"/>
  <c r="BC287"/>
  <c r="BB287"/>
  <c r="AX287"/>
  <c r="AW287"/>
  <c r="AV287"/>
  <c r="AC287"/>
  <c r="G287" s="1"/>
  <c r="H287"/>
  <c r="BT286"/>
  <c r="BS286"/>
  <c r="BR286"/>
  <c r="BQ286"/>
  <c r="BP286"/>
  <c r="BO286"/>
  <c r="BL286" s="1"/>
  <c r="BN286"/>
  <c r="BM286"/>
  <c r="BK286"/>
  <c r="BJ286"/>
  <c r="BI286"/>
  <c r="BH286"/>
  <c r="BG286"/>
  <c r="BF286"/>
  <c r="BE286"/>
  <c r="BD286"/>
  <c r="BC286"/>
  <c r="BB286"/>
  <c r="AX286"/>
  <c r="AW286"/>
  <c r="AV286"/>
  <c r="AC286"/>
  <c r="H286"/>
  <c r="G286" s="1"/>
  <c r="BT285"/>
  <c r="BS285"/>
  <c r="BR285"/>
  <c r="BQ285"/>
  <c r="BP285"/>
  <c r="BO285"/>
  <c r="BN285"/>
  <c r="BM285"/>
  <c r="BL285" s="1"/>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A284" s="1"/>
  <c r="BC284"/>
  <c r="BB284"/>
  <c r="AX284"/>
  <c r="AW284"/>
  <c r="AV284"/>
  <c r="AC284"/>
  <c r="H284"/>
  <c r="G284" s="1"/>
  <c r="BT283"/>
  <c r="BS283"/>
  <c r="BR283"/>
  <c r="BQ283"/>
  <c r="BP283"/>
  <c r="BO283"/>
  <c r="BN283"/>
  <c r="BL283" s="1"/>
  <c r="BM283"/>
  <c r="BK283"/>
  <c r="BJ283"/>
  <c r="BI283"/>
  <c r="BH283"/>
  <c r="BG283"/>
  <c r="BF283"/>
  <c r="BE283"/>
  <c r="BD283"/>
  <c r="BC283"/>
  <c r="BB283"/>
  <c r="BA283" s="1"/>
  <c r="AX283"/>
  <c r="AW283"/>
  <c r="AV283"/>
  <c r="AC283"/>
  <c r="H283"/>
  <c r="G283" s="1"/>
  <c r="BT282"/>
  <c r="BS282"/>
  <c r="BR282"/>
  <c r="BQ282"/>
  <c r="BP282"/>
  <c r="BO282"/>
  <c r="BN282"/>
  <c r="BM282"/>
  <c r="BL282" s="1"/>
  <c r="BK282"/>
  <c r="BJ282"/>
  <c r="BI282"/>
  <c r="BH282"/>
  <c r="BG282"/>
  <c r="BF282"/>
  <c r="BE282"/>
  <c r="BD282"/>
  <c r="BC282"/>
  <c r="BB282"/>
  <c r="BA282"/>
  <c r="AX282"/>
  <c r="AW282"/>
  <c r="AV282"/>
  <c r="AC282"/>
  <c r="G282" s="1"/>
  <c r="H282"/>
  <c r="BT281"/>
  <c r="BS281"/>
  <c r="BR281"/>
  <c r="BQ281"/>
  <c r="BP281"/>
  <c r="BO281"/>
  <c r="BN281"/>
  <c r="BM281"/>
  <c r="BK281"/>
  <c r="BJ281"/>
  <c r="BI281"/>
  <c r="BH281"/>
  <c r="BG281"/>
  <c r="BF281"/>
  <c r="BE281"/>
  <c r="BD281"/>
  <c r="BC281"/>
  <c r="BA281" s="1"/>
  <c r="BB28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G280"/>
  <c r="BT279"/>
  <c r="BS279"/>
  <c r="BR279"/>
  <c r="BQ279"/>
  <c r="BP279"/>
  <c r="BO279"/>
  <c r="BN279"/>
  <c r="BM279"/>
  <c r="BL279" s="1"/>
  <c r="BK279"/>
  <c r="BJ279"/>
  <c r="BI279"/>
  <c r="BH279"/>
  <c r="BG279"/>
  <c r="BF279"/>
  <c r="BE279"/>
  <c r="BD279"/>
  <c r="BC279"/>
  <c r="BB279"/>
  <c r="AX279"/>
  <c r="AW279"/>
  <c r="AV279"/>
  <c r="AC279"/>
  <c r="G279" s="1"/>
  <c r="H279"/>
  <c r="BT278"/>
  <c r="BS278"/>
  <c r="BR278"/>
  <c r="BQ278"/>
  <c r="BP278"/>
  <c r="BO278"/>
  <c r="BN278"/>
  <c r="BM278"/>
  <c r="BK278"/>
  <c r="BJ278"/>
  <c r="BI278"/>
  <c r="BH278"/>
  <c r="BG278"/>
  <c r="BF278"/>
  <c r="BE278"/>
  <c r="BD278"/>
  <c r="BC278"/>
  <c r="BA278" s="1"/>
  <c r="BB278"/>
  <c r="AX278"/>
  <c r="AW278"/>
  <c r="AV278"/>
  <c r="AC278"/>
  <c r="H278"/>
  <c r="G278"/>
  <c r="BT277"/>
  <c r="BS277"/>
  <c r="BR277"/>
  <c r="BQ277"/>
  <c r="BP277"/>
  <c r="BO277"/>
  <c r="BN277"/>
  <c r="BM277"/>
  <c r="BL277" s="1"/>
  <c r="BK277"/>
  <c r="BJ277"/>
  <c r="BI277"/>
  <c r="BH277"/>
  <c r="BG277"/>
  <c r="BF277"/>
  <c r="BE277"/>
  <c r="BD277"/>
  <c r="BC277"/>
  <c r="BB277"/>
  <c r="BA277" s="1"/>
  <c r="AX277"/>
  <c r="AW277"/>
  <c r="AV277"/>
  <c r="AC277"/>
  <c r="H277"/>
  <c r="G277" s="1"/>
  <c r="BT276"/>
  <c r="BS276"/>
  <c r="BR276"/>
  <c r="BQ276"/>
  <c r="BP276"/>
  <c r="BO276"/>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s="1"/>
  <c r="AX275"/>
  <c r="AW275"/>
  <c r="AV275"/>
  <c r="AC275"/>
  <c r="H275"/>
  <c r="G275"/>
  <c r="BT274"/>
  <c r="BS274"/>
  <c r="BR274"/>
  <c r="BQ274"/>
  <c r="BP274"/>
  <c r="BO274"/>
  <c r="BN274"/>
  <c r="BM274"/>
  <c r="BL274" s="1"/>
  <c r="BK274"/>
  <c r="BJ274"/>
  <c r="BI274"/>
  <c r="BH274"/>
  <c r="BG274"/>
  <c r="BF274"/>
  <c r="BE274"/>
  <c r="BD274"/>
  <c r="BC274"/>
  <c r="BB274"/>
  <c r="BA274" s="1"/>
  <c r="AX274"/>
  <c r="AW274"/>
  <c r="AV274"/>
  <c r="AC274"/>
  <c r="G274" s="1"/>
  <c r="H274"/>
  <c r="BT273"/>
  <c r="BS273"/>
  <c r="BR273"/>
  <c r="BQ273"/>
  <c r="BP273"/>
  <c r="BO273"/>
  <c r="BL273" s="1"/>
  <c r="BN273"/>
  <c r="BM273"/>
  <c r="BK273"/>
  <c r="BJ273"/>
  <c r="BI273"/>
  <c r="BH273"/>
  <c r="BG273"/>
  <c r="BF273"/>
  <c r="BE273"/>
  <c r="BD273"/>
  <c r="BC273"/>
  <c r="BB273"/>
  <c r="AX273"/>
  <c r="AW273"/>
  <c r="AV273"/>
  <c r="AC273"/>
  <c r="H273"/>
  <c r="G273" s="1"/>
  <c r="BT272"/>
  <c r="BS272"/>
  <c r="BR272"/>
  <c r="BQ272"/>
  <c r="BP272"/>
  <c r="BO272"/>
  <c r="BN272"/>
  <c r="BM272"/>
  <c r="BK272"/>
  <c r="BJ272"/>
  <c r="BI272"/>
  <c r="BH272"/>
  <c r="BG272"/>
  <c r="BF272"/>
  <c r="BE272"/>
  <c r="BD272"/>
  <c r="BC272"/>
  <c r="BB272"/>
  <c r="BA272"/>
  <c r="AX272"/>
  <c r="AW272"/>
  <c r="AV272"/>
  <c r="AC272"/>
  <c r="H272"/>
  <c r="G272"/>
  <c r="BT271"/>
  <c r="BS271"/>
  <c r="BR271"/>
  <c r="BQ271"/>
  <c r="BP271"/>
  <c r="BO271"/>
  <c r="BN271"/>
  <c r="BM271"/>
  <c r="BL271"/>
  <c r="BK271"/>
  <c r="BJ271"/>
  <c r="BI271"/>
  <c r="BH271"/>
  <c r="BG271"/>
  <c r="BF271"/>
  <c r="BE271"/>
  <c r="BD271"/>
  <c r="BA271" s="1"/>
  <c r="AZ271" s="1"/>
  <c r="BC271"/>
  <c r="BB271"/>
  <c r="AX271"/>
  <c r="AW271"/>
  <c r="AV271"/>
  <c r="AC271"/>
  <c r="G271" s="1"/>
  <c r="H271"/>
  <c r="BT270"/>
  <c r="BS270"/>
  <c r="BR270"/>
  <c r="BQ270"/>
  <c r="BP270"/>
  <c r="BO270"/>
  <c r="BL270" s="1"/>
  <c r="BN270"/>
  <c r="BM270"/>
  <c r="BK270"/>
  <c r="BJ270"/>
  <c r="BI270"/>
  <c r="BH270"/>
  <c r="BG270"/>
  <c r="BF270"/>
  <c r="BE270"/>
  <c r="BD270"/>
  <c r="BC270"/>
  <c r="BB270"/>
  <c r="AX270"/>
  <c r="AW270"/>
  <c r="AV270"/>
  <c r="AC270"/>
  <c r="H270"/>
  <c r="G270" s="1"/>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A268" s="1"/>
  <c r="BC268"/>
  <c r="BB268"/>
  <c r="AX268"/>
  <c r="AW268"/>
  <c r="AV268"/>
  <c r="AC268"/>
  <c r="H268"/>
  <c r="G268" s="1"/>
  <c r="BT267"/>
  <c r="BS267"/>
  <c r="BR267"/>
  <c r="BQ267"/>
  <c r="BP267"/>
  <c r="BO267"/>
  <c r="BN267"/>
  <c r="BL267" s="1"/>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A265" s="1"/>
  <c r="BC265"/>
  <c r="BB265"/>
  <c r="AX265"/>
  <c r="AW265"/>
  <c r="AV265"/>
  <c r="AC265"/>
  <c r="H265"/>
  <c r="G265" s="1"/>
  <c r="BT264"/>
  <c r="BS264"/>
  <c r="BR264"/>
  <c r="BQ264"/>
  <c r="BP264"/>
  <c r="BO264"/>
  <c r="BN264"/>
  <c r="BL264" s="1"/>
  <c r="BM264"/>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K262"/>
  <c r="BJ262"/>
  <c r="BI262"/>
  <c r="BH262"/>
  <c r="BG262"/>
  <c r="BF262"/>
  <c r="BE262"/>
  <c r="BD262"/>
  <c r="BC262"/>
  <c r="BA262" s="1"/>
  <c r="BB262"/>
  <c r="AX262"/>
  <c r="AW262"/>
  <c r="AV262"/>
  <c r="AC262"/>
  <c r="H262"/>
  <c r="G262" s="1"/>
  <c r="BT261"/>
  <c r="BS261"/>
  <c r="BR261"/>
  <c r="BQ261"/>
  <c r="BP261"/>
  <c r="BO261"/>
  <c r="BN261"/>
  <c r="BL261" s="1"/>
  <c r="BM261"/>
  <c r="BK261"/>
  <c r="BJ261"/>
  <c r="BI261"/>
  <c r="BH261"/>
  <c r="BG261"/>
  <c r="BF261"/>
  <c r="BE261"/>
  <c r="BD261"/>
  <c r="BC261"/>
  <c r="BA261" s="1"/>
  <c r="BB261"/>
  <c r="AX261"/>
  <c r="AW261"/>
  <c r="AV261"/>
  <c r="AC261"/>
  <c r="H261"/>
  <c r="G261" s="1"/>
  <c r="BT260"/>
  <c r="BS260"/>
  <c r="BR260"/>
  <c r="BQ260"/>
  <c r="BP260"/>
  <c r="BO260"/>
  <c r="BN260"/>
  <c r="BM260"/>
  <c r="BK260"/>
  <c r="BJ260"/>
  <c r="BI260"/>
  <c r="BH260"/>
  <c r="BG260"/>
  <c r="BF260"/>
  <c r="BE260"/>
  <c r="BD260"/>
  <c r="BC260"/>
  <c r="BB260"/>
  <c r="AX260"/>
  <c r="AW260"/>
  <c r="AV260"/>
  <c r="AC260"/>
  <c r="G260" s="1"/>
  <c r="H260"/>
  <c r="BT259"/>
  <c r="BS259"/>
  <c r="BR259"/>
  <c r="BQ259"/>
  <c r="BP259"/>
  <c r="BO259"/>
  <c r="BN259"/>
  <c r="BM259"/>
  <c r="BK259"/>
  <c r="BJ259"/>
  <c r="BI259"/>
  <c r="BH259"/>
  <c r="BG259"/>
  <c r="BF259"/>
  <c r="BE259"/>
  <c r="BD259"/>
  <c r="BC259"/>
  <c r="BB259"/>
  <c r="BA259" s="1"/>
  <c r="AX259"/>
  <c r="AW259"/>
  <c r="AV259"/>
  <c r="AC259"/>
  <c r="H259"/>
  <c r="G259"/>
  <c r="BT258"/>
  <c r="BS258"/>
  <c r="BR258"/>
  <c r="BQ258"/>
  <c r="BP258"/>
  <c r="BO258"/>
  <c r="BN258"/>
  <c r="BM258"/>
  <c r="BL258" s="1"/>
  <c r="BK258"/>
  <c r="BJ258"/>
  <c r="BI258"/>
  <c r="BH258"/>
  <c r="BG258"/>
  <c r="BF258"/>
  <c r="BE258"/>
  <c r="BD258"/>
  <c r="BC258"/>
  <c r="BB258"/>
  <c r="BA258" s="1"/>
  <c r="AZ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BA255" s="1"/>
  <c r="AX255"/>
  <c r="AW255"/>
  <c r="AV255"/>
  <c r="AC255"/>
  <c r="G255" s="1"/>
  <c r="H255"/>
  <c r="BT254"/>
  <c r="BS254"/>
  <c r="BR254"/>
  <c r="BQ254"/>
  <c r="BP254"/>
  <c r="BO254"/>
  <c r="BL254" s="1"/>
  <c r="BN254"/>
  <c r="BM254"/>
  <c r="BK254"/>
  <c r="BJ254"/>
  <c r="BI254"/>
  <c r="BH254"/>
  <c r="BG254"/>
  <c r="BF254"/>
  <c r="BE254"/>
  <c r="BD254"/>
  <c r="BC254"/>
  <c r="BB254"/>
  <c r="AX254"/>
  <c r="AW254"/>
  <c r="AV254"/>
  <c r="AC254"/>
  <c r="H254"/>
  <c r="G254" s="1"/>
  <c r="BT253"/>
  <c r="BS253"/>
  <c r="BR253"/>
  <c r="BQ253"/>
  <c r="BP253"/>
  <c r="BO253"/>
  <c r="BL253" s="1"/>
  <c r="BN253"/>
  <c r="BM253"/>
  <c r="BK253"/>
  <c r="BJ253"/>
  <c r="BI253"/>
  <c r="BH253"/>
  <c r="BG253"/>
  <c r="BF253"/>
  <c r="BE253"/>
  <c r="BD253"/>
  <c r="BC253"/>
  <c r="BB253"/>
  <c r="BA253" s="1"/>
  <c r="AX253"/>
  <c r="AW253"/>
  <c r="AV253"/>
  <c r="AC253"/>
  <c r="H253"/>
  <c r="G253"/>
  <c r="BT252"/>
  <c r="BS252"/>
  <c r="BR252"/>
  <c r="BQ252"/>
  <c r="BP252"/>
  <c r="BO252"/>
  <c r="BN252"/>
  <c r="BM252"/>
  <c r="BL252"/>
  <c r="BK252"/>
  <c r="BJ252"/>
  <c r="BI252"/>
  <c r="BH252"/>
  <c r="BG252"/>
  <c r="BF252"/>
  <c r="BE252"/>
  <c r="BD252"/>
  <c r="BA252" s="1"/>
  <c r="BC252"/>
  <c r="BB252"/>
  <c r="AX252"/>
  <c r="AW252"/>
  <c r="AV252"/>
  <c r="AC252"/>
  <c r="H252"/>
  <c r="G252" s="1"/>
  <c r="BT251"/>
  <c r="BS251"/>
  <c r="BR251"/>
  <c r="BQ251"/>
  <c r="BP251"/>
  <c r="BO251"/>
  <c r="BN251"/>
  <c r="BL251" s="1"/>
  <c r="BM251"/>
  <c r="BK251"/>
  <c r="BJ251"/>
  <c r="BI251"/>
  <c r="BH251"/>
  <c r="BG251"/>
  <c r="BF251"/>
  <c r="BE251"/>
  <c r="BD251"/>
  <c r="BC251"/>
  <c r="BB251"/>
  <c r="AX251"/>
  <c r="AW251"/>
  <c r="AV251"/>
  <c r="AC251"/>
  <c r="H251"/>
  <c r="G251" s="1"/>
  <c r="BT250"/>
  <c r="BS250"/>
  <c r="BR250"/>
  <c r="BQ250"/>
  <c r="BP250"/>
  <c r="BO250"/>
  <c r="BN250"/>
  <c r="BM250"/>
  <c r="BL250" s="1"/>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A249" s="1"/>
  <c r="BC249"/>
  <c r="BB249"/>
  <c r="AX249"/>
  <c r="AW249"/>
  <c r="AV249"/>
  <c r="AC249"/>
  <c r="H249"/>
  <c r="G249" s="1"/>
  <c r="BT248"/>
  <c r="BS248"/>
  <c r="BR248"/>
  <c r="BQ248"/>
  <c r="BP248"/>
  <c r="BO248"/>
  <c r="BN248"/>
  <c r="BL248" s="1"/>
  <c r="BM248"/>
  <c r="BK248"/>
  <c r="BJ248"/>
  <c r="BI248"/>
  <c r="BH248"/>
  <c r="BG248"/>
  <c r="BF248"/>
  <c r="BE248"/>
  <c r="BD248"/>
  <c r="BC248"/>
  <c r="BB248"/>
  <c r="AX248"/>
  <c r="AW248"/>
  <c r="AV248"/>
  <c r="AC248"/>
  <c r="H248"/>
  <c r="G248" s="1"/>
  <c r="BT247"/>
  <c r="BS247"/>
  <c r="BR247"/>
  <c r="BQ247"/>
  <c r="BP247"/>
  <c r="BO247"/>
  <c r="BN247"/>
  <c r="BL247" s="1"/>
  <c r="BM247"/>
  <c r="BK247"/>
  <c r="BJ247"/>
  <c r="BI247"/>
  <c r="BH247"/>
  <c r="BG247"/>
  <c r="BF247"/>
  <c r="BE247"/>
  <c r="BD247"/>
  <c r="BC247"/>
  <c r="BB247"/>
  <c r="BA247"/>
  <c r="AX247"/>
  <c r="AW247"/>
  <c r="AV247"/>
  <c r="AC247"/>
  <c r="H247"/>
  <c r="G247"/>
  <c r="BT246"/>
  <c r="BS246"/>
  <c r="BR246"/>
  <c r="BQ246"/>
  <c r="BP246"/>
  <c r="BO246"/>
  <c r="BN246"/>
  <c r="BM246"/>
  <c r="BK246"/>
  <c r="BJ246"/>
  <c r="BI246"/>
  <c r="BH246"/>
  <c r="BG246"/>
  <c r="BF246"/>
  <c r="BE246"/>
  <c r="BD246"/>
  <c r="BC246"/>
  <c r="BA246" s="1"/>
  <c r="BB246"/>
  <c r="AX246"/>
  <c r="AW246"/>
  <c r="AV246"/>
  <c r="AC246"/>
  <c r="H246"/>
  <c r="G246" s="1"/>
  <c r="BT245"/>
  <c r="BS245"/>
  <c r="BR245"/>
  <c r="BQ245"/>
  <c r="BP245"/>
  <c r="BO245"/>
  <c r="BN245"/>
  <c r="BL245" s="1"/>
  <c r="BM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C244"/>
  <c r="BB244"/>
  <c r="AX244"/>
  <c r="AW244"/>
  <c r="AV244"/>
  <c r="AC244"/>
  <c r="H244"/>
  <c r="BT243"/>
  <c r="BS243"/>
  <c r="BR243"/>
  <c r="BQ243"/>
  <c r="BP243"/>
  <c r="BO243"/>
  <c r="BN243"/>
  <c r="BM243"/>
  <c r="BK243"/>
  <c r="BJ243"/>
  <c r="BI243"/>
  <c r="BH243"/>
  <c r="BG243"/>
  <c r="BF243"/>
  <c r="BE243"/>
  <c r="BD243"/>
  <c r="BC243"/>
  <c r="BB243"/>
  <c r="AX243"/>
  <c r="AW243"/>
  <c r="AV243"/>
  <c r="AC243"/>
  <c r="H243"/>
  <c r="G243"/>
  <c r="BT242"/>
  <c r="BS242"/>
  <c r="BR242"/>
  <c r="BQ242"/>
  <c r="BP242"/>
  <c r="BO242"/>
  <c r="BN242"/>
  <c r="BM242"/>
  <c r="BL242" s="1"/>
  <c r="BK242"/>
  <c r="BJ242"/>
  <c r="BI242"/>
  <c r="BH242"/>
  <c r="BG242"/>
  <c r="BF242"/>
  <c r="BE242"/>
  <c r="BD242"/>
  <c r="BC242"/>
  <c r="BB242"/>
  <c r="AX242"/>
  <c r="AW242"/>
  <c r="AV242"/>
  <c r="AC242"/>
  <c r="H242"/>
  <c r="G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G240"/>
  <c r="BT239"/>
  <c r="BS239"/>
  <c r="BR239"/>
  <c r="BQ239"/>
  <c r="BP239"/>
  <c r="BO239"/>
  <c r="BN239"/>
  <c r="BM239"/>
  <c r="BL239" s="1"/>
  <c r="BK239"/>
  <c r="BJ239"/>
  <c r="BI239"/>
  <c r="BH239"/>
  <c r="BG239"/>
  <c r="BF239"/>
  <c r="BE239"/>
  <c r="BD239"/>
  <c r="BC239"/>
  <c r="BB239"/>
  <c r="AX239"/>
  <c r="AW239"/>
  <c r="AV239"/>
  <c r="AC239"/>
  <c r="G239" s="1"/>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L237" s="1"/>
  <c r="BN237"/>
  <c r="BM237"/>
  <c r="BK237"/>
  <c r="BJ237"/>
  <c r="BI237"/>
  <c r="BH237"/>
  <c r="BG237"/>
  <c r="BF237"/>
  <c r="BE237"/>
  <c r="BD237"/>
  <c r="BC237"/>
  <c r="BB237"/>
  <c r="BA237" s="1"/>
  <c r="AX237"/>
  <c r="AW237"/>
  <c r="AV237"/>
  <c r="AC237"/>
  <c r="H237"/>
  <c r="G237"/>
  <c r="BT236"/>
  <c r="BS236"/>
  <c r="BR236"/>
  <c r="BL236" s="1"/>
  <c r="BQ236"/>
  <c r="BP236"/>
  <c r="BO236"/>
  <c r="BN236"/>
  <c r="BM236"/>
  <c r="BK236"/>
  <c r="BJ236"/>
  <c r="BI236"/>
  <c r="BH236"/>
  <c r="BG236"/>
  <c r="BF236"/>
  <c r="BE236"/>
  <c r="BD236"/>
  <c r="BC236"/>
  <c r="BB236"/>
  <c r="BA236" s="1"/>
  <c r="AX236"/>
  <c r="AW236"/>
  <c r="AV236"/>
  <c r="AC236"/>
  <c r="H236"/>
  <c r="G236" s="1"/>
  <c r="BT235"/>
  <c r="BS235"/>
  <c r="BR235"/>
  <c r="BQ235"/>
  <c r="BP235"/>
  <c r="BO235"/>
  <c r="BN235"/>
  <c r="BL235" s="1"/>
  <c r="BM235"/>
  <c r="BK235"/>
  <c r="BJ235"/>
  <c r="BI235"/>
  <c r="BH235"/>
  <c r="BG235"/>
  <c r="BF235"/>
  <c r="BE235"/>
  <c r="BD235"/>
  <c r="BC235"/>
  <c r="BB235"/>
  <c r="AX235"/>
  <c r="AW235"/>
  <c r="AV235"/>
  <c r="AC235"/>
  <c r="H235"/>
  <c r="BT234"/>
  <c r="BS234"/>
  <c r="BR234"/>
  <c r="BQ234"/>
  <c r="BP234"/>
  <c r="BO234"/>
  <c r="BN234"/>
  <c r="BM234"/>
  <c r="BK234"/>
  <c r="BJ234"/>
  <c r="BI234"/>
  <c r="BH234"/>
  <c r="BG234"/>
  <c r="BF234"/>
  <c r="BA234" s="1"/>
  <c r="BE234"/>
  <c r="BD234"/>
  <c r="BC234"/>
  <c r="BB234"/>
  <c r="AX234"/>
  <c r="AW234"/>
  <c r="AV234"/>
  <c r="AC234"/>
  <c r="H234"/>
  <c r="G234"/>
  <c r="BT233"/>
  <c r="BS233"/>
  <c r="BR233"/>
  <c r="BQ233"/>
  <c r="BL233" s="1"/>
  <c r="BP233"/>
  <c r="BO233"/>
  <c r="BN233"/>
  <c r="BM233"/>
  <c r="BK233"/>
  <c r="BJ233"/>
  <c r="BI233"/>
  <c r="BH233"/>
  <c r="BG233"/>
  <c r="BF233"/>
  <c r="BE233"/>
  <c r="BD233"/>
  <c r="BC233"/>
  <c r="BB233"/>
  <c r="BA233"/>
  <c r="AX233"/>
  <c r="AW233"/>
  <c r="AV233"/>
  <c r="AC233"/>
  <c r="H233"/>
  <c r="G233" s="1"/>
  <c r="BT232"/>
  <c r="BS232"/>
  <c r="BR232"/>
  <c r="BQ232"/>
  <c r="BP232"/>
  <c r="BO232"/>
  <c r="BN232"/>
  <c r="BL232" s="1"/>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BA231"/>
  <c r="AX231"/>
  <c r="AW231"/>
  <c r="AV231"/>
  <c r="AC231"/>
  <c r="H231"/>
  <c r="G231"/>
  <c r="BT230"/>
  <c r="BS230"/>
  <c r="BR230"/>
  <c r="BQ230"/>
  <c r="BP230"/>
  <c r="BL230" s="1"/>
  <c r="BO230"/>
  <c r="BN230"/>
  <c r="BM230"/>
  <c r="BK230"/>
  <c r="BJ230"/>
  <c r="BI230"/>
  <c r="BH230"/>
  <c r="BG230"/>
  <c r="BF230"/>
  <c r="BE230"/>
  <c r="BD230"/>
  <c r="BC230"/>
  <c r="BA230" s="1"/>
  <c r="AZ230" s="1"/>
  <c r="BB230"/>
  <c r="AX230"/>
  <c r="AW230"/>
  <c r="AV230"/>
  <c r="AC230"/>
  <c r="H230"/>
  <c r="G230" s="1"/>
  <c r="BT229"/>
  <c r="BS229"/>
  <c r="BL229" s="1"/>
  <c r="BR229"/>
  <c r="BQ229"/>
  <c r="BP229"/>
  <c r="BO229"/>
  <c r="BN229"/>
  <c r="BM229"/>
  <c r="BK229"/>
  <c r="BJ229"/>
  <c r="BI229"/>
  <c r="BH229"/>
  <c r="BG229"/>
  <c r="BF229"/>
  <c r="BE229"/>
  <c r="BD229"/>
  <c r="BC229"/>
  <c r="BB229"/>
  <c r="AX229"/>
  <c r="AW229"/>
  <c r="AV229"/>
  <c r="AC229"/>
  <c r="H229"/>
  <c r="G229" s="1"/>
  <c r="BT228"/>
  <c r="BS228"/>
  <c r="BR228"/>
  <c r="BQ228"/>
  <c r="BP228"/>
  <c r="BO228"/>
  <c r="BN228"/>
  <c r="BM228"/>
  <c r="BK228"/>
  <c r="BJ228"/>
  <c r="BI228"/>
  <c r="BH228"/>
  <c r="BG228"/>
  <c r="BF228"/>
  <c r="BE228"/>
  <c r="BA228" s="1"/>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G227"/>
  <c r="BT226"/>
  <c r="BS226"/>
  <c r="BR226"/>
  <c r="BQ226"/>
  <c r="BP226"/>
  <c r="BO226"/>
  <c r="BN226"/>
  <c r="BM226"/>
  <c r="BL226" s="1"/>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A225" s="1"/>
  <c r="BD225"/>
  <c r="BC225"/>
  <c r="BB225"/>
  <c r="AX225"/>
  <c r="AW225"/>
  <c r="AV225"/>
  <c r="AC225"/>
  <c r="H225"/>
  <c r="BT224"/>
  <c r="BS224"/>
  <c r="BR224"/>
  <c r="BQ224"/>
  <c r="BP224"/>
  <c r="BO224"/>
  <c r="BL224" s="1"/>
  <c r="BN224"/>
  <c r="BM224"/>
  <c r="BK224"/>
  <c r="BJ224"/>
  <c r="BI224"/>
  <c r="BH224"/>
  <c r="BG224"/>
  <c r="BF224"/>
  <c r="BE224"/>
  <c r="BD224"/>
  <c r="BC224"/>
  <c r="BB224"/>
  <c r="AX224"/>
  <c r="AW224"/>
  <c r="AV224"/>
  <c r="AC224"/>
  <c r="H224"/>
  <c r="G224" s="1"/>
  <c r="BT223"/>
  <c r="BS223"/>
  <c r="BR223"/>
  <c r="BQ223"/>
  <c r="BP223"/>
  <c r="BO223"/>
  <c r="BN223"/>
  <c r="BM223"/>
  <c r="BK223"/>
  <c r="BJ223"/>
  <c r="BI223"/>
  <c r="BH223"/>
  <c r="BG223"/>
  <c r="BF223"/>
  <c r="BE223"/>
  <c r="BD223"/>
  <c r="BC223"/>
  <c r="BB223"/>
  <c r="AX223"/>
  <c r="AW223"/>
  <c r="AV223"/>
  <c r="AC223"/>
  <c r="G223" s="1"/>
  <c r="H223"/>
  <c r="BT222"/>
  <c r="BS222"/>
  <c r="BR222"/>
  <c r="BQ222"/>
  <c r="BP222"/>
  <c r="BO222"/>
  <c r="BN222"/>
  <c r="BM222"/>
  <c r="BL222" s="1"/>
  <c r="BK222"/>
  <c r="BJ222"/>
  <c r="BI222"/>
  <c r="BH222"/>
  <c r="BG222"/>
  <c r="BF222"/>
  <c r="BE222"/>
  <c r="BD222"/>
  <c r="BA222" s="1"/>
  <c r="AZ222" s="1"/>
  <c r="BC222"/>
  <c r="BB222"/>
  <c r="AX222"/>
  <c r="AW222"/>
  <c r="AV222"/>
  <c r="AC222"/>
  <c r="H222"/>
  <c r="BT221"/>
  <c r="BS221"/>
  <c r="BR221"/>
  <c r="BQ221"/>
  <c r="BP221"/>
  <c r="BO221"/>
  <c r="BL221" s="1"/>
  <c r="BN221"/>
  <c r="BM221"/>
  <c r="BK221"/>
  <c r="BJ221"/>
  <c r="BI221"/>
  <c r="BH221"/>
  <c r="BG221"/>
  <c r="BF221"/>
  <c r="BE221"/>
  <c r="BD221"/>
  <c r="BC221"/>
  <c r="BB221"/>
  <c r="BA221" s="1"/>
  <c r="AX221"/>
  <c r="AW221"/>
  <c r="AV221"/>
  <c r="AC221"/>
  <c r="H221"/>
  <c r="G221" s="1"/>
  <c r="BT220"/>
  <c r="BS220"/>
  <c r="BR220"/>
  <c r="BQ220"/>
  <c r="BP220"/>
  <c r="BO220"/>
  <c r="BN220"/>
  <c r="BL220" s="1"/>
  <c r="BM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AX219"/>
  <c r="AW219"/>
  <c r="AV219"/>
  <c r="AC219"/>
  <c r="H219"/>
  <c r="G219" s="1"/>
  <c r="BT218"/>
  <c r="BS218"/>
  <c r="BR218"/>
  <c r="BQ218"/>
  <c r="BP218"/>
  <c r="BO218"/>
  <c r="BN218"/>
  <c r="BM218"/>
  <c r="BL218" s="1"/>
  <c r="BK218"/>
  <c r="BJ218"/>
  <c r="BI218"/>
  <c r="BH218"/>
  <c r="BG218"/>
  <c r="BF218"/>
  <c r="BE218"/>
  <c r="BD218"/>
  <c r="BC218"/>
  <c r="BB218"/>
  <c r="BA218" s="1"/>
  <c r="AZ218" s="1"/>
  <c r="AX218"/>
  <c r="AW218"/>
  <c r="AV218"/>
  <c r="AC218"/>
  <c r="H218"/>
  <c r="G218" s="1"/>
  <c r="BT217"/>
  <c r="BS217"/>
  <c r="BR217"/>
  <c r="BQ217"/>
  <c r="BP217"/>
  <c r="BO217"/>
  <c r="BN217"/>
  <c r="BM217"/>
  <c r="BL217" s="1"/>
  <c r="BK217"/>
  <c r="BJ217"/>
  <c r="BI217"/>
  <c r="BH217"/>
  <c r="BG217"/>
  <c r="BF217"/>
  <c r="BE217"/>
  <c r="BD217"/>
  <c r="BA217" s="1"/>
  <c r="BC217"/>
  <c r="BB217"/>
  <c r="AX217"/>
  <c r="AW217"/>
  <c r="AV217"/>
  <c r="AC217"/>
  <c r="H217"/>
  <c r="BT216"/>
  <c r="BS216"/>
  <c r="BR216"/>
  <c r="BQ216"/>
  <c r="BP216"/>
  <c r="BO216"/>
  <c r="BN216"/>
  <c r="BL216" s="1"/>
  <c r="BM216"/>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A215" s="1"/>
  <c r="BB215"/>
  <c r="AX215"/>
  <c r="AW215"/>
  <c r="AV215"/>
  <c r="AC215"/>
  <c r="G215" s="1"/>
  <c r="H215"/>
  <c r="BT214"/>
  <c r="BS214"/>
  <c r="BR214"/>
  <c r="BQ214"/>
  <c r="BP214"/>
  <c r="BO214"/>
  <c r="BN214"/>
  <c r="BM214"/>
  <c r="BL214" s="1"/>
  <c r="BK214"/>
  <c r="BJ214"/>
  <c r="BI214"/>
  <c r="BH214"/>
  <c r="BA214" s="1"/>
  <c r="BG214"/>
  <c r="BF214"/>
  <c r="BE214"/>
  <c r="BD214"/>
  <c r="BC214"/>
  <c r="BB214"/>
  <c r="AX214"/>
  <c r="AW214"/>
  <c r="AV214"/>
  <c r="AC214"/>
  <c r="H214"/>
  <c r="G214" s="1"/>
  <c r="BT213"/>
  <c r="BS213"/>
  <c r="BR213"/>
  <c r="BQ213"/>
  <c r="BP213"/>
  <c r="BO213"/>
  <c r="BN213"/>
  <c r="BM213"/>
  <c r="BL213"/>
  <c r="BK213"/>
  <c r="BJ213"/>
  <c r="BI213"/>
  <c r="BH213"/>
  <c r="BG213"/>
  <c r="BF213"/>
  <c r="BE213"/>
  <c r="BD213"/>
  <c r="BC213"/>
  <c r="BB213"/>
  <c r="AX213"/>
  <c r="AW213"/>
  <c r="AV213"/>
  <c r="AC213"/>
  <c r="H213"/>
  <c r="G213"/>
  <c r="BT212"/>
  <c r="BS212"/>
  <c r="BR212"/>
  <c r="BQ212"/>
  <c r="BP212"/>
  <c r="BO212"/>
  <c r="BN212"/>
  <c r="BM212"/>
  <c r="BL212" s="1"/>
  <c r="BK212"/>
  <c r="BJ212"/>
  <c r="BI212"/>
  <c r="BH212"/>
  <c r="BG212"/>
  <c r="BF212"/>
  <c r="BE212"/>
  <c r="BD212"/>
  <c r="BC212"/>
  <c r="BB212"/>
  <c r="BA212" s="1"/>
  <c r="AX212"/>
  <c r="AW212"/>
  <c r="AV212"/>
  <c r="AC212"/>
  <c r="H212"/>
  <c r="BT211"/>
  <c r="BS211"/>
  <c r="BR211"/>
  <c r="BQ211"/>
  <c r="BP211"/>
  <c r="BO211"/>
  <c r="BN211"/>
  <c r="BL211" s="1"/>
  <c r="BM211"/>
  <c r="BK211"/>
  <c r="BJ211"/>
  <c r="BI211"/>
  <c r="BH211"/>
  <c r="BG211"/>
  <c r="BF211"/>
  <c r="BE211"/>
  <c r="BD211"/>
  <c r="BC211"/>
  <c r="BA211" s="1"/>
  <c r="BB211"/>
  <c r="AX211"/>
  <c r="AW211"/>
  <c r="AV211"/>
  <c r="AC211"/>
  <c r="H211"/>
  <c r="G211" s="1"/>
  <c r="BT210"/>
  <c r="BS210"/>
  <c r="BR210"/>
  <c r="BQ210"/>
  <c r="BP210"/>
  <c r="BO210"/>
  <c r="BN210"/>
  <c r="BL210" s="1"/>
  <c r="BM210"/>
  <c r="BK210"/>
  <c r="BJ210"/>
  <c r="BI210"/>
  <c r="BH210"/>
  <c r="BG210"/>
  <c r="BF210"/>
  <c r="BE210"/>
  <c r="BD210"/>
  <c r="BC210"/>
  <c r="BB210"/>
  <c r="BA210"/>
  <c r="AX210"/>
  <c r="AW210"/>
  <c r="AV210"/>
  <c r="AC210"/>
  <c r="H210"/>
  <c r="G210" s="1"/>
  <c r="BT209"/>
  <c r="BS209"/>
  <c r="BR209"/>
  <c r="BQ209"/>
  <c r="BP209"/>
  <c r="BL209" s="1"/>
  <c r="BO209"/>
  <c r="BN209"/>
  <c r="BM209"/>
  <c r="BK209"/>
  <c r="BJ209"/>
  <c r="BI209"/>
  <c r="BH209"/>
  <c r="BG209"/>
  <c r="BF209"/>
  <c r="BE209"/>
  <c r="BD209"/>
  <c r="BC209"/>
  <c r="BB209"/>
  <c r="BA209"/>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s="1"/>
  <c r="BT207"/>
  <c r="BS207"/>
  <c r="BR207"/>
  <c r="BQ207"/>
  <c r="BP207"/>
  <c r="BO207"/>
  <c r="BN207"/>
  <c r="BM207"/>
  <c r="BL207" s="1"/>
  <c r="BK207"/>
  <c r="BJ207"/>
  <c r="BI207"/>
  <c r="BH207"/>
  <c r="BG207"/>
  <c r="BF207"/>
  <c r="BE207"/>
  <c r="BD207"/>
  <c r="BC207"/>
  <c r="BB207"/>
  <c r="BA207" s="1"/>
  <c r="AX207"/>
  <c r="AW207"/>
  <c r="AV207"/>
  <c r="AC207"/>
  <c r="H207"/>
  <c r="G207" s="1"/>
  <c r="BT206"/>
  <c r="BS206"/>
  <c r="BR206"/>
  <c r="BQ206"/>
  <c r="BP206"/>
  <c r="BO206"/>
  <c r="BN206"/>
  <c r="BL206" s="1"/>
  <c r="BM206"/>
  <c r="BK206"/>
  <c r="BJ206"/>
  <c r="BI206"/>
  <c r="BH206"/>
  <c r="BG206"/>
  <c r="BF206"/>
  <c r="BE206"/>
  <c r="BD206"/>
  <c r="BC206"/>
  <c r="BB206"/>
  <c r="BA206"/>
  <c r="AZ206" s="1"/>
  <c r="AX206"/>
  <c r="AW206"/>
  <c r="AV206"/>
  <c r="AC206"/>
  <c r="H206"/>
  <c r="BT205"/>
  <c r="BS205"/>
  <c r="BR205"/>
  <c r="BQ205"/>
  <c r="BP205"/>
  <c r="BL205" s="1"/>
  <c r="BO205"/>
  <c r="BN205"/>
  <c r="BM205"/>
  <c r="BK205"/>
  <c r="BJ205"/>
  <c r="BI205"/>
  <c r="BH205"/>
  <c r="BG205"/>
  <c r="BF205"/>
  <c r="BE205"/>
  <c r="BD205"/>
  <c r="BC205"/>
  <c r="BA205" s="1"/>
  <c r="BB205"/>
  <c r="AX205"/>
  <c r="AW205"/>
  <c r="AV205"/>
  <c r="AC205"/>
  <c r="H205"/>
  <c r="G205"/>
  <c r="BT388"/>
  <c r="BS388"/>
  <c r="BR388"/>
  <c r="BQ388"/>
  <c r="BP388"/>
  <c r="BO388"/>
  <c r="BN388"/>
  <c r="BM388"/>
  <c r="BL388" s="1"/>
  <c r="BK388"/>
  <c r="BJ388"/>
  <c r="BI388"/>
  <c r="BH388"/>
  <c r="BG388"/>
  <c r="BF388"/>
  <c r="BE388"/>
  <c r="BD388"/>
  <c r="BC388"/>
  <c r="BB388"/>
  <c r="BA388" s="1"/>
  <c r="AX388"/>
  <c r="AW388"/>
  <c r="AV388"/>
  <c r="AC388"/>
  <c r="H388"/>
  <c r="G388" s="1"/>
  <c r="BT387"/>
  <c r="BS387"/>
  <c r="BR387"/>
  <c r="BQ387"/>
  <c r="BP387"/>
  <c r="BO387"/>
  <c r="BN387"/>
  <c r="BM387"/>
  <c r="BL387" s="1"/>
  <c r="BK387"/>
  <c r="BJ387"/>
  <c r="BI387"/>
  <c r="BH387"/>
  <c r="BG387"/>
  <c r="BF387"/>
  <c r="BE387"/>
  <c r="BD387"/>
  <c r="BC387"/>
  <c r="BB387"/>
  <c r="BA387" s="1"/>
  <c r="AZ387" s="1"/>
  <c r="AX387"/>
  <c r="AW387"/>
  <c r="AV387"/>
  <c r="AC387"/>
  <c r="G387" s="1"/>
  <c r="H387"/>
  <c r="BT386"/>
  <c r="BS386"/>
  <c r="BR386"/>
  <c r="BQ386"/>
  <c r="BP386"/>
  <c r="BO386"/>
  <c r="BN386"/>
  <c r="BM386"/>
  <c r="BL386" s="1"/>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A384" s="1"/>
  <c r="BB384"/>
  <c r="AX384"/>
  <c r="AW384"/>
  <c r="AV384"/>
  <c r="AC384"/>
  <c r="H384"/>
  <c r="BT383"/>
  <c r="BS383"/>
  <c r="BR383"/>
  <c r="BQ383"/>
  <c r="BP383"/>
  <c r="BO383"/>
  <c r="BN383"/>
  <c r="BM383"/>
  <c r="BK383"/>
  <c r="BJ383"/>
  <c r="BI383"/>
  <c r="BH383"/>
  <c r="BG383"/>
  <c r="BF383"/>
  <c r="BE383"/>
  <c r="BD383"/>
  <c r="BA383" s="1"/>
  <c r="BC383"/>
  <c r="BB383"/>
  <c r="AX383"/>
  <c r="AW383"/>
  <c r="AV383"/>
  <c r="AC383"/>
  <c r="H383"/>
  <c r="G383" s="1"/>
  <c r="BT382"/>
  <c r="BS382"/>
  <c r="BR382"/>
  <c r="BQ382"/>
  <c r="BP382"/>
  <c r="BO382"/>
  <c r="BN382"/>
  <c r="BL382" s="1"/>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s="1"/>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A367" s="1"/>
  <c r="BB367"/>
  <c r="AX367"/>
  <c r="AW367"/>
  <c r="AV367"/>
  <c r="AC367"/>
  <c r="H367"/>
  <c r="G367" s="1"/>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A353" s="1"/>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s="1"/>
  <c r="BK351"/>
  <c r="BJ351"/>
  <c r="BI351"/>
  <c r="BH351"/>
  <c r="BG351"/>
  <c r="BF351"/>
  <c r="BE351"/>
  <c r="BD351"/>
  <c r="BC351"/>
  <c r="BB351"/>
  <c r="BA351" s="1"/>
  <c r="AX351"/>
  <c r="AW351"/>
  <c r="AV351"/>
  <c r="AC351"/>
  <c r="H351"/>
  <c r="BT350"/>
  <c r="BS350"/>
  <c r="BR350"/>
  <c r="BQ350"/>
  <c r="BP350"/>
  <c r="BL350" s="1"/>
  <c r="BO350"/>
  <c r="BN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L346" s="1"/>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A341" s="1"/>
  <c r="BB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L335" s="1"/>
  <c r="BN335"/>
  <c r="BM335"/>
  <c r="BK335"/>
  <c r="BJ335"/>
  <c r="BI335"/>
  <c r="BH335"/>
  <c r="BG335"/>
  <c r="BF335"/>
  <c r="BE335"/>
  <c r="BD335"/>
  <c r="BC335"/>
  <c r="BB335"/>
  <c r="BA335" s="1"/>
  <c r="AX335"/>
  <c r="AW335"/>
  <c r="AV335"/>
  <c r="AC335"/>
  <c r="H335"/>
  <c r="BT334"/>
  <c r="BS334"/>
  <c r="BR334"/>
  <c r="BQ334"/>
  <c r="BP334"/>
  <c r="BL334" s="1"/>
  <c r="BO334"/>
  <c r="BN334"/>
  <c r="BM334"/>
  <c r="BK334"/>
  <c r="BJ334"/>
  <c r="BI334"/>
  <c r="BH334"/>
  <c r="BG334"/>
  <c r="BF334"/>
  <c r="BE334"/>
  <c r="BD334"/>
  <c r="BC334"/>
  <c r="BA334" s="1"/>
  <c r="AZ334" s="1"/>
  <c r="BB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L332" s="1"/>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L330" s="1"/>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A325" s="1"/>
  <c r="BB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L319" s="1"/>
  <c r="BN319"/>
  <c r="BM319"/>
  <c r="BK319"/>
  <c r="BJ319"/>
  <c r="BI319"/>
  <c r="BH319"/>
  <c r="BG319"/>
  <c r="BF319"/>
  <c r="BE319"/>
  <c r="BD319"/>
  <c r="BC319"/>
  <c r="BB319"/>
  <c r="BA319" s="1"/>
  <c r="AX319"/>
  <c r="AW319"/>
  <c r="AV319"/>
  <c r="AC319"/>
  <c r="H319"/>
  <c r="BT318"/>
  <c r="BS318"/>
  <c r="BL318" s="1"/>
  <c r="BR318"/>
  <c r="BQ318"/>
  <c r="BP318"/>
  <c r="BO318"/>
  <c r="BN318"/>
  <c r="BM318"/>
  <c r="BK318"/>
  <c r="BJ318"/>
  <c r="BI318"/>
  <c r="BH318"/>
  <c r="BG318"/>
  <c r="BF318"/>
  <c r="BE318"/>
  <c r="BD318"/>
  <c r="BC318"/>
  <c r="BA318" s="1"/>
  <c r="AZ318" s="1"/>
  <c r="BB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L316" s="1"/>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A313" s="1"/>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A311" s="1"/>
  <c r="BC311"/>
  <c r="BB311"/>
  <c r="AX311"/>
  <c r="AW311"/>
  <c r="AV311"/>
  <c r="AC311"/>
  <c r="H311"/>
  <c r="G311" s="1"/>
  <c r="BT310"/>
  <c r="BS310"/>
  <c r="BR310"/>
  <c r="BQ310"/>
  <c r="BP310"/>
  <c r="BO310"/>
  <c r="BN310"/>
  <c r="BL310" s="1"/>
  <c r="BM310"/>
  <c r="BK310"/>
  <c r="BJ310"/>
  <c r="BI310"/>
  <c r="BH310"/>
  <c r="BG310"/>
  <c r="BF310"/>
  <c r="BE310"/>
  <c r="BD310"/>
  <c r="BC310"/>
  <c r="BB310"/>
  <c r="AX310"/>
  <c r="AW310"/>
  <c r="AV310"/>
  <c r="AC310"/>
  <c r="H310"/>
  <c r="BT309"/>
  <c r="BS309"/>
  <c r="BR309"/>
  <c r="BQ309"/>
  <c r="BP309"/>
  <c r="BO309"/>
  <c r="BN309"/>
  <c r="BM309"/>
  <c r="BK309"/>
  <c r="BJ309"/>
  <c r="BI309"/>
  <c r="BH309"/>
  <c r="BA309" s="1"/>
  <c r="BG309"/>
  <c r="BF309"/>
  <c r="BE309"/>
  <c r="BD309"/>
  <c r="BC309"/>
  <c r="BB309"/>
  <c r="AX309"/>
  <c r="AW309"/>
  <c r="AV309"/>
  <c r="AC309"/>
  <c r="H309"/>
  <c r="G309" s="1"/>
  <c r="BT308"/>
  <c r="BS308"/>
  <c r="BR308"/>
  <c r="BQ308"/>
  <c r="BP308"/>
  <c r="BO308"/>
  <c r="BL308" s="1"/>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L306" s="1"/>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A301" s="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L480" s="1"/>
  <c r="BM480"/>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BA479"/>
  <c r="AX479"/>
  <c r="AW479"/>
  <c r="AV479"/>
  <c r="AC479"/>
  <c r="G479" s="1"/>
  <c r="H479"/>
  <c r="BT478"/>
  <c r="BS478"/>
  <c r="BR478"/>
  <c r="BQ478"/>
  <c r="BP478"/>
  <c r="BL478" s="1"/>
  <c r="BO478"/>
  <c r="BN478"/>
  <c r="BM478"/>
  <c r="BK478"/>
  <c r="BJ478"/>
  <c r="BI478"/>
  <c r="BH478"/>
  <c r="BG478"/>
  <c r="BF478"/>
  <c r="BE478"/>
  <c r="BD478"/>
  <c r="BC478"/>
  <c r="BA478" s="1"/>
  <c r="AZ478" s="1"/>
  <c r="BB478"/>
  <c r="AX478"/>
  <c r="AW478"/>
  <c r="AV478"/>
  <c r="AC478"/>
  <c r="H478"/>
  <c r="G478" s="1"/>
  <c r="BT477"/>
  <c r="BS477"/>
  <c r="BR477"/>
  <c r="BQ477"/>
  <c r="BP477"/>
  <c r="BO477"/>
  <c r="BN477"/>
  <c r="BL477" s="1"/>
  <c r="BM477"/>
  <c r="BK477"/>
  <c r="BJ477"/>
  <c r="BI477"/>
  <c r="BH477"/>
  <c r="BG477"/>
  <c r="BF477"/>
  <c r="BE477"/>
  <c r="BD477"/>
  <c r="BC477"/>
  <c r="BB477"/>
  <c r="BA477" s="1"/>
  <c r="AX477"/>
  <c r="AW477"/>
  <c r="AV477"/>
  <c r="AC477"/>
  <c r="H477"/>
  <c r="G477" s="1"/>
  <c r="BT476"/>
  <c r="BS476"/>
  <c r="BR476"/>
  <c r="BQ476"/>
  <c r="BP476"/>
  <c r="BO476"/>
  <c r="BN476"/>
  <c r="BM476"/>
  <c r="BL476" s="1"/>
  <c r="BK476"/>
  <c r="BJ476"/>
  <c r="BI476"/>
  <c r="BH476"/>
  <c r="BG476"/>
  <c r="BF476"/>
  <c r="BE476"/>
  <c r="BA476" s="1"/>
  <c r="AZ476" s="1"/>
  <c r="BD476"/>
  <c r="BC476"/>
  <c r="BB476"/>
  <c r="AX476"/>
  <c r="AW476"/>
  <c r="AV476"/>
  <c r="AC476"/>
  <c r="H476"/>
  <c r="G476" s="1"/>
  <c r="BT475"/>
  <c r="BS475"/>
  <c r="BR475"/>
  <c r="BQ475"/>
  <c r="BP475"/>
  <c r="BL475" s="1"/>
  <c r="BO475"/>
  <c r="BN475"/>
  <c r="BM475"/>
  <c r="BK475"/>
  <c r="BJ475"/>
  <c r="BI475"/>
  <c r="BH475"/>
  <c r="BG475"/>
  <c r="BF475"/>
  <c r="BE475"/>
  <c r="BD475"/>
  <c r="BC475"/>
  <c r="BA475" s="1"/>
  <c r="BB475"/>
  <c r="AX475"/>
  <c r="AW475"/>
  <c r="AV475"/>
  <c r="AC475"/>
  <c r="H475"/>
  <c r="G475"/>
  <c r="BT474"/>
  <c r="BS474"/>
  <c r="BR474"/>
  <c r="BQ474"/>
  <c r="BP474"/>
  <c r="BO474"/>
  <c r="BN474"/>
  <c r="BM474"/>
  <c r="BL474" s="1"/>
  <c r="BK474"/>
  <c r="BJ474"/>
  <c r="BI474"/>
  <c r="BH474"/>
  <c r="BG474"/>
  <c r="BF474"/>
  <c r="BE474"/>
  <c r="BD474"/>
  <c r="BC474"/>
  <c r="BB474"/>
  <c r="BA474" s="1"/>
  <c r="AX474"/>
  <c r="AW474"/>
  <c r="AV474"/>
  <c r="AC474"/>
  <c r="G474" s="1"/>
  <c r="H474"/>
  <c r="BT473"/>
  <c r="BS473"/>
  <c r="BR473"/>
  <c r="BQ473"/>
  <c r="BP473"/>
  <c r="BO473"/>
  <c r="BN473"/>
  <c r="BM473"/>
  <c r="BL473" s="1"/>
  <c r="BK473"/>
  <c r="BJ473"/>
  <c r="BI473"/>
  <c r="BH473"/>
  <c r="BG473"/>
  <c r="BF473"/>
  <c r="BE473"/>
  <c r="BD473"/>
  <c r="BC473"/>
  <c r="BA473" s="1"/>
  <c r="AZ473" s="1"/>
  <c r="BB473"/>
  <c r="AX473"/>
  <c r="AW473"/>
  <c r="AV473"/>
  <c r="AC473"/>
  <c r="H473"/>
  <c r="G473" s="1"/>
  <c r="BT472"/>
  <c r="BS472"/>
  <c r="BR472"/>
  <c r="BQ472"/>
  <c r="BP472"/>
  <c r="BO472"/>
  <c r="BN472"/>
  <c r="BL472" s="1"/>
  <c r="BM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s="1"/>
  <c r="AX471"/>
  <c r="AW471"/>
  <c r="AV471"/>
  <c r="AC471"/>
  <c r="G471" s="1"/>
  <c r="H471"/>
  <c r="BT470"/>
  <c r="BS470"/>
  <c r="BR470"/>
  <c r="BQ470"/>
  <c r="BP470"/>
  <c r="BO470"/>
  <c r="BL470" s="1"/>
  <c r="BN470"/>
  <c r="BM470"/>
  <c r="BK470"/>
  <c r="BJ470"/>
  <c r="BI470"/>
  <c r="BH470"/>
  <c r="BG470"/>
  <c r="BF470"/>
  <c r="BE470"/>
  <c r="BD470"/>
  <c r="BC470"/>
  <c r="BA470" s="1"/>
  <c r="AZ470" s="1"/>
  <c r="BB470"/>
  <c r="AX470"/>
  <c r="AW470"/>
  <c r="AV470"/>
  <c r="AC470"/>
  <c r="H470"/>
  <c r="G470" s="1"/>
  <c r="BT469"/>
  <c r="BS469"/>
  <c r="BR469"/>
  <c r="BQ469"/>
  <c r="BP469"/>
  <c r="BO469"/>
  <c r="BN469"/>
  <c r="BL469" s="1"/>
  <c r="BM469"/>
  <c r="BK469"/>
  <c r="BJ469"/>
  <c r="BI469"/>
  <c r="BH469"/>
  <c r="BG469"/>
  <c r="BF469"/>
  <c r="BE469"/>
  <c r="BD469"/>
  <c r="BC469"/>
  <c r="BB469"/>
  <c r="BA469" s="1"/>
  <c r="AX469"/>
  <c r="AW469"/>
  <c r="AV469"/>
  <c r="AC469"/>
  <c r="H469"/>
  <c r="G469"/>
  <c r="BT468"/>
  <c r="BS468"/>
  <c r="BR468"/>
  <c r="BQ468"/>
  <c r="BP468"/>
  <c r="BO468"/>
  <c r="BN468"/>
  <c r="BM468"/>
  <c r="BL468"/>
  <c r="BK468"/>
  <c r="BJ468"/>
  <c r="BI468"/>
  <c r="BH468"/>
  <c r="BG468"/>
  <c r="BF468"/>
  <c r="BE468"/>
  <c r="BD468"/>
  <c r="BA468" s="1"/>
  <c r="AZ468" s="1"/>
  <c r="BC468"/>
  <c r="BB468"/>
  <c r="AX468"/>
  <c r="AW468"/>
  <c r="AV468"/>
  <c r="AC468"/>
  <c r="G468" s="1"/>
  <c r="H468"/>
  <c r="BT467"/>
  <c r="BS467"/>
  <c r="BR467"/>
  <c r="BQ467"/>
  <c r="BP467"/>
  <c r="BO467"/>
  <c r="BL467" s="1"/>
  <c r="BN467"/>
  <c r="BM467"/>
  <c r="BK467"/>
  <c r="BJ467"/>
  <c r="BI467"/>
  <c r="BH467"/>
  <c r="BG467"/>
  <c r="BF467"/>
  <c r="BE467"/>
  <c r="BD467"/>
  <c r="BC467"/>
  <c r="BA467" s="1"/>
  <c r="BB467"/>
  <c r="AX467"/>
  <c r="AW467"/>
  <c r="AV467"/>
  <c r="AC467"/>
  <c r="H467"/>
  <c r="G467" s="1"/>
  <c r="BT466"/>
  <c r="BS466"/>
  <c r="BR466"/>
  <c r="BQ466"/>
  <c r="BP466"/>
  <c r="BO466"/>
  <c r="BN466"/>
  <c r="BM466"/>
  <c r="BL466" s="1"/>
  <c r="BK466"/>
  <c r="BJ466"/>
  <c r="BI466"/>
  <c r="BH466"/>
  <c r="BG466"/>
  <c r="BF466"/>
  <c r="BE466"/>
  <c r="BD466"/>
  <c r="BC466"/>
  <c r="BB466"/>
  <c r="BA466"/>
  <c r="AX466"/>
  <c r="AW466"/>
  <c r="AV466"/>
  <c r="AC466"/>
  <c r="G466" s="1"/>
  <c r="H466"/>
  <c r="BT465"/>
  <c r="BS465"/>
  <c r="BR465"/>
  <c r="BQ465"/>
  <c r="BP465"/>
  <c r="BL465" s="1"/>
  <c r="BO465"/>
  <c r="BN465"/>
  <c r="BM465"/>
  <c r="BK465"/>
  <c r="BJ465"/>
  <c r="BI465"/>
  <c r="BH465"/>
  <c r="BG465"/>
  <c r="BF465"/>
  <c r="BE465"/>
  <c r="BD465"/>
  <c r="BC465"/>
  <c r="BA465" s="1"/>
  <c r="BB465"/>
  <c r="AX465"/>
  <c r="AW465"/>
  <c r="AV465"/>
  <c r="AC465"/>
  <c r="H465"/>
  <c r="G465" s="1"/>
  <c r="BT464"/>
  <c r="BS464"/>
  <c r="BR464"/>
  <c r="BQ464"/>
  <c r="BP464"/>
  <c r="BO464"/>
  <c r="BN464"/>
  <c r="BL464" s="1"/>
  <c r="BM464"/>
  <c r="BK464"/>
  <c r="BJ464"/>
  <c r="BI464"/>
  <c r="BH464"/>
  <c r="BG464"/>
  <c r="BF464"/>
  <c r="BE464"/>
  <c r="BD464"/>
  <c r="BC464"/>
  <c r="BB464"/>
  <c r="BA464" s="1"/>
  <c r="AZ464" s="1"/>
  <c r="AX464"/>
  <c r="AW464"/>
  <c r="AV464"/>
  <c r="AC464"/>
  <c r="H464"/>
  <c r="G464" s="1"/>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L462" s="1"/>
  <c r="BO462"/>
  <c r="BN462"/>
  <c r="BM462"/>
  <c r="BK462"/>
  <c r="BJ462"/>
  <c r="BI462"/>
  <c r="BH462"/>
  <c r="BG462"/>
  <c r="BF462"/>
  <c r="BE462"/>
  <c r="BD462"/>
  <c r="BC462"/>
  <c r="BA462" s="1"/>
  <c r="BB462"/>
  <c r="AX462"/>
  <c r="AW462"/>
  <c r="AV462"/>
  <c r="AC462"/>
  <c r="H462"/>
  <c r="G462" s="1"/>
  <c r="BT461"/>
  <c r="BS461"/>
  <c r="BR461"/>
  <c r="BQ461"/>
  <c r="BP461"/>
  <c r="BO461"/>
  <c r="BN461"/>
  <c r="BL461" s="1"/>
  <c r="BM461"/>
  <c r="BK461"/>
  <c r="BJ461"/>
  <c r="BI461"/>
  <c r="BH461"/>
  <c r="BG461"/>
  <c r="BF461"/>
  <c r="BE461"/>
  <c r="BD461"/>
  <c r="BC461"/>
  <c r="BB461"/>
  <c r="BA461" s="1"/>
  <c r="AX461"/>
  <c r="AW461"/>
  <c r="AV461"/>
  <c r="AC461"/>
  <c r="H461"/>
  <c r="G461"/>
  <c r="BT460"/>
  <c r="BS460"/>
  <c r="BR460"/>
  <c r="BQ460"/>
  <c r="BP460"/>
  <c r="BO460"/>
  <c r="BN460"/>
  <c r="BM460"/>
  <c r="BL460" s="1"/>
  <c r="BK460"/>
  <c r="BJ460"/>
  <c r="BI460"/>
  <c r="BH460"/>
  <c r="BG460"/>
  <c r="BF460"/>
  <c r="BE460"/>
  <c r="BA460" s="1"/>
  <c r="BD460"/>
  <c r="BC460"/>
  <c r="BB460"/>
  <c r="AX460"/>
  <c r="AW460"/>
  <c r="AV460"/>
  <c r="AC460"/>
  <c r="H460"/>
  <c r="G460" s="1"/>
  <c r="BT459"/>
  <c r="BS459"/>
  <c r="BR459"/>
  <c r="BQ459"/>
  <c r="BP459"/>
  <c r="BL459" s="1"/>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G458" s="1"/>
  <c r="H458"/>
  <c r="BT457"/>
  <c r="BS457"/>
  <c r="BR457"/>
  <c r="BQ457"/>
  <c r="BP457"/>
  <c r="BO457"/>
  <c r="BL457" s="1"/>
  <c r="BN457"/>
  <c r="BM457"/>
  <c r="BK457"/>
  <c r="BJ457"/>
  <c r="BI457"/>
  <c r="BH457"/>
  <c r="BG457"/>
  <c r="BF457"/>
  <c r="BE457"/>
  <c r="BD457"/>
  <c r="BC457"/>
  <c r="BB457"/>
  <c r="BA457" s="1"/>
  <c r="AZ457" s="1"/>
  <c r="AX457"/>
  <c r="AW457"/>
  <c r="AV457"/>
  <c r="AC457"/>
  <c r="H457"/>
  <c r="G457" s="1"/>
  <c r="BT456"/>
  <c r="BS456"/>
  <c r="BR456"/>
  <c r="BQ456"/>
  <c r="BP456"/>
  <c r="BO456"/>
  <c r="BN456"/>
  <c r="BM456"/>
  <c r="BL456" s="1"/>
  <c r="BK456"/>
  <c r="BJ456"/>
  <c r="BI456"/>
  <c r="BH456"/>
  <c r="BG456"/>
  <c r="BF456"/>
  <c r="BE456"/>
  <c r="BD456"/>
  <c r="BC456"/>
  <c r="BB456"/>
  <c r="BA456" s="1"/>
  <c r="AX456"/>
  <c r="AW456"/>
  <c r="AV456"/>
  <c r="AC456"/>
  <c r="H456"/>
  <c r="G456"/>
  <c r="BT455"/>
  <c r="BS455"/>
  <c r="BR455"/>
  <c r="BQ455"/>
  <c r="BP455"/>
  <c r="BO455"/>
  <c r="BN455"/>
  <c r="BM455"/>
  <c r="BL455"/>
  <c r="BK455"/>
  <c r="BJ455"/>
  <c r="BI455"/>
  <c r="BH455"/>
  <c r="BG455"/>
  <c r="BF455"/>
  <c r="BE455"/>
  <c r="BD455"/>
  <c r="BA455" s="1"/>
  <c r="BC455"/>
  <c r="BB455"/>
  <c r="AX455"/>
  <c r="AW455"/>
  <c r="AV455"/>
  <c r="AC455"/>
  <c r="H455"/>
  <c r="G455" s="1"/>
  <c r="BT454"/>
  <c r="BS454"/>
  <c r="BR454"/>
  <c r="BQ454"/>
  <c r="BP454"/>
  <c r="BO454"/>
  <c r="BN454"/>
  <c r="BL454" s="1"/>
  <c r="BM454"/>
  <c r="BK454"/>
  <c r="BJ454"/>
  <c r="BI454"/>
  <c r="BH454"/>
  <c r="BG454"/>
  <c r="BF454"/>
  <c r="BE454"/>
  <c r="BD454"/>
  <c r="BC454"/>
  <c r="BB454"/>
  <c r="BA454" s="1"/>
  <c r="AX454"/>
  <c r="AW454"/>
  <c r="AV454"/>
  <c r="AC454"/>
  <c r="H454"/>
  <c r="G454"/>
  <c r="BT453"/>
  <c r="BS453"/>
  <c r="BR453"/>
  <c r="BQ453"/>
  <c r="BP453"/>
  <c r="BO453"/>
  <c r="BN453"/>
  <c r="BM453"/>
  <c r="BL453" s="1"/>
  <c r="BK453"/>
  <c r="BJ453"/>
  <c r="BI453"/>
  <c r="BH453"/>
  <c r="BG453"/>
  <c r="BF453"/>
  <c r="BE453"/>
  <c r="BA453" s="1"/>
  <c r="AZ453" s="1"/>
  <c r="BD453"/>
  <c r="BC453"/>
  <c r="BB453"/>
  <c r="AX453"/>
  <c r="AW453"/>
  <c r="AV453"/>
  <c r="AC453"/>
  <c r="H453"/>
  <c r="G453" s="1"/>
  <c r="BT452"/>
  <c r="BS452"/>
  <c r="BR452"/>
  <c r="BQ452"/>
  <c r="BP452"/>
  <c r="BL452" s="1"/>
  <c r="BO452"/>
  <c r="BN452"/>
  <c r="BM452"/>
  <c r="BK452"/>
  <c r="BJ452"/>
  <c r="BI452"/>
  <c r="BH452"/>
  <c r="BG452"/>
  <c r="BF452"/>
  <c r="BE452"/>
  <c r="BD452"/>
  <c r="BC452"/>
  <c r="BA452" s="1"/>
  <c r="BB452"/>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s="1"/>
  <c r="BK450"/>
  <c r="BJ450"/>
  <c r="BI450"/>
  <c r="BH450"/>
  <c r="BA450" s="1"/>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BA449" s="1"/>
  <c r="AX449"/>
  <c r="AW449"/>
  <c r="AV449"/>
  <c r="AC449"/>
  <c r="H449"/>
  <c r="G449"/>
  <c r="BT448"/>
  <c r="BS448"/>
  <c r="BR448"/>
  <c r="BQ448"/>
  <c r="BP448"/>
  <c r="BO448"/>
  <c r="BN448"/>
  <c r="BM448"/>
  <c r="BL448"/>
  <c r="BK448"/>
  <c r="BJ448"/>
  <c r="BI448"/>
  <c r="BH448"/>
  <c r="BG448"/>
  <c r="BF448"/>
  <c r="BE448"/>
  <c r="BD448"/>
  <c r="BA448" s="1"/>
  <c r="AZ448" s="1"/>
  <c r="BC448"/>
  <c r="BB448"/>
  <c r="AX448"/>
  <c r="AW448"/>
  <c r="AV448"/>
  <c r="AC448"/>
  <c r="G448" s="1"/>
  <c r="H448"/>
  <c r="BT447"/>
  <c r="BS447"/>
  <c r="BR447"/>
  <c r="BQ447"/>
  <c r="BP447"/>
  <c r="BO447"/>
  <c r="BL447" s="1"/>
  <c r="BN447"/>
  <c r="BM447"/>
  <c r="BK447"/>
  <c r="BJ447"/>
  <c r="BI447"/>
  <c r="BH447"/>
  <c r="BG447"/>
  <c r="BF447"/>
  <c r="BE447"/>
  <c r="BD447"/>
  <c r="BC447"/>
  <c r="BB447"/>
  <c r="BA447" s="1"/>
  <c r="AZ447" s="1"/>
  <c r="AX447"/>
  <c r="AW447"/>
  <c r="AV447"/>
  <c r="AC447"/>
  <c r="H447"/>
  <c r="G447" s="1"/>
  <c r="BT446"/>
  <c r="BS446"/>
  <c r="BR446"/>
  <c r="BQ446"/>
  <c r="BP446"/>
  <c r="BO446"/>
  <c r="BN446"/>
  <c r="BM446"/>
  <c r="BL446" s="1"/>
  <c r="BK446"/>
  <c r="BJ446"/>
  <c r="BI446"/>
  <c r="BH446"/>
  <c r="BG446"/>
  <c r="BF446"/>
  <c r="BE446"/>
  <c r="BD446"/>
  <c r="BC446"/>
  <c r="BB446"/>
  <c r="BA446" s="1"/>
  <c r="AX446"/>
  <c r="AW446"/>
  <c r="AV446"/>
  <c r="AC446"/>
  <c r="H446"/>
  <c r="G446"/>
  <c r="BT445"/>
  <c r="BS445"/>
  <c r="BR445"/>
  <c r="BQ445"/>
  <c r="BP445"/>
  <c r="BO445"/>
  <c r="BN445"/>
  <c r="BM445"/>
  <c r="BL445"/>
  <c r="BK445"/>
  <c r="BJ445"/>
  <c r="BI445"/>
  <c r="BH445"/>
  <c r="BG445"/>
  <c r="BF445"/>
  <c r="BE445"/>
  <c r="BD445"/>
  <c r="BA445" s="1"/>
  <c r="AZ445" s="1"/>
  <c r="BC445"/>
  <c r="BB445"/>
  <c r="AX445"/>
  <c r="AW445"/>
  <c r="AV445"/>
  <c r="AC445"/>
  <c r="H445"/>
  <c r="G445" s="1"/>
  <c r="BT444"/>
  <c r="BS444"/>
  <c r="BR444"/>
  <c r="BQ444"/>
  <c r="BP444"/>
  <c r="BO444"/>
  <c r="BL444" s="1"/>
  <c r="BN444"/>
  <c r="BM444"/>
  <c r="BK444"/>
  <c r="BJ444"/>
  <c r="BI444"/>
  <c r="BH444"/>
  <c r="BG444"/>
  <c r="BF444"/>
  <c r="BE444"/>
  <c r="BD444"/>
  <c r="BC444"/>
  <c r="BB444"/>
  <c r="BA444" s="1"/>
  <c r="AX444"/>
  <c r="AW444"/>
  <c r="AV444"/>
  <c r="AC444"/>
  <c r="H444"/>
  <c r="G444" s="1"/>
  <c r="BT443"/>
  <c r="BS443"/>
  <c r="BR443"/>
  <c r="BQ443"/>
  <c r="BP443"/>
  <c r="BO443"/>
  <c r="BN443"/>
  <c r="BM443"/>
  <c r="BL443" s="1"/>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A442" s="1"/>
  <c r="BC442"/>
  <c r="BB442"/>
  <c r="AX442"/>
  <c r="AW442"/>
  <c r="AV442"/>
  <c r="AC442"/>
  <c r="H442"/>
  <c r="G442" s="1"/>
  <c r="BT441"/>
  <c r="BS441"/>
  <c r="BR441"/>
  <c r="BQ441"/>
  <c r="BP441"/>
  <c r="BO441"/>
  <c r="BN441"/>
  <c r="BL441" s="1"/>
  <c r="BM441"/>
  <c r="BK441"/>
  <c r="BJ441"/>
  <c r="BI441"/>
  <c r="BH441"/>
  <c r="BG441"/>
  <c r="BF441"/>
  <c r="BE441"/>
  <c r="BD441"/>
  <c r="BC441"/>
  <c r="BB441"/>
  <c r="BA441" s="1"/>
  <c r="AX441"/>
  <c r="AW441"/>
  <c r="AV441"/>
  <c r="AC441"/>
  <c r="H441"/>
  <c r="G441"/>
  <c r="BT440"/>
  <c r="BS440"/>
  <c r="BR440"/>
  <c r="BQ440"/>
  <c r="BP440"/>
  <c r="BO440"/>
  <c r="BN440"/>
  <c r="BM440"/>
  <c r="BL440" s="1"/>
  <c r="BK440"/>
  <c r="BJ440"/>
  <c r="BI440"/>
  <c r="BH440"/>
  <c r="BG440"/>
  <c r="BF440"/>
  <c r="BE440"/>
  <c r="BA440" s="1"/>
  <c r="AZ440" s="1"/>
  <c r="BD440"/>
  <c r="BC440"/>
  <c r="BB440"/>
  <c r="AX440"/>
  <c r="AW440"/>
  <c r="AV440"/>
  <c r="AC440"/>
  <c r="H440"/>
  <c r="G440" s="1"/>
  <c r="BT439"/>
  <c r="BS439"/>
  <c r="BR439"/>
  <c r="BQ439"/>
  <c r="BP439"/>
  <c r="BL439" s="1"/>
  <c r="BO439"/>
  <c r="BN439"/>
  <c r="BM439"/>
  <c r="BK439"/>
  <c r="BJ439"/>
  <c r="BI439"/>
  <c r="BH439"/>
  <c r="BG439"/>
  <c r="BF439"/>
  <c r="BE439"/>
  <c r="BD439"/>
  <c r="BC439"/>
  <c r="BA439" s="1"/>
  <c r="BB439"/>
  <c r="AX439"/>
  <c r="AW439"/>
  <c r="AV439"/>
  <c r="AC439"/>
  <c r="H439"/>
  <c r="G439"/>
  <c r="BT438"/>
  <c r="BS438"/>
  <c r="BR438"/>
  <c r="BQ438"/>
  <c r="BP438"/>
  <c r="BO438"/>
  <c r="BN438"/>
  <c r="BM438"/>
  <c r="BL438" s="1"/>
  <c r="BK438"/>
  <c r="BJ438"/>
  <c r="BI438"/>
  <c r="BH438"/>
  <c r="BG438"/>
  <c r="BF438"/>
  <c r="BE438"/>
  <c r="BD438"/>
  <c r="BC438"/>
  <c r="BB438"/>
  <c r="AX438"/>
  <c r="AW438"/>
  <c r="AV438"/>
  <c r="AC438"/>
  <c r="H438"/>
  <c r="BT437"/>
  <c r="BS437"/>
  <c r="BR437"/>
  <c r="BQ437"/>
  <c r="BP437"/>
  <c r="BO437"/>
  <c r="BN437"/>
  <c r="BL437" s="1"/>
  <c r="BM437"/>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BA436" s="1"/>
  <c r="AX436"/>
  <c r="AW436"/>
  <c r="AV436"/>
  <c r="AC436"/>
  <c r="H436"/>
  <c r="G436"/>
  <c r="BT435"/>
  <c r="BS435"/>
  <c r="BR435"/>
  <c r="BQ435"/>
  <c r="BP435"/>
  <c r="BO435"/>
  <c r="BN435"/>
  <c r="BM435"/>
  <c r="BL435"/>
  <c r="BK435"/>
  <c r="BJ435"/>
  <c r="BI435"/>
  <c r="BH435"/>
  <c r="BG435"/>
  <c r="BF435"/>
  <c r="BE435"/>
  <c r="BD435"/>
  <c r="BA435" s="1"/>
  <c r="AZ435" s="1"/>
  <c r="BC435"/>
  <c r="BB435"/>
  <c r="AX435"/>
  <c r="AW435"/>
  <c r="AV435"/>
  <c r="AC435"/>
  <c r="H435"/>
  <c r="BT434"/>
  <c r="BS434"/>
  <c r="BR434"/>
  <c r="BQ434"/>
  <c r="BP434"/>
  <c r="BO434"/>
  <c r="BN434"/>
  <c r="BL434" s="1"/>
  <c r="BM434"/>
  <c r="BK434"/>
  <c r="BJ434"/>
  <c r="BI434"/>
  <c r="BH434"/>
  <c r="BG434"/>
  <c r="BF434"/>
  <c r="BE434"/>
  <c r="BD434"/>
  <c r="BC434"/>
  <c r="BB434"/>
  <c r="AX434"/>
  <c r="AW434"/>
  <c r="AV434"/>
  <c r="AC434"/>
  <c r="H434"/>
  <c r="G434" s="1"/>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K432"/>
  <c r="BJ432"/>
  <c r="BI432"/>
  <c r="BH432"/>
  <c r="BG432"/>
  <c r="BF432"/>
  <c r="BE432"/>
  <c r="BD432"/>
  <c r="BC432"/>
  <c r="BB432"/>
  <c r="AX432"/>
  <c r="AW432"/>
  <c r="AV432"/>
  <c r="AC432"/>
  <c r="H432"/>
  <c r="G432" s="1"/>
  <c r="BT431"/>
  <c r="BS431"/>
  <c r="BR431"/>
  <c r="BQ431"/>
  <c r="BP431"/>
  <c r="BO431"/>
  <c r="BN431"/>
  <c r="BM431"/>
  <c r="BL431" s="1"/>
  <c r="BK431"/>
  <c r="BJ431"/>
  <c r="BI431"/>
  <c r="BH431"/>
  <c r="BG431"/>
  <c r="BF431"/>
  <c r="BE431"/>
  <c r="BD431"/>
  <c r="BC431"/>
  <c r="BB431"/>
  <c r="BA431" s="1"/>
  <c r="AX431"/>
  <c r="AW431"/>
  <c r="AV431"/>
  <c r="AC431"/>
  <c r="G431" s="1"/>
  <c r="H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K429"/>
  <c r="BJ429"/>
  <c r="BI429"/>
  <c r="BH429"/>
  <c r="BG429"/>
  <c r="BF429"/>
  <c r="BE429"/>
  <c r="BD429"/>
  <c r="BC429"/>
  <c r="BB429"/>
  <c r="BA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BT427"/>
  <c r="BS427"/>
  <c r="BR427"/>
  <c r="BQ427"/>
  <c r="BP427"/>
  <c r="BO427"/>
  <c r="BN427"/>
  <c r="BL427" s="1"/>
  <c r="BM427"/>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BA426" s="1"/>
  <c r="AX426"/>
  <c r="AW426"/>
  <c r="AV426"/>
  <c r="AC426"/>
  <c r="H426"/>
  <c r="G426"/>
  <c r="BT425"/>
  <c r="BS425"/>
  <c r="BR425"/>
  <c r="BQ425"/>
  <c r="BP425"/>
  <c r="BO425"/>
  <c r="BN425"/>
  <c r="BM425"/>
  <c r="BL425"/>
  <c r="BK425"/>
  <c r="BJ425"/>
  <c r="BI425"/>
  <c r="BH425"/>
  <c r="BG425"/>
  <c r="BF425"/>
  <c r="BE425"/>
  <c r="BD425"/>
  <c r="BA425" s="1"/>
  <c r="AZ425" s="1"/>
  <c r="BC425"/>
  <c r="BB425"/>
  <c r="AX425"/>
  <c r="AW425"/>
  <c r="AV425"/>
  <c r="AC425"/>
  <c r="H425"/>
  <c r="BT424"/>
  <c r="BS424"/>
  <c r="BR424"/>
  <c r="BQ424"/>
  <c r="BP424"/>
  <c r="BO424"/>
  <c r="BN424"/>
  <c r="BL424" s="1"/>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A422" s="1"/>
  <c r="BC422"/>
  <c r="BB422"/>
  <c r="AX422"/>
  <c r="AW422"/>
  <c r="AV422"/>
  <c r="AC422"/>
  <c r="H422"/>
  <c r="G422" s="1"/>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BA420"/>
  <c r="AX420"/>
  <c r="AW420"/>
  <c r="AV420"/>
  <c r="AC420"/>
  <c r="H420"/>
  <c r="G420"/>
  <c r="BT419"/>
  <c r="BS419"/>
  <c r="BR419"/>
  <c r="BQ419"/>
  <c r="BP419"/>
  <c r="BO419"/>
  <c r="BN419"/>
  <c r="BM419"/>
  <c r="BL419"/>
  <c r="BK419"/>
  <c r="BJ419"/>
  <c r="BI419"/>
  <c r="BH419"/>
  <c r="BG419"/>
  <c r="BF419"/>
  <c r="BE419"/>
  <c r="BD419"/>
  <c r="BA419" s="1"/>
  <c r="AZ419" s="1"/>
  <c r="BC419"/>
  <c r="BB419"/>
  <c r="AX419"/>
  <c r="AW419"/>
  <c r="AV419"/>
  <c r="AC419"/>
  <c r="H419"/>
  <c r="G419" s="1"/>
  <c r="BT418"/>
  <c r="BS418"/>
  <c r="BR418"/>
  <c r="BQ418"/>
  <c r="BP418"/>
  <c r="BO418"/>
  <c r="BL418" s="1"/>
  <c r="BN418"/>
  <c r="BM418"/>
  <c r="BK418"/>
  <c r="BJ418"/>
  <c r="BI418"/>
  <c r="BH418"/>
  <c r="BG418"/>
  <c r="BF418"/>
  <c r="BE418"/>
  <c r="BD418"/>
  <c r="BC418"/>
  <c r="BA418" s="1"/>
  <c r="BB418"/>
  <c r="AX418"/>
  <c r="AW418"/>
  <c r="AV418"/>
  <c r="AC418"/>
  <c r="H418"/>
  <c r="G418" s="1"/>
  <c r="BT417"/>
  <c r="BS417"/>
  <c r="BR417"/>
  <c r="BQ417"/>
  <c r="BP417"/>
  <c r="BO417"/>
  <c r="BN417"/>
  <c r="BM417"/>
  <c r="BL417" s="1"/>
  <c r="BK417"/>
  <c r="BJ417"/>
  <c r="BI417"/>
  <c r="BH417"/>
  <c r="BG417"/>
  <c r="BF417"/>
  <c r="BA417" s="1"/>
  <c r="AZ417" s="1"/>
  <c r="BE417"/>
  <c r="BD417"/>
  <c r="BC417"/>
  <c r="BB417"/>
  <c r="AX417"/>
  <c r="AW417"/>
  <c r="AV417"/>
  <c r="AC417"/>
  <c r="H417"/>
  <c r="G417"/>
  <c r="BT416"/>
  <c r="BS416"/>
  <c r="BR416"/>
  <c r="BQ416"/>
  <c r="BP416"/>
  <c r="BO416"/>
  <c r="BN416"/>
  <c r="BM416"/>
  <c r="BL416"/>
  <c r="BK416"/>
  <c r="BJ416"/>
  <c r="BI416"/>
  <c r="BH416"/>
  <c r="BG416"/>
  <c r="BF416"/>
  <c r="BE416"/>
  <c r="BD416"/>
  <c r="BA416" s="1"/>
  <c r="AZ416" s="1"/>
  <c r="BC416"/>
  <c r="BB416"/>
  <c r="AX416"/>
  <c r="AW416"/>
  <c r="AV416"/>
  <c r="AC416"/>
  <c r="H416"/>
  <c r="BT415"/>
  <c r="BS415"/>
  <c r="BR415"/>
  <c r="BQ415"/>
  <c r="BP415"/>
  <c r="BO415"/>
  <c r="BL415" s="1"/>
  <c r="BN415"/>
  <c r="BM415"/>
  <c r="BK415"/>
  <c r="BJ415"/>
  <c r="BI415"/>
  <c r="BH415"/>
  <c r="BG415"/>
  <c r="BF415"/>
  <c r="BE415"/>
  <c r="BD415"/>
  <c r="BC415"/>
  <c r="BB415"/>
  <c r="AX415"/>
  <c r="AW415"/>
  <c r="AV415"/>
  <c r="AC415"/>
  <c r="H415"/>
  <c r="G415" s="1"/>
  <c r="BT414"/>
  <c r="BS414"/>
  <c r="BR414"/>
  <c r="BQ414"/>
  <c r="BP414"/>
  <c r="BO414"/>
  <c r="BN414"/>
  <c r="BM414"/>
  <c r="BK414"/>
  <c r="BJ414"/>
  <c r="BI414"/>
  <c r="BH414"/>
  <c r="BG414"/>
  <c r="BF414"/>
  <c r="BA414" s="1"/>
  <c r="BE414"/>
  <c r="BD414"/>
  <c r="BC414"/>
  <c r="BB414"/>
  <c r="AX414"/>
  <c r="AW414"/>
  <c r="AV414"/>
  <c r="AC414"/>
  <c r="H414"/>
  <c r="G414" s="1"/>
  <c r="BT413"/>
  <c r="BS413"/>
  <c r="BR413"/>
  <c r="BQ413"/>
  <c r="BP413"/>
  <c r="BL413" s="1"/>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AX412"/>
  <c r="AW412"/>
  <c r="AV412"/>
  <c r="AC412"/>
  <c r="H412"/>
  <c r="G412" s="1"/>
  <c r="BT411"/>
  <c r="BS411"/>
  <c r="BR411"/>
  <c r="BQ411"/>
  <c r="BP411"/>
  <c r="BO411"/>
  <c r="BN411"/>
  <c r="BM411"/>
  <c r="BL411" s="1"/>
  <c r="BK411"/>
  <c r="BJ411"/>
  <c r="BI411"/>
  <c r="BH411"/>
  <c r="BG411"/>
  <c r="BF411"/>
  <c r="BA411" s="1"/>
  <c r="AZ411" s="1"/>
  <c r="BE411"/>
  <c r="BD411"/>
  <c r="BC411"/>
  <c r="BB411"/>
  <c r="AX411"/>
  <c r="AW411"/>
  <c r="AV411"/>
  <c r="AC411"/>
  <c r="H411"/>
  <c r="G411"/>
  <c r="BT410"/>
  <c r="BS410"/>
  <c r="BR410"/>
  <c r="BQ410"/>
  <c r="BL410" s="1"/>
  <c r="BP410"/>
  <c r="BO410"/>
  <c r="BN410"/>
  <c r="BM410"/>
  <c r="BK410"/>
  <c r="BJ410"/>
  <c r="BI410"/>
  <c r="BH410"/>
  <c r="BG410"/>
  <c r="BF410"/>
  <c r="BE410"/>
  <c r="BD410"/>
  <c r="BC410"/>
  <c r="BB410"/>
  <c r="BA410"/>
  <c r="AX410"/>
  <c r="AW410"/>
  <c r="AV410"/>
  <c r="AC410"/>
  <c r="H410"/>
  <c r="G410" s="1"/>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A408" s="1"/>
  <c r="BE408"/>
  <c r="BD408"/>
  <c r="BC408"/>
  <c r="BB408"/>
  <c r="AX408"/>
  <c r="AW408"/>
  <c r="AV408"/>
  <c r="AC408"/>
  <c r="H408"/>
  <c r="G408"/>
  <c r="BT407"/>
  <c r="BS407"/>
  <c r="BR407"/>
  <c r="BQ407"/>
  <c r="BL407" s="1"/>
  <c r="BP407"/>
  <c r="BO407"/>
  <c r="BN407"/>
  <c r="BM407"/>
  <c r="BK407"/>
  <c r="BJ407"/>
  <c r="BI407"/>
  <c r="BH407"/>
  <c r="BG407"/>
  <c r="BF407"/>
  <c r="BE407"/>
  <c r="BD407"/>
  <c r="BC407"/>
  <c r="BB407"/>
  <c r="BA407"/>
  <c r="AX407"/>
  <c r="AW407"/>
  <c r="AV407"/>
  <c r="AC407"/>
  <c r="H407"/>
  <c r="G407" s="1"/>
  <c r="BT406"/>
  <c r="BS406"/>
  <c r="BR406"/>
  <c r="BQ406"/>
  <c r="BP406"/>
  <c r="BO406"/>
  <c r="BN406"/>
  <c r="BL406" s="1"/>
  <c r="BM406"/>
  <c r="BK406"/>
  <c r="BJ406"/>
  <c r="BI406"/>
  <c r="BH406"/>
  <c r="BG406"/>
  <c r="BF406"/>
  <c r="BE406"/>
  <c r="BD406"/>
  <c r="BC406"/>
  <c r="BB406"/>
  <c r="BA406" s="1"/>
  <c r="AX406"/>
  <c r="AW406"/>
  <c r="AV406"/>
  <c r="AC406"/>
  <c r="H406"/>
  <c r="BT405"/>
  <c r="BS405"/>
  <c r="BR405"/>
  <c r="BQ405"/>
  <c r="BP405"/>
  <c r="BO405"/>
  <c r="BN405"/>
  <c r="BM405"/>
  <c r="BK405"/>
  <c r="BJ405"/>
  <c r="BI405"/>
  <c r="BH405"/>
  <c r="BG405"/>
  <c r="BF405"/>
  <c r="BE405"/>
  <c r="BD405"/>
  <c r="BC405"/>
  <c r="BB405"/>
  <c r="BA405"/>
  <c r="AX405"/>
  <c r="AW405"/>
  <c r="AV405"/>
  <c r="AC405"/>
  <c r="H405"/>
  <c r="G405"/>
  <c r="BT404"/>
  <c r="BS404"/>
  <c r="BR404"/>
  <c r="BQ404"/>
  <c r="BP404"/>
  <c r="BO404"/>
  <c r="BN404"/>
  <c r="BM404"/>
  <c r="BL404"/>
  <c r="BK404"/>
  <c r="BJ404"/>
  <c r="BI404"/>
  <c r="BH404"/>
  <c r="BG404"/>
  <c r="BF404"/>
  <c r="BE404"/>
  <c r="BD404"/>
  <c r="BC404"/>
  <c r="BB404"/>
  <c r="BA404" s="1"/>
  <c r="AZ404" s="1"/>
  <c r="AX404"/>
  <c r="AW404"/>
  <c r="AV404"/>
  <c r="AC404"/>
  <c r="H404"/>
  <c r="G404" s="1"/>
  <c r="BT403"/>
  <c r="BS403"/>
  <c r="BR403"/>
  <c r="BQ403"/>
  <c r="BP403"/>
  <c r="BO403"/>
  <c r="BN403"/>
  <c r="BM403"/>
  <c r="BL403" s="1"/>
  <c r="BK403"/>
  <c r="BJ403"/>
  <c r="BI403"/>
  <c r="BH403"/>
  <c r="BG403"/>
  <c r="BF403"/>
  <c r="BE403"/>
  <c r="BD403"/>
  <c r="BC403"/>
  <c r="BB403"/>
  <c r="AX403"/>
  <c r="AW403"/>
  <c r="AV403"/>
  <c r="AC403"/>
  <c r="H403"/>
  <c r="BT402"/>
  <c r="BS402"/>
  <c r="BR402"/>
  <c r="BQ402"/>
  <c r="BP402"/>
  <c r="BO402"/>
  <c r="BN402"/>
  <c r="BM402"/>
  <c r="BK402"/>
  <c r="BJ402"/>
  <c r="BI402"/>
  <c r="BH402"/>
  <c r="BG402"/>
  <c r="BF402"/>
  <c r="BA402" s="1"/>
  <c r="BE402"/>
  <c r="BD402"/>
  <c r="BC402"/>
  <c r="BB402"/>
  <c r="AX402"/>
  <c r="AW402"/>
  <c r="AV402"/>
  <c r="AC402"/>
  <c r="H402"/>
  <c r="G402"/>
  <c r="BT401"/>
  <c r="BS401"/>
  <c r="BR401"/>
  <c r="BQ401"/>
  <c r="BL401" s="1"/>
  <c r="BP401"/>
  <c r="BO401"/>
  <c r="BN401"/>
  <c r="BM401"/>
  <c r="BK401"/>
  <c r="BJ401"/>
  <c r="BI401"/>
  <c r="BH401"/>
  <c r="BG401"/>
  <c r="BF401"/>
  <c r="BE401"/>
  <c r="BD401"/>
  <c r="BC401"/>
  <c r="BB401"/>
  <c r="BA401"/>
  <c r="AX401"/>
  <c r="AW401"/>
  <c r="AV401"/>
  <c r="AC401"/>
  <c r="H401"/>
  <c r="G401" s="1"/>
  <c r="BT400"/>
  <c r="BS400"/>
  <c r="BR400"/>
  <c r="BQ400"/>
  <c r="BP400"/>
  <c r="BO400"/>
  <c r="BN400"/>
  <c r="BM400"/>
  <c r="BL400" s="1"/>
  <c r="BK400"/>
  <c r="BJ400"/>
  <c r="BI400"/>
  <c r="BH400"/>
  <c r="BG400"/>
  <c r="BF400"/>
  <c r="BE400"/>
  <c r="BD400"/>
  <c r="BC400"/>
  <c r="BA400" s="1"/>
  <c r="BB400"/>
  <c r="AX400"/>
  <c r="AW400"/>
  <c r="AV400"/>
  <c r="AC400"/>
  <c r="H400"/>
  <c r="BT399"/>
  <c r="BS399"/>
  <c r="BR399"/>
  <c r="BQ399"/>
  <c r="BP399"/>
  <c r="BO399"/>
  <c r="BN399"/>
  <c r="BM399"/>
  <c r="BK399"/>
  <c r="BJ399"/>
  <c r="BI399"/>
  <c r="BH399"/>
  <c r="BG399"/>
  <c r="BF399"/>
  <c r="BE399"/>
  <c r="BD399"/>
  <c r="BC399"/>
  <c r="BB399"/>
  <c r="BA399"/>
  <c r="AX399"/>
  <c r="AW399"/>
  <c r="AV399"/>
  <c r="AC399"/>
  <c r="H399"/>
  <c r="G399" s="1"/>
  <c r="BT398"/>
  <c r="BS398"/>
  <c r="BR398"/>
  <c r="BQ398"/>
  <c r="BP398"/>
  <c r="BL398" s="1"/>
  <c r="BO398"/>
  <c r="BN398"/>
  <c r="BM398"/>
  <c r="BK398"/>
  <c r="BJ398"/>
  <c r="BI398"/>
  <c r="BH398"/>
  <c r="BG398"/>
  <c r="BF398"/>
  <c r="BE398"/>
  <c r="BD398"/>
  <c r="BC398"/>
  <c r="BB398"/>
  <c r="BA398" s="1"/>
  <c r="AX398"/>
  <c r="AW398"/>
  <c r="AV398"/>
  <c r="AC398"/>
  <c r="H398"/>
  <c r="G398"/>
  <c r="BT397"/>
  <c r="BS397"/>
  <c r="BR397"/>
  <c r="BQ397"/>
  <c r="BP397"/>
  <c r="BO397"/>
  <c r="BN397"/>
  <c r="BM397"/>
  <c r="BL397"/>
  <c r="BK397"/>
  <c r="BJ397"/>
  <c r="BI397"/>
  <c r="BH397"/>
  <c r="BG397"/>
  <c r="BF397"/>
  <c r="BE397"/>
  <c r="BD397"/>
  <c r="BC397"/>
  <c r="BB397"/>
  <c r="AX397"/>
  <c r="AW397"/>
  <c r="AV397"/>
  <c r="AC397"/>
  <c r="H397"/>
  <c r="G397"/>
  <c r="BT396"/>
  <c r="BS396"/>
  <c r="BR396"/>
  <c r="BQ396"/>
  <c r="BP396"/>
  <c r="BO396"/>
  <c r="BN396"/>
  <c r="BM396"/>
  <c r="BL396" s="1"/>
  <c r="BK396"/>
  <c r="BJ396"/>
  <c r="BI396"/>
  <c r="BH396"/>
  <c r="BG396"/>
  <c r="BF396"/>
  <c r="BE396"/>
  <c r="BA396" s="1"/>
  <c r="AZ396" s="1"/>
  <c r="BD396"/>
  <c r="BC396"/>
  <c r="BB396"/>
  <c r="AX396"/>
  <c r="AW396"/>
  <c r="AV396"/>
  <c r="AC396"/>
  <c r="H396"/>
  <c r="G396" s="1"/>
  <c r="BT395"/>
  <c r="BS395"/>
  <c r="BR395"/>
  <c r="BQ395"/>
  <c r="BP395"/>
  <c r="BL395" s="1"/>
  <c r="BO395"/>
  <c r="BN395"/>
  <c r="BM395"/>
  <c r="BK395"/>
  <c r="BJ395"/>
  <c r="BI395"/>
  <c r="BH395"/>
  <c r="BG395"/>
  <c r="BF395"/>
  <c r="BE395"/>
  <c r="BD395"/>
  <c r="BC395"/>
  <c r="BB395"/>
  <c r="BA395" s="1"/>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c r="AX393"/>
  <c r="AW393"/>
  <c r="AV393"/>
  <c r="AC393"/>
  <c r="H393"/>
  <c r="G393" s="1"/>
  <c r="BT392"/>
  <c r="BS392"/>
  <c r="BR392"/>
  <c r="BL392" s="1"/>
  <c r="BQ392"/>
  <c r="BP392"/>
  <c r="BO392"/>
  <c r="BN392"/>
  <c r="BM392"/>
  <c r="BK392"/>
  <c r="BJ392"/>
  <c r="BI392"/>
  <c r="BH392"/>
  <c r="BG392"/>
  <c r="BF392"/>
  <c r="BE392"/>
  <c r="BD392"/>
  <c r="BC392"/>
  <c r="BB392"/>
  <c r="BA392" s="1"/>
  <c r="AX392"/>
  <c r="AW392"/>
  <c r="AV392"/>
  <c r="AC392"/>
  <c r="H392"/>
  <c r="G392" s="1"/>
  <c r="BT391"/>
  <c r="BS391"/>
  <c r="BR391"/>
  <c r="BQ391"/>
  <c r="BP391"/>
  <c r="BO391"/>
  <c r="BN391"/>
  <c r="BM391"/>
  <c r="BL391" s="1"/>
  <c r="BK391"/>
  <c r="BJ391"/>
  <c r="BI391"/>
  <c r="BH391"/>
  <c r="BG391"/>
  <c r="BF391"/>
  <c r="BE391"/>
  <c r="BD391"/>
  <c r="BC391"/>
  <c r="BB391"/>
  <c r="AX391"/>
  <c r="AW391"/>
  <c r="AV391"/>
  <c r="AC391"/>
  <c r="H391"/>
  <c r="G391" s="1"/>
  <c r="BT390"/>
  <c r="BS390"/>
  <c r="BR390"/>
  <c r="BQ390"/>
  <c r="BP390"/>
  <c r="BO390"/>
  <c r="BN390"/>
  <c r="BM390"/>
  <c r="BK390"/>
  <c r="BJ390"/>
  <c r="BI390"/>
  <c r="BH390"/>
  <c r="BG390"/>
  <c r="BF390"/>
  <c r="BE390"/>
  <c r="BA390" s="1"/>
  <c r="BD390"/>
  <c r="BC390"/>
  <c r="BB390"/>
  <c r="AX390"/>
  <c r="AW390"/>
  <c r="AV390"/>
  <c r="AC390"/>
  <c r="H390"/>
  <c r="BT389"/>
  <c r="BS389"/>
  <c r="BR389"/>
  <c r="BQ389"/>
  <c r="BP389"/>
  <c r="BO389"/>
  <c r="BN389"/>
  <c r="BM389"/>
  <c r="BK389"/>
  <c r="BJ389"/>
  <c r="BI389"/>
  <c r="BH389"/>
  <c r="BG389"/>
  <c r="BF389"/>
  <c r="BE389"/>
  <c r="BD389"/>
  <c r="BC389"/>
  <c r="BB389"/>
  <c r="BA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c r="C63" s="1"/>
  <c r="H59"/>
  <c r="I59" s="1"/>
  <c r="C59" s="1"/>
  <c r="H67"/>
  <c r="I67" s="1"/>
  <c r="C67" s="1"/>
  <c r="H66"/>
  <c r="I66" s="1"/>
  <c r="C66" s="1"/>
  <c r="H65"/>
  <c r="I65" s="1"/>
  <c r="C65" s="1"/>
  <c r="H64"/>
  <c r="I64" s="1"/>
  <c r="C64" s="1"/>
  <c r="H62"/>
  <c r="I62" s="1"/>
  <c r="C62" s="1"/>
  <c r="H61"/>
  <c r="I61" s="1"/>
  <c r="C61" s="1"/>
  <c r="H60"/>
  <c r="I60" s="1"/>
  <c r="C60" s="1"/>
  <c r="L25" i="4"/>
  <c r="C145" i="21"/>
  <c r="K139" s="1"/>
  <c r="K145" s="1"/>
  <c r="J142"/>
  <c r="J140"/>
  <c r="M87"/>
  <c r="L87"/>
  <c r="K87"/>
  <c r="J87"/>
  <c r="I87"/>
  <c r="H87"/>
  <c r="G87"/>
  <c r="F87"/>
  <c r="E87"/>
  <c r="D87"/>
  <c r="G2" i="46"/>
  <c r="H17" s="1"/>
  <c r="G19"/>
  <c r="R26" i="31"/>
  <c r="S26" s="1"/>
  <c r="R27"/>
  <c r="R28"/>
  <c r="S28" s="1"/>
  <c r="R29"/>
  <c r="R30"/>
  <c r="S30" s="1"/>
  <c r="R31"/>
  <c r="R32"/>
  <c r="S32" s="1"/>
  <c r="R33"/>
  <c r="R34"/>
  <c r="S34"/>
  <c r="R35"/>
  <c r="R36"/>
  <c r="S36"/>
  <c r="R37"/>
  <c r="R38"/>
  <c r="S38"/>
  <c r="R39"/>
  <c r="R40"/>
  <c r="S40"/>
  <c r="R41"/>
  <c r="R42"/>
  <c r="S42" s="1"/>
  <c r="R43"/>
  <c r="R44"/>
  <c r="S44" s="1"/>
  <c r="R45"/>
  <c r="R46"/>
  <c r="S46"/>
  <c r="R47"/>
  <c r="R48"/>
  <c r="S48" s="1"/>
  <c r="R49"/>
  <c r="R50"/>
  <c r="S50"/>
  <c r="R51"/>
  <c r="R52"/>
  <c r="S52" s="1"/>
  <c r="R53"/>
  <c r="R54"/>
  <c r="S54" s="1"/>
  <c r="R55"/>
  <c r="R56"/>
  <c r="S56"/>
  <c r="R57"/>
  <c r="R58"/>
  <c r="S58"/>
  <c r="R59"/>
  <c r="R60"/>
  <c r="S60" s="1"/>
  <c r="R61"/>
  <c r="R62"/>
  <c r="S62"/>
  <c r="R63"/>
  <c r="R64"/>
  <c r="S64"/>
  <c r="R65"/>
  <c r="R66"/>
  <c r="S66"/>
  <c r="R67"/>
  <c r="R68"/>
  <c r="S68"/>
  <c r="R69"/>
  <c r="R70"/>
  <c r="S70" s="1"/>
  <c r="R71"/>
  <c r="R72"/>
  <c r="S72" s="1"/>
  <c r="R73"/>
  <c r="R74"/>
  <c r="S74" s="1"/>
  <c r="R75"/>
  <c r="R76"/>
  <c r="S76" s="1"/>
  <c r="R77"/>
  <c r="R78"/>
  <c r="S78" s="1"/>
  <c r="R79"/>
  <c r="R80"/>
  <c r="S80" s="1"/>
  <c r="R81"/>
  <c r="R82"/>
  <c r="S82"/>
  <c r="R83"/>
  <c r="R84"/>
  <c r="S84"/>
  <c r="R85"/>
  <c r="R86"/>
  <c r="S86"/>
  <c r="R87"/>
  <c r="R88"/>
  <c r="S88"/>
  <c r="R89"/>
  <c r="R90"/>
  <c r="S90"/>
  <c r="R91"/>
  <c r="R92"/>
  <c r="S92" s="1"/>
  <c r="R93"/>
  <c r="R94"/>
  <c r="S94"/>
  <c r="R95"/>
  <c r="R96"/>
  <c r="S96"/>
  <c r="R97"/>
  <c r="R98"/>
  <c r="S98" s="1"/>
  <c r="R99"/>
  <c r="R100"/>
  <c r="S100" s="1"/>
  <c r="R101"/>
  <c r="R102"/>
  <c r="S102" s="1"/>
  <c r="R103"/>
  <c r="R104"/>
  <c r="S104" s="1"/>
  <c r="R105"/>
  <c r="R106"/>
  <c r="S106"/>
  <c r="R107"/>
  <c r="R108"/>
  <c r="S108"/>
  <c r="R109"/>
  <c r="R110"/>
  <c r="S110"/>
  <c r="R111"/>
  <c r="R112"/>
  <c r="S112"/>
  <c r="R113"/>
  <c r="R114"/>
  <c r="S114" s="1"/>
  <c r="R115"/>
  <c r="R116"/>
  <c r="S116" s="1"/>
  <c r="R117"/>
  <c r="R118"/>
  <c r="S118" s="1"/>
  <c r="R119"/>
  <c r="R120"/>
  <c r="S120" s="1"/>
  <c r="R121"/>
  <c r="R122"/>
  <c r="S122"/>
  <c r="R123"/>
  <c r="R124"/>
  <c r="S124"/>
  <c r="R125"/>
  <c r="R126"/>
  <c r="S126"/>
  <c r="R127"/>
  <c r="R128"/>
  <c r="S128"/>
  <c r="R129"/>
  <c r="R130"/>
  <c r="S130" s="1"/>
  <c r="R131"/>
  <c r="R132"/>
  <c r="S132" s="1"/>
  <c r="R133"/>
  <c r="R134"/>
  <c r="S134" s="1"/>
  <c r="R135"/>
  <c r="R136"/>
  <c r="S136" s="1"/>
  <c r="R137"/>
  <c r="R138"/>
  <c r="S138"/>
  <c r="R139"/>
  <c r="R140"/>
  <c r="S140"/>
  <c r="R141"/>
  <c r="R142"/>
  <c r="S142"/>
  <c r="R143"/>
  <c r="R144"/>
  <c r="S144"/>
  <c r="R145"/>
  <c r="R146"/>
  <c r="S146" s="1"/>
  <c r="R147"/>
  <c r="R148"/>
  <c r="S148" s="1"/>
  <c r="R149"/>
  <c r="R150"/>
  <c r="S150" s="1"/>
  <c r="R151"/>
  <c r="R152"/>
  <c r="S152" s="1"/>
  <c r="R153"/>
  <c r="R154"/>
  <c r="S154"/>
  <c r="R155"/>
  <c r="R156"/>
  <c r="S156"/>
  <c r="R157"/>
  <c r="R158"/>
  <c r="S158"/>
  <c r="R159"/>
  <c r="R160"/>
  <c r="S160"/>
  <c r="R161"/>
  <c r="R162"/>
  <c r="S162" s="1"/>
  <c r="R163"/>
  <c r="R164"/>
  <c r="S164" s="1"/>
  <c r="R165"/>
  <c r="R166"/>
  <c r="S166" s="1"/>
  <c r="R167"/>
  <c r="R168"/>
  <c r="S168" s="1"/>
  <c r="R169"/>
  <c r="R170"/>
  <c r="S170"/>
  <c r="R171"/>
  <c r="R172"/>
  <c r="S172"/>
  <c r="R173"/>
  <c r="R174"/>
  <c r="S174"/>
  <c r="R175"/>
  <c r="R176"/>
  <c r="S176"/>
  <c r="R177"/>
  <c r="R178"/>
  <c r="S178" s="1"/>
  <c r="R179"/>
  <c r="R180"/>
  <c r="S180" s="1"/>
  <c r="R181"/>
  <c r="R182"/>
  <c r="S182" s="1"/>
  <c r="R183"/>
  <c r="R184"/>
  <c r="S184" s="1"/>
  <c r="R185"/>
  <c r="R186"/>
  <c r="S186"/>
  <c r="R187"/>
  <c r="R188"/>
  <c r="S188"/>
  <c r="R189"/>
  <c r="R190"/>
  <c r="S190"/>
  <c r="R191"/>
  <c r="R192"/>
  <c r="S192"/>
  <c r="R193"/>
  <c r="R194"/>
  <c r="S194" s="1"/>
  <c r="R195"/>
  <c r="R196"/>
  <c r="S196" s="1"/>
  <c r="R197"/>
  <c r="R198"/>
  <c r="S198" s="1"/>
  <c r="R199"/>
  <c r="R200"/>
  <c r="S200" s="1"/>
  <c r="R201"/>
  <c r="R202"/>
  <c r="S202"/>
  <c r="R203"/>
  <c r="R204"/>
  <c r="S204"/>
  <c r="R205"/>
  <c r="R206"/>
  <c r="S206"/>
  <c r="R207"/>
  <c r="R208"/>
  <c r="S208"/>
  <c r="R209"/>
  <c r="R210"/>
  <c r="S210" s="1"/>
  <c r="R211"/>
  <c r="R212"/>
  <c r="S212" s="1"/>
  <c r="R213"/>
  <c r="R214"/>
  <c r="S214" s="1"/>
  <c r="R215"/>
  <c r="R216"/>
  <c r="S216" s="1"/>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s="1"/>
  <c r="R433"/>
  <c r="R434"/>
  <c r="S434" s="1"/>
  <c r="R435"/>
  <c r="R436"/>
  <c r="S436" s="1"/>
  <c r="R437"/>
  <c r="R438"/>
  <c r="S438" s="1"/>
  <c r="R439"/>
  <c r="R440"/>
  <c r="S440"/>
  <c r="R441"/>
  <c r="R442"/>
  <c r="S442"/>
  <c r="R443"/>
  <c r="R444"/>
  <c r="S444"/>
  <c r="R445"/>
  <c r="R446"/>
  <c r="S446"/>
  <c r="R447"/>
  <c r="R448"/>
  <c r="S448" s="1"/>
  <c r="R449"/>
  <c r="R450"/>
  <c r="S450" s="1"/>
  <c r="R451"/>
  <c r="R452"/>
  <c r="S452" s="1"/>
  <c r="R453"/>
  <c r="R454"/>
  <c r="S454" s="1"/>
  <c r="R455"/>
  <c r="R456"/>
  <c r="S456"/>
  <c r="R457"/>
  <c r="R458"/>
  <c r="S458"/>
  <c r="R459"/>
  <c r="R460"/>
  <c r="S460"/>
  <c r="R461"/>
  <c r="R462"/>
  <c r="S462"/>
  <c r="R463"/>
  <c r="R464"/>
  <c r="S464" s="1"/>
  <c r="R465"/>
  <c r="R466"/>
  <c r="S466" s="1"/>
  <c r="R467"/>
  <c r="R468"/>
  <c r="S468" s="1"/>
  <c r="R469"/>
  <c r="R470"/>
  <c r="S470" s="1"/>
  <c r="R471"/>
  <c r="R472"/>
  <c r="S472"/>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c r="R507"/>
  <c r="R508"/>
  <c r="S508"/>
  <c r="R509"/>
  <c r="R510"/>
  <c r="S510"/>
  <c r="R511"/>
  <c r="R512"/>
  <c r="S512"/>
  <c r="R513"/>
  <c r="R514"/>
  <c r="S514" s="1"/>
  <c r="R515"/>
  <c r="R516"/>
  <c r="S516" s="1"/>
  <c r="R517"/>
  <c r="R518"/>
  <c r="S518" s="1"/>
  <c r="R519"/>
  <c r="R520"/>
  <c r="S520" s="1"/>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s="1"/>
  <c r="B55" i="63" s="1"/>
  <c r="N3" i="54"/>
  <c r="B42" i="63" s="1"/>
  <c r="A2" i="9"/>
  <c r="T16" i="4"/>
  <c r="D14"/>
  <c r="M4" i="9"/>
  <c r="L4"/>
  <c r="G36" i="4"/>
  <c r="K2" i="54"/>
  <c r="B23" i="63" s="1"/>
  <c r="A3" i="51"/>
  <c r="R41" i="4"/>
  <c r="Q41"/>
  <c r="P41"/>
  <c r="O41"/>
  <c r="N41"/>
  <c r="M41"/>
  <c r="L41"/>
  <c r="K40"/>
  <c r="T40" s="1"/>
  <c r="F23"/>
  <c r="D19"/>
  <c r="I19"/>
  <c r="H19"/>
  <c r="G19"/>
  <c r="F10" i="1" s="1"/>
  <c r="AP10" s="1"/>
  <c r="F19" i="4"/>
  <c r="F9" i="1" s="1"/>
  <c r="F8"/>
  <c r="AP8" s="1"/>
  <c r="E19" i="4"/>
  <c r="B2" i="52"/>
  <c r="I2" i="46"/>
  <c r="N12" s="1"/>
  <c r="A7"/>
  <c r="F41" i="4"/>
  <c r="J52" i="40" s="1"/>
  <c r="H61" i="49"/>
  <c r="H39" i="46"/>
  <c r="H38"/>
  <c r="H37"/>
  <c r="H36"/>
  <c r="H35"/>
  <c r="H34"/>
  <c r="H33"/>
  <c r="J20"/>
  <c r="C18"/>
  <c r="F15"/>
  <c r="E15"/>
  <c r="D15"/>
  <c r="C15"/>
  <c r="C10"/>
  <c r="C11" s="1"/>
  <c r="C9"/>
  <c r="E19" i="6"/>
  <c r="E20"/>
  <c r="C9" i="43" s="1"/>
  <c r="C6" s="1"/>
  <c r="E21" i="6"/>
  <c r="C9" i="83" s="1"/>
  <c r="D16" s="1"/>
  <c r="E22" i="6"/>
  <c r="E23"/>
  <c r="E24"/>
  <c r="E25"/>
  <c r="E26"/>
  <c r="K13" i="1" s="1"/>
  <c r="M13" s="1"/>
  <c r="D38" i="4"/>
  <c r="C39" s="1"/>
  <c r="C35"/>
  <c r="E16" i="12"/>
  <c r="F14"/>
  <c r="F15"/>
  <c r="F17"/>
  <c r="E19"/>
  <c r="E21"/>
  <c r="E22"/>
  <c r="F23"/>
  <c r="F24"/>
  <c r="C43" i="9"/>
  <c r="K47"/>
  <c r="B65" i="63"/>
  <c r="I73" i="9"/>
  <c r="F73"/>
  <c r="P73" s="1"/>
  <c r="D107"/>
  <c r="C107" s="1"/>
  <c r="C105" s="1"/>
  <c r="C110" s="1"/>
  <c r="C17"/>
  <c r="D17"/>
  <c r="F17" i="44"/>
  <c r="F19"/>
  <c r="F22"/>
  <c r="F25"/>
  <c r="D25" s="1"/>
  <c r="F23"/>
  <c r="E16" i="43"/>
  <c r="F14"/>
  <c r="F15"/>
  <c r="F17"/>
  <c r="F19"/>
  <c r="F20"/>
  <c r="F10" i="40"/>
  <c r="AA10" s="1"/>
  <c r="F11"/>
  <c r="AA11" s="1"/>
  <c r="C21"/>
  <c r="C32"/>
  <c r="F36"/>
  <c r="AA36"/>
  <c r="H10"/>
  <c r="AB10" s="1"/>
  <c r="H11"/>
  <c r="AB11" s="1"/>
  <c r="H36"/>
  <c r="AB36"/>
  <c r="J10"/>
  <c r="AC10"/>
  <c r="J11"/>
  <c r="AC11" s="1"/>
  <c r="J36"/>
  <c r="AC36" s="1"/>
  <c r="F10" i="39"/>
  <c r="AA10" s="1"/>
  <c r="F11"/>
  <c r="AA11" s="1"/>
  <c r="C25"/>
  <c r="F40"/>
  <c r="AA40" s="1"/>
  <c r="F42"/>
  <c r="AA42" s="1"/>
  <c r="H10"/>
  <c r="AB10" s="1"/>
  <c r="H11"/>
  <c r="AB11" s="1"/>
  <c r="H40"/>
  <c r="AB40" s="1"/>
  <c r="H42"/>
  <c r="AB42" s="1"/>
  <c r="J10"/>
  <c r="AC10" s="1"/>
  <c r="J11"/>
  <c r="AC11" s="1"/>
  <c r="J40"/>
  <c r="AC40" s="1"/>
  <c r="J42"/>
  <c r="AC42" s="1"/>
  <c r="F35" i="44"/>
  <c r="M21"/>
  <c r="F20"/>
  <c r="K9" i="43"/>
  <c r="J9"/>
  <c r="I9"/>
  <c r="H9"/>
  <c r="G9"/>
  <c r="F9"/>
  <c r="E9"/>
  <c r="D9"/>
  <c r="BC13" i="3"/>
  <c r="BB13"/>
  <c r="BR13"/>
  <c r="B24" i="1"/>
  <c r="O75" i="9"/>
  <c r="L75"/>
  <c r="P75"/>
  <c r="O74"/>
  <c r="O73"/>
  <c r="E66"/>
  <c r="O72" s="1"/>
  <c r="F74"/>
  <c r="P74" s="1"/>
  <c r="N67"/>
  <c r="K44"/>
  <c r="K43"/>
  <c r="B31" i="1"/>
  <c r="B22"/>
  <c r="C2" i="65"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2" i="1"/>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s="1"/>
  <c r="I55" i="34"/>
  <c r="J55" s="1"/>
  <c r="G55"/>
  <c r="H55" s="1"/>
  <c r="E55"/>
  <c r="F55" s="1"/>
  <c r="I50" i="40"/>
  <c r="J50" s="1"/>
  <c r="G50"/>
  <c r="H50" s="1"/>
  <c r="E50"/>
  <c r="F50"/>
  <c r="I55" i="39"/>
  <c r="J55" s="1"/>
  <c r="G55"/>
  <c r="H55" s="1"/>
  <c r="E55"/>
  <c r="F55" s="1"/>
  <c r="I42" i="36"/>
  <c r="J42"/>
  <c r="G42"/>
  <c r="H42" s="1"/>
  <c r="E42"/>
  <c r="F42" s="1"/>
  <c r="I44" i="35"/>
  <c r="J44"/>
  <c r="G44"/>
  <c r="H44"/>
  <c r="E44"/>
  <c r="F44"/>
  <c r="I54" i="33"/>
  <c r="J54" s="1"/>
  <c r="G54"/>
  <c r="E54"/>
  <c r="F54" s="1"/>
  <c r="H14" i="3"/>
  <c r="G14" s="1"/>
  <c r="AC14"/>
  <c r="H15"/>
  <c r="G15" s="1"/>
  <c r="AC15"/>
  <c r="H16"/>
  <c r="G16" s="1"/>
  <c r="AC16"/>
  <c r="H17"/>
  <c r="G17" s="1"/>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L485" s="1"/>
  <c r="BR485"/>
  <c r="BS485"/>
  <c r="BT485"/>
  <c r="H486"/>
  <c r="G486"/>
  <c r="AC486"/>
  <c r="BB486"/>
  <c r="BC486"/>
  <c r="BD486"/>
  <c r="BE486"/>
  <c r="BF486"/>
  <c r="BG486"/>
  <c r="BH486"/>
  <c r="BI486"/>
  <c r="BJ486"/>
  <c r="BK486"/>
  <c r="BM486"/>
  <c r="BN486"/>
  <c r="BO486"/>
  <c r="BP486"/>
  <c r="BR486"/>
  <c r="BS486"/>
  <c r="BT486"/>
  <c r="H487"/>
  <c r="G487" s="1"/>
  <c r="AC487"/>
  <c r="BB487"/>
  <c r="BC487"/>
  <c r="BD487"/>
  <c r="BE487"/>
  <c r="BF487"/>
  <c r="BG487"/>
  <c r="BH487"/>
  <c r="BA487" s="1"/>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L491" s="1"/>
  <c r="BR491"/>
  <c r="BS491"/>
  <c r="BT491"/>
  <c r="H492"/>
  <c r="AC492"/>
  <c r="BB492"/>
  <c r="BC492"/>
  <c r="BD492"/>
  <c r="BE492"/>
  <c r="BF492"/>
  <c r="BG492"/>
  <c r="BH492"/>
  <c r="BI492"/>
  <c r="BJ492"/>
  <c r="BK492"/>
  <c r="BM492"/>
  <c r="BL492" s="1"/>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AC528"/>
  <c r="BB528"/>
  <c r="BC528"/>
  <c r="BD528"/>
  <c r="BA528" s="1"/>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L532" s="1"/>
  <c r="BN532"/>
  <c r="BO532"/>
  <c r="BP532"/>
  <c r="BR532"/>
  <c r="BS532"/>
  <c r="BT532"/>
  <c r="H533"/>
  <c r="G533" s="1"/>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L541" s="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L544" s="1"/>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G547" s="1"/>
  <c r="AC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A554" s="1"/>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L557" s="1"/>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AC569"/>
  <c r="G569" s="1"/>
  <c r="BB569"/>
  <c r="BC569"/>
  <c r="BD569"/>
  <c r="BE569"/>
  <c r="BF569"/>
  <c r="BG569"/>
  <c r="BH569"/>
  <c r="BI569"/>
  <c r="BJ569"/>
  <c r="BK569"/>
  <c r="BM569"/>
  <c r="BN569"/>
  <c r="BO569"/>
  <c r="BP569"/>
  <c r="BQ569"/>
  <c r="BR569"/>
  <c r="BS569"/>
  <c r="BT569"/>
  <c r="H9" i="12"/>
  <c r="I9"/>
  <c r="J9"/>
  <c r="K9"/>
  <c r="G111" i="21"/>
  <c r="H111"/>
  <c r="B112" i="39"/>
  <c r="B114"/>
  <c r="F38"/>
  <c r="AA38" s="1"/>
  <c r="J30" i="36"/>
  <c r="H30"/>
  <c r="U30"/>
  <c r="F30"/>
  <c r="AA30" s="1"/>
  <c r="C26" i="35"/>
  <c r="C79"/>
  <c r="J31"/>
  <c r="H31"/>
  <c r="F31"/>
  <c r="D87"/>
  <c r="E87"/>
  <c r="F87" s="1"/>
  <c r="G87" s="1"/>
  <c r="H87" s="1"/>
  <c r="I87" s="1"/>
  <c r="J87" s="1"/>
  <c r="K87" s="1"/>
  <c r="L87" s="1"/>
  <c r="M87" s="1"/>
  <c r="H34" i="37"/>
  <c r="AB34" s="1"/>
  <c r="D101"/>
  <c r="F34"/>
  <c r="D99"/>
  <c r="E99"/>
  <c r="H42" i="34"/>
  <c r="J42"/>
  <c r="F42"/>
  <c r="J38"/>
  <c r="AC38" s="1"/>
  <c r="D114"/>
  <c r="F38"/>
  <c r="AA38" s="1"/>
  <c r="D112"/>
  <c r="E112" s="1"/>
  <c r="F112" s="1"/>
  <c r="F40" i="33"/>
  <c r="J41"/>
  <c r="AC41"/>
  <c r="D113"/>
  <c r="F37"/>
  <c r="S37" s="1"/>
  <c r="D111"/>
  <c r="E111" s="1"/>
  <c r="F111" s="1"/>
  <c r="S515" i="31"/>
  <c r="S517"/>
  <c r="S519"/>
  <c r="S521"/>
  <c r="S523"/>
  <c r="F41" i="21"/>
  <c r="J41"/>
  <c r="AC41"/>
  <c r="H41"/>
  <c r="U41"/>
  <c r="D83" i="39"/>
  <c r="E83" s="1"/>
  <c r="F83" s="1"/>
  <c r="G83" s="1"/>
  <c r="H83" s="1"/>
  <c r="I83" s="1"/>
  <c r="J83" s="1"/>
  <c r="K83" s="1"/>
  <c r="L83" s="1"/>
  <c r="M83" s="1"/>
  <c r="D78" i="40"/>
  <c r="F13"/>
  <c r="S13" s="1"/>
  <c r="B122"/>
  <c r="F42"/>
  <c r="AA42"/>
  <c r="B120"/>
  <c r="B118"/>
  <c r="F40"/>
  <c r="AA40"/>
  <c r="D117"/>
  <c r="E117"/>
  <c r="F117"/>
  <c r="G117"/>
  <c r="H117" s="1"/>
  <c r="I117" s="1"/>
  <c r="J117" s="1"/>
  <c r="K117" s="1"/>
  <c r="L117" s="1"/>
  <c r="M117" s="1"/>
  <c r="D115"/>
  <c r="E115" s="1"/>
  <c r="F115" s="1"/>
  <c r="G115" s="1"/>
  <c r="H115" s="1"/>
  <c r="I115" s="1"/>
  <c r="J115" s="1"/>
  <c r="K115" s="1"/>
  <c r="L115" s="1"/>
  <c r="M115" s="1"/>
  <c r="J38"/>
  <c r="AC38"/>
  <c r="H38"/>
  <c r="AB38"/>
  <c r="D113"/>
  <c r="E113"/>
  <c r="F113"/>
  <c r="M109"/>
  <c r="L109"/>
  <c r="K109"/>
  <c r="J109"/>
  <c r="I109"/>
  <c r="H109"/>
  <c r="G109"/>
  <c r="F109"/>
  <c r="E109"/>
  <c r="D109"/>
  <c r="C109"/>
  <c r="B107"/>
  <c r="B105"/>
  <c r="F34" s="1"/>
  <c r="AA34"/>
  <c r="B103"/>
  <c r="D102"/>
  <c r="E102" s="1"/>
  <c r="F102" s="1"/>
  <c r="G102" s="1"/>
  <c r="H102" s="1"/>
  <c r="I102" s="1"/>
  <c r="J102" s="1"/>
  <c r="K102" s="1"/>
  <c r="L102" s="1"/>
  <c r="M102" s="1"/>
  <c r="D100"/>
  <c r="E100"/>
  <c r="D98"/>
  <c r="E98" s="1"/>
  <c r="B97"/>
  <c r="D94"/>
  <c r="D92"/>
  <c r="D90"/>
  <c r="H21"/>
  <c r="AB21" s="1"/>
  <c r="D88"/>
  <c r="E88" s="1"/>
  <c r="D86"/>
  <c r="E86" s="1"/>
  <c r="J17"/>
  <c r="B83"/>
  <c r="F16"/>
  <c r="AA16"/>
  <c r="B81"/>
  <c r="B79"/>
  <c r="F14"/>
  <c r="AA14" s="1"/>
  <c r="M76"/>
  <c r="L76"/>
  <c r="K76"/>
  <c r="J76"/>
  <c r="I76"/>
  <c r="H76"/>
  <c r="G76"/>
  <c r="F76"/>
  <c r="E76"/>
  <c r="D76"/>
  <c r="C76"/>
  <c r="P45"/>
  <c r="P44"/>
  <c r="V43"/>
  <c r="T43"/>
  <c r="R43"/>
  <c r="P43"/>
  <c r="Q42"/>
  <c r="Z42"/>
  <c r="Q41"/>
  <c r="Z41" s="1"/>
  <c r="Q40"/>
  <c r="Z40"/>
  <c r="Q39"/>
  <c r="Z39"/>
  <c r="Q38"/>
  <c r="Z38"/>
  <c r="Q37"/>
  <c r="Z37" s="1"/>
  <c r="Q36"/>
  <c r="Z36"/>
  <c r="Q35"/>
  <c r="Z35"/>
  <c r="Q34"/>
  <c r="Z34"/>
  <c r="Q33"/>
  <c r="Z33" s="1"/>
  <c r="Q32"/>
  <c r="Z32"/>
  <c r="Q30"/>
  <c r="Z30"/>
  <c r="Q29"/>
  <c r="Z29"/>
  <c r="Q25"/>
  <c r="Z25" s="1"/>
  <c r="Q23"/>
  <c r="Z23"/>
  <c r="Q21"/>
  <c r="Z21"/>
  <c r="Q19"/>
  <c r="Z19"/>
  <c r="Q17"/>
  <c r="Z17" s="1"/>
  <c r="Q16"/>
  <c r="Z16"/>
  <c r="Q15"/>
  <c r="Z15"/>
  <c r="Q14"/>
  <c r="Z14"/>
  <c r="Q13"/>
  <c r="Z13" s="1"/>
  <c r="Q12"/>
  <c r="Z12"/>
  <c r="Q11"/>
  <c r="Z11"/>
  <c r="C9"/>
  <c r="C65" s="1"/>
  <c r="D126" i="39"/>
  <c r="E126" s="1"/>
  <c r="F126" s="1"/>
  <c r="G126" s="1"/>
  <c r="H126" s="1"/>
  <c r="I126" s="1"/>
  <c r="J126" s="1"/>
  <c r="K126" s="1"/>
  <c r="L126" s="1"/>
  <c r="M126" s="1"/>
  <c r="D122"/>
  <c r="E122"/>
  <c r="F122"/>
  <c r="G122" s="1"/>
  <c r="H122" s="1"/>
  <c r="I122" s="1"/>
  <c r="J122" s="1"/>
  <c r="K122" s="1"/>
  <c r="L122" s="1"/>
  <c r="M122" s="1"/>
  <c r="B116"/>
  <c r="D111"/>
  <c r="E111" s="1"/>
  <c r="F111" s="1"/>
  <c r="G111" s="1"/>
  <c r="H111" s="1"/>
  <c r="I111" s="1"/>
  <c r="J111" s="1"/>
  <c r="K111" s="1"/>
  <c r="L111" s="1"/>
  <c r="M111" s="1"/>
  <c r="D109"/>
  <c r="E109" s="1"/>
  <c r="D107"/>
  <c r="E107" s="1"/>
  <c r="F107" s="1"/>
  <c r="G107" s="1"/>
  <c r="H107" s="1"/>
  <c r="I107" s="1"/>
  <c r="J107" s="1"/>
  <c r="K107" s="1"/>
  <c r="L107" s="1"/>
  <c r="M107" s="1"/>
  <c r="D103"/>
  <c r="D101"/>
  <c r="E101" s="1"/>
  <c r="Q41"/>
  <c r="Z41"/>
  <c r="Q42"/>
  <c r="Z42"/>
  <c r="Q43"/>
  <c r="Q44"/>
  <c r="Z44"/>
  <c r="Q45"/>
  <c r="Z45"/>
  <c r="Q46"/>
  <c r="Z46" s="1"/>
  <c r="Q47"/>
  <c r="Z47"/>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E97" s="1"/>
  <c r="F23" s="1"/>
  <c r="D95"/>
  <c r="E95"/>
  <c r="F95" s="1"/>
  <c r="G95" s="1"/>
  <c r="D93"/>
  <c r="E93" s="1"/>
  <c r="D91"/>
  <c r="E91"/>
  <c r="F91"/>
  <c r="G91" s="1"/>
  <c r="B88"/>
  <c r="B86"/>
  <c r="B84"/>
  <c r="M81"/>
  <c r="L81"/>
  <c r="K81"/>
  <c r="J81"/>
  <c r="I81"/>
  <c r="H81"/>
  <c r="G81"/>
  <c r="F81"/>
  <c r="E81"/>
  <c r="D81"/>
  <c r="C81"/>
  <c r="P50"/>
  <c r="P49"/>
  <c r="V48"/>
  <c r="T48"/>
  <c r="R48"/>
  <c r="P48"/>
  <c r="Q37"/>
  <c r="Z37"/>
  <c r="Q36"/>
  <c r="Z36" s="1"/>
  <c r="Q34"/>
  <c r="Z34" s="1"/>
  <c r="Q33"/>
  <c r="Z33" s="1"/>
  <c r="Q29"/>
  <c r="Z29" s="1"/>
  <c r="Q27"/>
  <c r="Z27"/>
  <c r="Q25"/>
  <c r="Z25"/>
  <c r="Q23"/>
  <c r="Z23" s="1"/>
  <c r="Q21"/>
  <c r="Z21"/>
  <c r="Q19"/>
  <c r="Z19"/>
  <c r="Q17"/>
  <c r="Z17" s="1"/>
  <c r="Q16"/>
  <c r="Z16" s="1"/>
  <c r="Q15"/>
  <c r="Z15"/>
  <c r="Q14"/>
  <c r="Z14" s="1"/>
  <c r="Q13"/>
  <c r="Z13"/>
  <c r="Q12"/>
  <c r="Z12" s="1"/>
  <c r="Q11"/>
  <c r="Z11" s="1"/>
  <c r="U10"/>
  <c r="C9"/>
  <c r="C70" s="1"/>
  <c r="C20" i="36"/>
  <c r="C20" i="35"/>
  <c r="C16" i="36"/>
  <c r="C16" i="35"/>
  <c r="C14" i="36"/>
  <c r="C14" i="35"/>
  <c r="B80" i="37"/>
  <c r="H25" s="1"/>
  <c r="U25" s="1"/>
  <c r="B110"/>
  <c r="J39" s="1"/>
  <c r="AC39" s="1"/>
  <c r="B108"/>
  <c r="C23"/>
  <c r="C19"/>
  <c r="C17"/>
  <c r="C15"/>
  <c r="B112"/>
  <c r="D107"/>
  <c r="E107"/>
  <c r="D105"/>
  <c r="E105" s="1"/>
  <c r="F105" s="1"/>
  <c r="H36"/>
  <c r="D103"/>
  <c r="J35"/>
  <c r="AC35"/>
  <c r="F97"/>
  <c r="E97"/>
  <c r="D97"/>
  <c r="C97"/>
  <c r="D96"/>
  <c r="E96"/>
  <c r="D94"/>
  <c r="M90"/>
  <c r="L90"/>
  <c r="K90"/>
  <c r="J90"/>
  <c r="I90"/>
  <c r="H90"/>
  <c r="G90"/>
  <c r="F90"/>
  <c r="E90"/>
  <c r="D90"/>
  <c r="C90"/>
  <c r="D89"/>
  <c r="B86"/>
  <c r="B84"/>
  <c r="H27"/>
  <c r="U27" s="1"/>
  <c r="B82"/>
  <c r="H26" s="1"/>
  <c r="AB26" s="1"/>
  <c r="D79"/>
  <c r="E79"/>
  <c r="D75"/>
  <c r="E75" s="1"/>
  <c r="F75" s="1"/>
  <c r="D73"/>
  <c r="E73" s="1"/>
  <c r="F73" s="1"/>
  <c r="G73" s="1"/>
  <c r="D71"/>
  <c r="E71" s="1"/>
  <c r="F71" s="1"/>
  <c r="G71" s="1"/>
  <c r="F15"/>
  <c r="AA15"/>
  <c r="B68"/>
  <c r="H14" s="1"/>
  <c r="U14"/>
  <c r="B66"/>
  <c r="H13" s="1"/>
  <c r="B64"/>
  <c r="D63"/>
  <c r="E63" s="1"/>
  <c r="F63" s="1"/>
  <c r="G63" s="1"/>
  <c r="H63" s="1"/>
  <c r="I63" s="1"/>
  <c r="J63" s="1"/>
  <c r="K63" s="1"/>
  <c r="L63" s="1"/>
  <c r="M63" s="1"/>
  <c r="M61"/>
  <c r="L61"/>
  <c r="K61"/>
  <c r="J61"/>
  <c r="I61"/>
  <c r="H61"/>
  <c r="G61"/>
  <c r="F61"/>
  <c r="E61"/>
  <c r="D61"/>
  <c r="C61"/>
  <c r="F60"/>
  <c r="G60"/>
  <c r="H60"/>
  <c r="I60" s="1"/>
  <c r="H10"/>
  <c r="U10" s="1"/>
  <c r="C57"/>
  <c r="P43"/>
  <c r="P42"/>
  <c r="V41"/>
  <c r="T41"/>
  <c r="R41"/>
  <c r="P41"/>
  <c r="Q40"/>
  <c r="Z40"/>
  <c r="Q39"/>
  <c r="Z39"/>
  <c r="Q38"/>
  <c r="Z38"/>
  <c r="Q37"/>
  <c r="Z37"/>
  <c r="Q36"/>
  <c r="Z36"/>
  <c r="Q35"/>
  <c r="Z35"/>
  <c r="Q34"/>
  <c r="Z34"/>
  <c r="Q33"/>
  <c r="Z33"/>
  <c r="Q32"/>
  <c r="Z32"/>
  <c r="Q31"/>
  <c r="Z31"/>
  <c r="J31"/>
  <c r="Q30"/>
  <c r="Z30" s="1"/>
  <c r="J30"/>
  <c r="W30" s="1"/>
  <c r="H30"/>
  <c r="AB30" s="1"/>
  <c r="F30"/>
  <c r="Q29"/>
  <c r="Z29"/>
  <c r="H29"/>
  <c r="U29" s="1"/>
  <c r="Q28"/>
  <c r="Z28" s="1"/>
  <c r="Q27"/>
  <c r="Z27"/>
  <c r="Q26"/>
  <c r="Z26"/>
  <c r="J26"/>
  <c r="Q25"/>
  <c r="Z25"/>
  <c r="F25"/>
  <c r="AA25" s="1"/>
  <c r="Q23"/>
  <c r="Z23" s="1"/>
  <c r="Q19"/>
  <c r="Z19"/>
  <c r="Q17"/>
  <c r="Z17" s="1"/>
  <c r="Q15"/>
  <c r="Z15"/>
  <c r="Q14"/>
  <c r="Z14" s="1"/>
  <c r="Q13"/>
  <c r="Z13" s="1"/>
  <c r="Q12"/>
  <c r="Z12"/>
  <c r="Q11"/>
  <c r="Z11"/>
  <c r="Q10"/>
  <c r="Z10" s="1"/>
  <c r="F10"/>
  <c r="AA10"/>
  <c r="Q9"/>
  <c r="Z9"/>
  <c r="J8"/>
  <c r="W8" s="1"/>
  <c r="H8"/>
  <c r="AB8" s="1"/>
  <c r="F8"/>
  <c r="C7"/>
  <c r="J31" i="36"/>
  <c r="W31" s="1"/>
  <c r="H31"/>
  <c r="AB31"/>
  <c r="F31"/>
  <c r="S31" s="1"/>
  <c r="M86"/>
  <c r="L86"/>
  <c r="K86"/>
  <c r="J86"/>
  <c r="I86"/>
  <c r="H86"/>
  <c r="G86"/>
  <c r="F86"/>
  <c r="E86"/>
  <c r="D86"/>
  <c r="C86"/>
  <c r="D85"/>
  <c r="H29"/>
  <c r="AB29"/>
  <c r="D81"/>
  <c r="E81" s="1"/>
  <c r="F81" s="1"/>
  <c r="G81" s="1"/>
  <c r="H81" s="1"/>
  <c r="I81" s="1"/>
  <c r="J81" s="1"/>
  <c r="K81" s="1"/>
  <c r="L81" s="1"/>
  <c r="M81" s="1"/>
  <c r="F79"/>
  <c r="E79"/>
  <c r="D79"/>
  <c r="C79"/>
  <c r="B93"/>
  <c r="B91"/>
  <c r="F32" s="1"/>
  <c r="S32" s="1"/>
  <c r="B95"/>
  <c r="H34"/>
  <c r="D83"/>
  <c r="E83"/>
  <c r="F83"/>
  <c r="G83" s="1"/>
  <c r="H83" s="1"/>
  <c r="I83" s="1"/>
  <c r="J83" s="1"/>
  <c r="K83" s="1"/>
  <c r="L83" s="1"/>
  <c r="M83" s="1"/>
  <c r="D78"/>
  <c r="J26"/>
  <c r="W26" s="1"/>
  <c r="B75"/>
  <c r="B73"/>
  <c r="J24"/>
  <c r="W24"/>
  <c r="B71"/>
  <c r="J23" s="1"/>
  <c r="D70"/>
  <c r="H22"/>
  <c r="AB22" s="1"/>
  <c r="D68"/>
  <c r="E68"/>
  <c r="D64"/>
  <c r="E64"/>
  <c r="F64" s="1"/>
  <c r="G64" s="1"/>
  <c r="J16"/>
  <c r="D62"/>
  <c r="E62" s="1"/>
  <c r="B59"/>
  <c r="F13" s="1"/>
  <c r="B57"/>
  <c r="J12"/>
  <c r="B55"/>
  <c r="F54"/>
  <c r="G54"/>
  <c r="H54"/>
  <c r="I54" s="1"/>
  <c r="J10"/>
  <c r="W10" s="1"/>
  <c r="C51"/>
  <c r="H9" s="1"/>
  <c r="P37"/>
  <c r="P36"/>
  <c r="V35"/>
  <c r="T35"/>
  <c r="R35"/>
  <c r="P35"/>
  <c r="Q34"/>
  <c r="Z34" s="1"/>
  <c r="Q33"/>
  <c r="Z33"/>
  <c r="Q32"/>
  <c r="Z32"/>
  <c r="Q31"/>
  <c r="Z31"/>
  <c r="Q30"/>
  <c r="Z30" s="1"/>
  <c r="Q29"/>
  <c r="Z29"/>
  <c r="Q28"/>
  <c r="Z28"/>
  <c r="J28"/>
  <c r="AC28"/>
  <c r="Q27"/>
  <c r="Z27" s="1"/>
  <c r="Q26"/>
  <c r="Z26"/>
  <c r="H26"/>
  <c r="AB26"/>
  <c r="Q25"/>
  <c r="Z25"/>
  <c r="Q24"/>
  <c r="Z24" s="1"/>
  <c r="H24"/>
  <c r="AB24"/>
  <c r="Q23"/>
  <c r="Z23"/>
  <c r="AC23"/>
  <c r="H23"/>
  <c r="AB23" s="1"/>
  <c r="F23"/>
  <c r="AA23"/>
  <c r="Q22"/>
  <c r="Z22" s="1"/>
  <c r="J22"/>
  <c r="AC22"/>
  <c r="Q20"/>
  <c r="Z20" s="1"/>
  <c r="Q16"/>
  <c r="Z16"/>
  <c r="Q14"/>
  <c r="Z14" s="1"/>
  <c r="Q13"/>
  <c r="Z13"/>
  <c r="Q12"/>
  <c r="Z12" s="1"/>
  <c r="H12"/>
  <c r="U12"/>
  <c r="Q11"/>
  <c r="Z11" s="1"/>
  <c r="Q10"/>
  <c r="Z10"/>
  <c r="F10"/>
  <c r="AA10" s="1"/>
  <c r="Q9"/>
  <c r="Z9"/>
  <c r="J9"/>
  <c r="AC9" s="1"/>
  <c r="AB9"/>
  <c r="F9"/>
  <c r="AA9"/>
  <c r="J8"/>
  <c r="AC8" s="1"/>
  <c r="H8"/>
  <c r="U8"/>
  <c r="F8"/>
  <c r="AA8"/>
  <c r="C7"/>
  <c r="D89" i="35"/>
  <c r="E89" s="1"/>
  <c r="F89" s="1"/>
  <c r="G89" s="1"/>
  <c r="H89" s="1"/>
  <c r="H30"/>
  <c r="U30" s="1"/>
  <c r="M90"/>
  <c r="L90"/>
  <c r="K90"/>
  <c r="J90"/>
  <c r="I90"/>
  <c r="H90"/>
  <c r="G90"/>
  <c r="F90"/>
  <c r="E90"/>
  <c r="D90"/>
  <c r="C90"/>
  <c r="F85"/>
  <c r="E85"/>
  <c r="D85"/>
  <c r="C85"/>
  <c r="J27"/>
  <c r="W27"/>
  <c r="H27"/>
  <c r="U27" s="1"/>
  <c r="F27"/>
  <c r="AA27"/>
  <c r="J22"/>
  <c r="AC22"/>
  <c r="B101"/>
  <c r="H36" s="1"/>
  <c r="B99"/>
  <c r="B97"/>
  <c r="B77"/>
  <c r="B75"/>
  <c r="J24"/>
  <c r="W24" s="1"/>
  <c r="AC24"/>
  <c r="B73"/>
  <c r="B57"/>
  <c r="B61"/>
  <c r="B59"/>
  <c r="H12"/>
  <c r="B131" i="34"/>
  <c r="B129"/>
  <c r="B127"/>
  <c r="B99"/>
  <c r="B97"/>
  <c r="B95"/>
  <c r="B93"/>
  <c r="B75"/>
  <c r="F14" s="1"/>
  <c r="B73"/>
  <c r="B71"/>
  <c r="B130" i="33"/>
  <c r="B128"/>
  <c r="H45" s="1"/>
  <c r="B126"/>
  <c r="B98"/>
  <c r="F31"/>
  <c r="AA31"/>
  <c r="B96"/>
  <c r="J30" s="1"/>
  <c r="B94"/>
  <c r="J29" s="1"/>
  <c r="B74"/>
  <c r="B72"/>
  <c r="B70"/>
  <c r="D96" i="35"/>
  <c r="E96"/>
  <c r="F96"/>
  <c r="G96"/>
  <c r="D94"/>
  <c r="D84"/>
  <c r="E84"/>
  <c r="F84" s="1"/>
  <c r="G84"/>
  <c r="H84" s="1"/>
  <c r="I84" s="1"/>
  <c r="J84" s="1"/>
  <c r="K84" s="1"/>
  <c r="L84" s="1"/>
  <c r="M84" s="1"/>
  <c r="D80"/>
  <c r="D72"/>
  <c r="D70"/>
  <c r="E70"/>
  <c r="F70"/>
  <c r="G70"/>
  <c r="D66"/>
  <c r="E66" s="1"/>
  <c r="F66" s="1"/>
  <c r="G66" s="1"/>
  <c r="D64"/>
  <c r="E64" s="1"/>
  <c r="F64" s="1"/>
  <c r="G64" s="1"/>
  <c r="F56"/>
  <c r="G56" s="1"/>
  <c r="H56" s="1"/>
  <c r="I56" s="1"/>
  <c r="C53"/>
  <c r="H9"/>
  <c r="AB9" s="1"/>
  <c r="P39"/>
  <c r="P38"/>
  <c r="V37"/>
  <c r="T37"/>
  <c r="R37"/>
  <c r="P37"/>
  <c r="Q36"/>
  <c r="Z36" s="1"/>
  <c r="Q35"/>
  <c r="Z35" s="1"/>
  <c r="Q34"/>
  <c r="Z34" s="1"/>
  <c r="J34"/>
  <c r="AC34"/>
  <c r="H34"/>
  <c r="AB34"/>
  <c r="F34"/>
  <c r="AA34" s="1"/>
  <c r="Q33"/>
  <c r="Z33" s="1"/>
  <c r="Q32"/>
  <c r="Z32"/>
  <c r="H32"/>
  <c r="AB32" s="1"/>
  <c r="F32"/>
  <c r="AA32"/>
  <c r="Q31"/>
  <c r="Z31" s="1"/>
  <c r="AC31"/>
  <c r="AB31"/>
  <c r="AA31"/>
  <c r="Q30"/>
  <c r="Z30"/>
  <c r="Q29"/>
  <c r="Z29"/>
  <c r="Q28"/>
  <c r="Z28" s="1"/>
  <c r="J28"/>
  <c r="H28"/>
  <c r="F28"/>
  <c r="AA28"/>
  <c r="Q27"/>
  <c r="Z27"/>
  <c r="Q26"/>
  <c r="Z26" s="1"/>
  <c r="Q25"/>
  <c r="Z25"/>
  <c r="Q24"/>
  <c r="Z24"/>
  <c r="Q23"/>
  <c r="Z23"/>
  <c r="J23"/>
  <c r="AC23" s="1"/>
  <c r="Q22"/>
  <c r="Z22"/>
  <c r="Q20"/>
  <c r="Z20"/>
  <c r="Q16"/>
  <c r="Z16"/>
  <c r="Q14"/>
  <c r="Z14" s="1"/>
  <c r="Q13"/>
  <c r="Z13"/>
  <c r="Q12"/>
  <c r="Z12"/>
  <c r="J12"/>
  <c r="W12"/>
  <c r="F12"/>
  <c r="AA12" s="1"/>
  <c r="Q11"/>
  <c r="Z11"/>
  <c r="Q10"/>
  <c r="Z10"/>
  <c r="Q9"/>
  <c r="Z9"/>
  <c r="J9"/>
  <c r="W9" s="1"/>
  <c r="F9"/>
  <c r="AA9"/>
  <c r="J8"/>
  <c r="H8"/>
  <c r="F8"/>
  <c r="AA8"/>
  <c r="C7"/>
  <c r="D120" i="34"/>
  <c r="E120"/>
  <c r="F120"/>
  <c r="G120" s="1"/>
  <c r="H120" s="1"/>
  <c r="I120" s="1"/>
  <c r="J120"/>
  <c r="K120" s="1"/>
  <c r="L120" s="1"/>
  <c r="M120" s="1"/>
  <c r="D90"/>
  <c r="C15"/>
  <c r="F67"/>
  <c r="G67" s="1"/>
  <c r="H67" s="1"/>
  <c r="I67" s="1"/>
  <c r="H10"/>
  <c r="AB10" s="1"/>
  <c r="D126"/>
  <c r="E126" s="1"/>
  <c r="F126" s="1"/>
  <c r="G126" s="1"/>
  <c r="D124"/>
  <c r="E124" s="1"/>
  <c r="F124" s="1"/>
  <c r="G124" s="1"/>
  <c r="H124" s="1"/>
  <c r="I124" s="1"/>
  <c r="J124" s="1"/>
  <c r="K124" s="1"/>
  <c r="L124" s="1"/>
  <c r="M124" s="1"/>
  <c r="J43"/>
  <c r="AC43" s="1"/>
  <c r="D118"/>
  <c r="E118" s="1"/>
  <c r="F118" s="1"/>
  <c r="G118" s="1"/>
  <c r="H40"/>
  <c r="AB40" s="1"/>
  <c r="D116"/>
  <c r="E116"/>
  <c r="F116" s="1"/>
  <c r="G116" s="1"/>
  <c r="H116" s="1"/>
  <c r="I116" s="1"/>
  <c r="J116" s="1"/>
  <c r="K116" s="1"/>
  <c r="L116" s="1"/>
  <c r="M116" s="1"/>
  <c r="F110"/>
  <c r="E110"/>
  <c r="D110"/>
  <c r="C110"/>
  <c r="D109"/>
  <c r="E109" s="1"/>
  <c r="F109" s="1"/>
  <c r="G109" s="1"/>
  <c r="H109" s="1"/>
  <c r="I109" s="1"/>
  <c r="J109" s="1"/>
  <c r="K109" s="1"/>
  <c r="L109" s="1"/>
  <c r="M109" s="1"/>
  <c r="J36"/>
  <c r="W36" s="1"/>
  <c r="D107"/>
  <c r="E107" s="1"/>
  <c r="F35"/>
  <c r="AA35"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J28" s="1"/>
  <c r="W28" s="1"/>
  <c r="B89"/>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c r="Q46"/>
  <c r="Z46"/>
  <c r="Q45"/>
  <c r="Z45"/>
  <c r="Q44"/>
  <c r="Z44"/>
  <c r="H44"/>
  <c r="AB44" s="1"/>
  <c r="Q43"/>
  <c r="Z43"/>
  <c r="F43"/>
  <c r="AA43" s="1"/>
  <c r="Q42"/>
  <c r="Z42"/>
  <c r="Q41"/>
  <c r="Z41" s="1"/>
  <c r="Q40"/>
  <c r="Z40"/>
  <c r="F40"/>
  <c r="S40" s="1"/>
  <c r="Q39"/>
  <c r="Z39"/>
  <c r="J39"/>
  <c r="AC39" s="1"/>
  <c r="H39"/>
  <c r="AB39" s="1"/>
  <c r="F39"/>
  <c r="S39" s="1"/>
  <c r="Q38"/>
  <c r="Z38"/>
  <c r="Q37"/>
  <c r="Z37" s="1"/>
  <c r="Q36"/>
  <c r="Z36" s="1"/>
  <c r="Q35"/>
  <c r="Z35" s="1"/>
  <c r="Q34"/>
  <c r="Z34"/>
  <c r="J34"/>
  <c r="W34" s="1"/>
  <c r="H34"/>
  <c r="AB34" s="1"/>
  <c r="F34"/>
  <c r="AA34" s="1"/>
  <c r="Q33"/>
  <c r="Z33"/>
  <c r="Q32"/>
  <c r="Z32"/>
  <c r="Q31"/>
  <c r="Z31" s="1"/>
  <c r="Q30"/>
  <c r="Z30" s="1"/>
  <c r="Q29"/>
  <c r="Z29"/>
  <c r="Q28"/>
  <c r="Z28"/>
  <c r="Q27"/>
  <c r="Z27" s="1"/>
  <c r="Q25"/>
  <c r="Z25"/>
  <c r="Q23"/>
  <c r="Z23"/>
  <c r="C23"/>
  <c r="Q19"/>
  <c r="Z19" s="1"/>
  <c r="C19"/>
  <c r="Q17"/>
  <c r="Z17"/>
  <c r="C17"/>
  <c r="Q15"/>
  <c r="Z15"/>
  <c r="Q14"/>
  <c r="Z14" s="1"/>
  <c r="Q13"/>
  <c r="Z13" s="1"/>
  <c r="Q12"/>
  <c r="Z12" s="1"/>
  <c r="Q11"/>
  <c r="Z11" s="1"/>
  <c r="Q10"/>
  <c r="Z10" s="1"/>
  <c r="F10"/>
  <c r="AA10" s="1"/>
  <c r="Q9"/>
  <c r="Z9" s="1"/>
  <c r="H9"/>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c r="K108" s="1"/>
  <c r="L108" s="1"/>
  <c r="M108" s="1"/>
  <c r="D106"/>
  <c r="M102"/>
  <c r="L102"/>
  <c r="K102"/>
  <c r="J102"/>
  <c r="I102"/>
  <c r="H102"/>
  <c r="G102"/>
  <c r="F102"/>
  <c r="E102"/>
  <c r="D102"/>
  <c r="C102"/>
  <c r="D101"/>
  <c r="E101" s="1"/>
  <c r="F101" s="1"/>
  <c r="G101" s="1"/>
  <c r="H101" s="1"/>
  <c r="I101" s="1"/>
  <c r="J101" s="1"/>
  <c r="K101" s="1"/>
  <c r="L101" s="1"/>
  <c r="M101" s="1"/>
  <c r="B92"/>
  <c r="J28" s="1"/>
  <c r="W28" s="1"/>
  <c r="B90"/>
  <c r="H27"/>
  <c r="U27" s="1"/>
  <c r="D87"/>
  <c r="E87"/>
  <c r="D85"/>
  <c r="E85" s="1"/>
  <c r="D81"/>
  <c r="E81" s="1"/>
  <c r="F81" s="1"/>
  <c r="G81" s="1"/>
  <c r="D79"/>
  <c r="E79" s="1"/>
  <c r="D77"/>
  <c r="E77" s="1"/>
  <c r="F77" s="1"/>
  <c r="G77" s="1"/>
  <c r="D69"/>
  <c r="E69" s="1"/>
  <c r="F69" s="1"/>
  <c r="G69" s="1"/>
  <c r="H69"/>
  <c r="I69" s="1"/>
  <c r="J69" s="1"/>
  <c r="K69" s="1"/>
  <c r="L69" s="1"/>
  <c r="M69" s="1"/>
  <c r="M67"/>
  <c r="L67"/>
  <c r="K67"/>
  <c r="J67"/>
  <c r="I67"/>
  <c r="H67"/>
  <c r="G67"/>
  <c r="F67"/>
  <c r="E67"/>
  <c r="D67"/>
  <c r="C67"/>
  <c r="G66"/>
  <c r="C63"/>
  <c r="H9" s="1"/>
  <c r="H54"/>
  <c r="P49"/>
  <c r="P48"/>
  <c r="V47"/>
  <c r="T47"/>
  <c r="R47"/>
  <c r="P47"/>
  <c r="Q46"/>
  <c r="Z46" s="1"/>
  <c r="Q45"/>
  <c r="Z45" s="1"/>
  <c r="Q44"/>
  <c r="Z44"/>
  <c r="Q43"/>
  <c r="Z43" s="1"/>
  <c r="Q42"/>
  <c r="Z42" s="1"/>
  <c r="J42"/>
  <c r="AC42" s="1"/>
  <c r="W41"/>
  <c r="Q41"/>
  <c r="Z41"/>
  <c r="Q40"/>
  <c r="Z40"/>
  <c r="J40"/>
  <c r="AC40"/>
  <c r="H40"/>
  <c r="AA40"/>
  <c r="Q39"/>
  <c r="Z39"/>
  <c r="J39"/>
  <c r="AC39" s="1"/>
  <c r="Q38"/>
  <c r="Z38"/>
  <c r="J38"/>
  <c r="AC38"/>
  <c r="H38"/>
  <c r="AB38"/>
  <c r="F38"/>
  <c r="AA38"/>
  <c r="Q37"/>
  <c r="Z37"/>
  <c r="Q36"/>
  <c r="Z36"/>
  <c r="Q35"/>
  <c r="Z35"/>
  <c r="H35"/>
  <c r="AB35" s="1"/>
  <c r="Q34"/>
  <c r="Z34"/>
  <c r="Q33"/>
  <c r="Z33"/>
  <c r="J33"/>
  <c r="AC33" s="1"/>
  <c r="H33"/>
  <c r="AB33" s="1"/>
  <c r="F33"/>
  <c r="AA33" s="1"/>
  <c r="Q32"/>
  <c r="Z32"/>
  <c r="Q31"/>
  <c r="Z31"/>
  <c r="Q30"/>
  <c r="Z30" s="1"/>
  <c r="Q29"/>
  <c r="Z29"/>
  <c r="Q28"/>
  <c r="Z28"/>
  <c r="Q27"/>
  <c r="Z27"/>
  <c r="Q26"/>
  <c r="Z26" s="1"/>
  <c r="Q25"/>
  <c r="Z25"/>
  <c r="Q23"/>
  <c r="Z23"/>
  <c r="Q19"/>
  <c r="Z19"/>
  <c r="Q17"/>
  <c r="Z17" s="1"/>
  <c r="Q15"/>
  <c r="Z15"/>
  <c r="F15"/>
  <c r="AA15" s="1"/>
  <c r="Q14"/>
  <c r="Z14"/>
  <c r="Q13"/>
  <c r="Z13" s="1"/>
  <c r="Q12"/>
  <c r="Z12"/>
  <c r="J12"/>
  <c r="W12"/>
  <c r="H12"/>
  <c r="U12"/>
  <c r="F12"/>
  <c r="S12" s="1"/>
  <c r="Q11"/>
  <c r="Z11"/>
  <c r="Q10"/>
  <c r="Z10"/>
  <c r="Q9"/>
  <c r="Z9"/>
  <c r="J9"/>
  <c r="AC9" s="1"/>
  <c r="J8"/>
  <c r="W8" s="1"/>
  <c r="H8"/>
  <c r="F8"/>
  <c r="C7"/>
  <c r="M102" i="21"/>
  <c r="D102"/>
  <c r="E102"/>
  <c r="F102"/>
  <c r="G102"/>
  <c r="H102"/>
  <c r="I102"/>
  <c r="J102"/>
  <c r="K102"/>
  <c r="L102"/>
  <c r="C102"/>
  <c r="C63"/>
  <c r="H9" s="1"/>
  <c r="AB9" s="1"/>
  <c r="F9"/>
  <c r="AA9" s="1"/>
  <c r="G18" i="20"/>
  <c r="B87" i="46" s="1"/>
  <c r="C25" i="40"/>
  <c r="G16" i="20"/>
  <c r="B81" i="46"/>
  <c r="G15" i="20"/>
  <c r="B80" i="46"/>
  <c r="C24" i="20"/>
  <c r="B72" i="46" s="1"/>
  <c r="C21" i="20"/>
  <c r="B73" i="46" s="1"/>
  <c r="C20" i="20"/>
  <c r="B76" i="46" s="1"/>
  <c r="C18" i="20"/>
  <c r="C17"/>
  <c r="C16"/>
  <c r="B47" i="69" s="1"/>
  <c r="C15" i="20"/>
  <c r="B69" i="46"/>
  <c r="E54" i="21"/>
  <c r="F54" s="1"/>
  <c r="I54"/>
  <c r="J54" s="1"/>
  <c r="G54"/>
  <c r="H54" s="1"/>
  <c r="D125"/>
  <c r="E125"/>
  <c r="D123"/>
  <c r="E123" s="1"/>
  <c r="F123" s="1"/>
  <c r="G123" s="1"/>
  <c r="H123" s="1"/>
  <c r="I123" s="1"/>
  <c r="J123" s="1"/>
  <c r="K123" s="1"/>
  <c r="L123" s="1"/>
  <c r="M123" s="1"/>
  <c r="D119"/>
  <c r="D117"/>
  <c r="E117" s="1"/>
  <c r="F117" s="1"/>
  <c r="G117" s="1"/>
  <c r="D115"/>
  <c r="E115"/>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c r="F108" s="1"/>
  <c r="G108" s="1"/>
  <c r="H108" s="1"/>
  <c r="I108" s="1"/>
  <c r="J108" s="1"/>
  <c r="K108" s="1"/>
  <c r="L108" s="1"/>
  <c r="M108" s="1"/>
  <c r="D106"/>
  <c r="E106"/>
  <c r="F106"/>
  <c r="G106" s="1"/>
  <c r="H106" s="1"/>
  <c r="I106" s="1"/>
  <c r="J106" s="1"/>
  <c r="K106" s="1"/>
  <c r="L106" s="1"/>
  <c r="M106" s="1"/>
  <c r="D101"/>
  <c r="E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D77"/>
  <c r="E77" s="1"/>
  <c r="B130"/>
  <c r="B128"/>
  <c r="B126"/>
  <c r="B98"/>
  <c r="B96"/>
  <c r="H30" s="1"/>
  <c r="U30" s="1"/>
  <c r="B94"/>
  <c r="B92"/>
  <c r="B90"/>
  <c r="B74"/>
  <c r="B72"/>
  <c r="B70"/>
  <c r="F10"/>
  <c r="AA10" s="1"/>
  <c r="C7"/>
  <c r="C58" s="1"/>
  <c r="C19"/>
  <c r="C17"/>
  <c r="C23"/>
  <c r="Q9"/>
  <c r="Z9" s="1"/>
  <c r="Q10"/>
  <c r="Z10" s="1"/>
  <c r="Q11"/>
  <c r="Z11" s="1"/>
  <c r="Q12"/>
  <c r="Z12"/>
  <c r="Q13"/>
  <c r="Z13"/>
  <c r="Q14"/>
  <c r="Z14" s="1"/>
  <c r="Q15"/>
  <c r="Z15" s="1"/>
  <c r="Q17"/>
  <c r="Z17"/>
  <c r="Q19"/>
  <c r="Z19"/>
  <c r="Q23"/>
  <c r="Z23" s="1"/>
  <c r="Q25"/>
  <c r="Z25" s="1"/>
  <c r="Q26"/>
  <c r="Z26"/>
  <c r="Q27"/>
  <c r="Z27"/>
  <c r="Q28"/>
  <c r="Z28" s="1"/>
  <c r="Q29"/>
  <c r="Z29" s="1"/>
  <c r="Q30"/>
  <c r="Z30"/>
  <c r="Q31"/>
  <c r="Z31" s="1"/>
  <c r="Q32"/>
  <c r="Z32" s="1"/>
  <c r="Q33"/>
  <c r="Z33" s="1"/>
  <c r="Q34"/>
  <c r="Z34"/>
  <c r="J35"/>
  <c r="AC35" s="1"/>
  <c r="Q35"/>
  <c r="Z35" s="1"/>
  <c r="Q36"/>
  <c r="Z36" s="1"/>
  <c r="Q37"/>
  <c r="Z37"/>
  <c r="J38"/>
  <c r="W38" s="1"/>
  <c r="Q38"/>
  <c r="Z38" s="1"/>
  <c r="J39"/>
  <c r="AC39" s="1"/>
  <c r="Q39"/>
  <c r="Z39"/>
  <c r="Q40"/>
  <c r="Z40"/>
  <c r="Q41"/>
  <c r="Z41" s="1"/>
  <c r="Q42"/>
  <c r="Z42" s="1"/>
  <c r="J43"/>
  <c r="AC43" s="1"/>
  <c r="Q43"/>
  <c r="Z43" s="1"/>
  <c r="Q44"/>
  <c r="Z44" s="1"/>
  <c r="Q45"/>
  <c r="Z45" s="1"/>
  <c r="Q46"/>
  <c r="Z46"/>
  <c r="P47"/>
  <c r="R47"/>
  <c r="T47"/>
  <c r="V47"/>
  <c r="P48"/>
  <c r="P49"/>
  <c r="F8"/>
  <c r="AA8" s="1"/>
  <c r="E13" i="11"/>
  <c r="E12"/>
  <c r="C9" i="12"/>
  <c r="BB12" i="3"/>
  <c r="F9" i="12"/>
  <c r="D9"/>
  <c r="E9"/>
  <c r="G9"/>
  <c r="K5" i="3"/>
  <c r="J5"/>
  <c r="BE10"/>
  <c r="BD13"/>
  <c r="BE13"/>
  <c r="BF13"/>
  <c r="BG13"/>
  <c r="BH13"/>
  <c r="BI13"/>
  <c r="BJ13"/>
  <c r="BK13"/>
  <c r="BM13"/>
  <c r="BM5" s="1"/>
  <c r="BN13"/>
  <c r="BO13"/>
  <c r="BP13"/>
  <c r="BS13"/>
  <c r="BS5" s="1"/>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G570" s="1"/>
  <c r="AC571"/>
  <c r="G571" s="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71"/>
  <c r="H572"/>
  <c r="G572" s="1"/>
  <c r="F5"/>
  <c r="G27" i="6"/>
  <c r="F34" i="21"/>
  <c r="AA34" s="1"/>
  <c r="H34"/>
  <c r="U34" s="1"/>
  <c r="F43"/>
  <c r="S43" s="1"/>
  <c r="H38"/>
  <c r="AB38" s="1"/>
  <c r="H43"/>
  <c r="AB43" s="1"/>
  <c r="F38"/>
  <c r="S38" s="1"/>
  <c r="F36"/>
  <c r="S36" s="1"/>
  <c r="F39"/>
  <c r="AA39" s="1"/>
  <c r="J40"/>
  <c r="W40" s="1"/>
  <c r="H35"/>
  <c r="AB35" s="1"/>
  <c r="J8"/>
  <c r="W8" s="1"/>
  <c r="J9"/>
  <c r="AC9" s="1"/>
  <c r="H8"/>
  <c r="U8" s="1"/>
  <c r="H10"/>
  <c r="U10" s="1"/>
  <c r="H39"/>
  <c r="AB39" s="1"/>
  <c r="J34"/>
  <c r="W34" s="1"/>
  <c r="H36"/>
  <c r="U36" s="1"/>
  <c r="F35"/>
  <c r="AA35" s="1"/>
  <c r="J33"/>
  <c r="W33" s="1"/>
  <c r="H33"/>
  <c r="U33" s="1"/>
  <c r="F33"/>
  <c r="J10"/>
  <c r="AC10" s="1"/>
  <c r="H26"/>
  <c r="AB26" s="1"/>
  <c r="H19"/>
  <c r="U19" s="1"/>
  <c r="J19"/>
  <c r="W19" s="1"/>
  <c r="J26"/>
  <c r="W26" s="1"/>
  <c r="F26"/>
  <c r="AA26" s="1"/>
  <c r="AB41"/>
  <c r="S41"/>
  <c r="AA41"/>
  <c r="W41"/>
  <c r="S10" i="39"/>
  <c r="U30" i="37"/>
  <c r="E103"/>
  <c r="F103" s="1"/>
  <c r="F39"/>
  <c r="S39"/>
  <c r="F29" i="36"/>
  <c r="AA29" s="1"/>
  <c r="F16"/>
  <c r="AA16" s="1"/>
  <c r="W23"/>
  <c r="W22"/>
  <c r="U26"/>
  <c r="AC31"/>
  <c r="J33"/>
  <c r="W33" s="1"/>
  <c r="AC27" i="35"/>
  <c r="U31"/>
  <c r="S31"/>
  <c r="W31"/>
  <c r="U34"/>
  <c r="F36" i="34"/>
  <c r="S36" s="1"/>
  <c r="H39" i="33"/>
  <c r="AB39" s="1"/>
  <c r="F26"/>
  <c r="AA26" s="1"/>
  <c r="W38"/>
  <c r="S40"/>
  <c r="W33"/>
  <c r="U38"/>
  <c r="H39" i="37"/>
  <c r="AB39"/>
  <c r="AB27" i="35"/>
  <c r="S10" i="40"/>
  <c r="W10"/>
  <c r="S11"/>
  <c r="U11"/>
  <c r="S36"/>
  <c r="U36"/>
  <c r="AC40" i="21"/>
  <c r="C29" i="39"/>
  <c r="S42"/>
  <c r="H32" i="33"/>
  <c r="AB32" s="1"/>
  <c r="F100" i="40"/>
  <c r="F86"/>
  <c r="G86" s="1"/>
  <c r="AA12" i="33"/>
  <c r="J27" i="36"/>
  <c r="W27"/>
  <c r="J34"/>
  <c r="W34" s="1"/>
  <c r="J30" i="35"/>
  <c r="W30" s="1"/>
  <c r="F22"/>
  <c r="S22" s="1"/>
  <c r="AA22"/>
  <c r="H10"/>
  <c r="U10"/>
  <c r="AC24" i="36"/>
  <c r="U29"/>
  <c r="U24"/>
  <c r="E85"/>
  <c r="F85"/>
  <c r="G85"/>
  <c r="H85" s="1"/>
  <c r="I85" s="1"/>
  <c r="J85" s="1"/>
  <c r="K85" s="1"/>
  <c r="L85"/>
  <c r="M85" s="1"/>
  <c r="J29"/>
  <c r="AC29" s="1"/>
  <c r="F12"/>
  <c r="S12"/>
  <c r="F24"/>
  <c r="AA24" s="1"/>
  <c r="F34"/>
  <c r="S34"/>
  <c r="S10"/>
  <c r="AB8"/>
  <c r="H16" i="35"/>
  <c r="U16" s="1"/>
  <c r="H33"/>
  <c r="AB33" s="1"/>
  <c r="W8"/>
  <c r="AC8"/>
  <c r="F35" i="37"/>
  <c r="E101"/>
  <c r="F101" s="1"/>
  <c r="G101" s="1"/>
  <c r="H101" s="1"/>
  <c r="I101" s="1"/>
  <c r="J101" s="1"/>
  <c r="K101" s="1"/>
  <c r="L101" s="1"/>
  <c r="M101" s="1"/>
  <c r="J34"/>
  <c r="W34" s="1"/>
  <c r="AA39"/>
  <c r="H43" i="34"/>
  <c r="U43" s="1"/>
  <c r="U42"/>
  <c r="E114"/>
  <c r="H36"/>
  <c r="U36" s="1"/>
  <c r="F33"/>
  <c r="S33" s="1"/>
  <c r="F19"/>
  <c r="AA19" s="1"/>
  <c r="J10"/>
  <c r="AC10" s="1"/>
  <c r="S38" i="33"/>
  <c r="E113"/>
  <c r="F19"/>
  <c r="S19" s="1"/>
  <c r="J19"/>
  <c r="AC19" s="1"/>
  <c r="W40"/>
  <c r="F125" i="21"/>
  <c r="G125"/>
  <c r="AB30" i="36"/>
  <c r="AC34"/>
  <c r="H29" i="35"/>
  <c r="U34" i="37"/>
  <c r="S34"/>
  <c r="AA34"/>
  <c r="AB42" i="34"/>
  <c r="J19"/>
  <c r="AC19" s="1"/>
  <c r="F113" i="33"/>
  <c r="G113"/>
  <c r="H113" s="1"/>
  <c r="I113" s="1"/>
  <c r="J113" s="1"/>
  <c r="K113" s="1"/>
  <c r="L113" s="1"/>
  <c r="M113" s="1"/>
  <c r="H37"/>
  <c r="AB37" s="1"/>
  <c r="AC42" i="34"/>
  <c r="W42"/>
  <c r="AA42"/>
  <c r="S42"/>
  <c r="J37" i="33"/>
  <c r="W37" s="1"/>
  <c r="J42" i="21"/>
  <c r="W42" s="1"/>
  <c r="J44" i="34"/>
  <c r="AC44" s="1"/>
  <c r="F44"/>
  <c r="S44" s="1"/>
  <c r="J10" i="35"/>
  <c r="W10" s="1"/>
  <c r="AL5" i="3"/>
  <c r="BQ13"/>
  <c r="BL572"/>
  <c r="AZ572"/>
  <c r="J14" i="21"/>
  <c r="F14"/>
  <c r="AA14"/>
  <c r="H14"/>
  <c r="U14"/>
  <c r="H28"/>
  <c r="AB28" s="1"/>
  <c r="F28"/>
  <c r="J28"/>
  <c r="AC28" s="1"/>
  <c r="F30"/>
  <c r="S30"/>
  <c r="J30"/>
  <c r="AC30" s="1"/>
  <c r="J44"/>
  <c r="AC44" s="1"/>
  <c r="H46"/>
  <c r="U46" s="1"/>
  <c r="AB46"/>
  <c r="J46"/>
  <c r="W46" s="1"/>
  <c r="F46"/>
  <c r="AA46"/>
  <c r="H28" i="33"/>
  <c r="F28"/>
  <c r="AA28" s="1"/>
  <c r="F33" i="35"/>
  <c r="S33" s="1"/>
  <c r="J33"/>
  <c r="W33" s="1"/>
  <c r="F30"/>
  <c r="AA30" s="1"/>
  <c r="I89"/>
  <c r="J89"/>
  <c r="K89" s="1"/>
  <c r="L89" s="1"/>
  <c r="M89" s="1"/>
  <c r="H10" i="36"/>
  <c r="AB10"/>
  <c r="F28"/>
  <c r="S28"/>
  <c r="F27"/>
  <c r="S27"/>
  <c r="H13" i="21"/>
  <c r="H27"/>
  <c r="AB27" s="1"/>
  <c r="J27"/>
  <c r="W27" s="1"/>
  <c r="F27"/>
  <c r="AA27" s="1"/>
  <c r="J29"/>
  <c r="AC29"/>
  <c r="H29"/>
  <c r="U29"/>
  <c r="F29"/>
  <c r="S29" s="1"/>
  <c r="F31"/>
  <c r="S31"/>
  <c r="J45"/>
  <c r="W45" s="1"/>
  <c r="J27" i="33"/>
  <c r="AC27" s="1"/>
  <c r="F27"/>
  <c r="F13"/>
  <c r="S13"/>
  <c r="W29"/>
  <c r="J31"/>
  <c r="AC31" s="1"/>
  <c r="H31"/>
  <c r="S31"/>
  <c r="J45"/>
  <c r="W45" s="1"/>
  <c r="F45"/>
  <c r="S45" s="1"/>
  <c r="F11" i="35"/>
  <c r="S11"/>
  <c r="H28" i="36"/>
  <c r="U28" s="1"/>
  <c r="H32"/>
  <c r="AB32" s="1"/>
  <c r="J32"/>
  <c r="J11"/>
  <c r="W11"/>
  <c r="H13"/>
  <c r="AB13" s="1"/>
  <c r="J13"/>
  <c r="W13"/>
  <c r="S13"/>
  <c r="E89" i="37"/>
  <c r="F89"/>
  <c r="G89" s="1"/>
  <c r="H89" s="1"/>
  <c r="I89" s="1"/>
  <c r="J89" s="1"/>
  <c r="K89" s="1"/>
  <c r="L89" s="1"/>
  <c r="M89" s="1"/>
  <c r="J29"/>
  <c r="W29"/>
  <c r="F29"/>
  <c r="AA29" s="1"/>
  <c r="AB36"/>
  <c r="F107"/>
  <c r="J37"/>
  <c r="AC37"/>
  <c r="H37"/>
  <c r="U37" s="1"/>
  <c r="H40"/>
  <c r="U40"/>
  <c r="J40"/>
  <c r="F40"/>
  <c r="AA40"/>
  <c r="H14" i="33"/>
  <c r="U14"/>
  <c r="F14"/>
  <c r="AA14" s="1"/>
  <c r="J14"/>
  <c r="AC14" s="1"/>
  <c r="H30"/>
  <c r="U30" s="1"/>
  <c r="F30"/>
  <c r="S30"/>
  <c r="H44"/>
  <c r="AB44" s="1"/>
  <c r="U44"/>
  <c r="J44"/>
  <c r="AC44"/>
  <c r="F44"/>
  <c r="S44" s="1"/>
  <c r="J46"/>
  <c r="H13" i="34"/>
  <c r="U13" s="1"/>
  <c r="J13"/>
  <c r="W13" s="1"/>
  <c r="F13"/>
  <c r="S13" s="1"/>
  <c r="AA13"/>
  <c r="J29"/>
  <c r="AC29" s="1"/>
  <c r="F29"/>
  <c r="S29" s="1"/>
  <c r="H29"/>
  <c r="U29" s="1"/>
  <c r="J31"/>
  <c r="W31" s="1"/>
  <c r="H31"/>
  <c r="AB31" s="1"/>
  <c r="F31"/>
  <c r="S31" s="1"/>
  <c r="H45"/>
  <c r="U45" s="1"/>
  <c r="H47"/>
  <c r="U47"/>
  <c r="F47"/>
  <c r="AA47" s="1"/>
  <c r="J47"/>
  <c r="AC47"/>
  <c r="F13" i="35"/>
  <c r="S13"/>
  <c r="J13"/>
  <c r="AC13" s="1"/>
  <c r="H13"/>
  <c r="U13" s="1"/>
  <c r="J25"/>
  <c r="AC25"/>
  <c r="F25"/>
  <c r="AA25"/>
  <c r="H25"/>
  <c r="AB25"/>
  <c r="J35"/>
  <c r="AC35" s="1"/>
  <c r="F35"/>
  <c r="S35"/>
  <c r="H35"/>
  <c r="U35"/>
  <c r="J25" i="36"/>
  <c r="W25" s="1"/>
  <c r="F25"/>
  <c r="AA25" s="1"/>
  <c r="H25"/>
  <c r="AB25"/>
  <c r="AB13" i="37"/>
  <c r="F13"/>
  <c r="S13"/>
  <c r="J13"/>
  <c r="AC13" s="1"/>
  <c r="F28"/>
  <c r="AA28"/>
  <c r="J28"/>
  <c r="AC28"/>
  <c r="H28"/>
  <c r="U28" s="1"/>
  <c r="H38"/>
  <c r="AB38" s="1"/>
  <c r="J38"/>
  <c r="AC38"/>
  <c r="F38"/>
  <c r="S38"/>
  <c r="F14"/>
  <c r="AA14"/>
  <c r="F27"/>
  <c r="AA27" s="1"/>
  <c r="J14"/>
  <c r="W14"/>
  <c r="J27"/>
  <c r="W27"/>
  <c r="AA38"/>
  <c r="W35" i="35"/>
  <c r="AB13"/>
  <c r="AB40" i="37"/>
  <c r="J36"/>
  <c r="AC36"/>
  <c r="G105"/>
  <c r="AB28" i="36"/>
  <c r="S46" i="21"/>
  <c r="W30"/>
  <c r="AB30"/>
  <c r="S28"/>
  <c r="AA28"/>
  <c r="AB14"/>
  <c r="W14"/>
  <c r="AC14"/>
  <c r="U36" i="37"/>
  <c r="AC13" i="36"/>
  <c r="AC28" i="33"/>
  <c r="G529" i="3"/>
  <c r="G521"/>
  <c r="G517"/>
  <c r="G513"/>
  <c r="G508"/>
  <c r="G499"/>
  <c r="G493"/>
  <c r="G485"/>
  <c r="G565"/>
  <c r="G561"/>
  <c r="G557"/>
  <c r="G549"/>
  <c r="G545"/>
  <c r="G539"/>
  <c r="BL569"/>
  <c r="BL561"/>
  <c r="BL553"/>
  <c r="BL545"/>
  <c r="BL535"/>
  <c r="BL527"/>
  <c r="BL519"/>
  <c r="BL511"/>
  <c r="BL501"/>
  <c r="BL483"/>
  <c r="BL563"/>
  <c r="BL559"/>
  <c r="AZ559" s="1"/>
  <c r="BL555"/>
  <c r="BL551"/>
  <c r="BL533"/>
  <c r="BL525"/>
  <c r="G518"/>
  <c r="G514"/>
  <c r="G510"/>
  <c r="BL503"/>
  <c r="BL495"/>
  <c r="G18"/>
  <c r="BA569"/>
  <c r="AZ569" s="1"/>
  <c r="BA565"/>
  <c r="BA561"/>
  <c r="AZ561" s="1"/>
  <c r="BA559"/>
  <c r="BA557"/>
  <c r="AZ557" s="1"/>
  <c r="BA555"/>
  <c r="AZ555" s="1"/>
  <c r="BA551"/>
  <c r="AZ551" s="1"/>
  <c r="BA545"/>
  <c r="BA543"/>
  <c r="BA541"/>
  <c r="AZ541" s="1"/>
  <c r="BA531"/>
  <c r="BA521"/>
  <c r="BA509"/>
  <c r="BA505"/>
  <c r="BA501"/>
  <c r="BA493"/>
  <c r="BA572"/>
  <c r="BA566"/>
  <c r="BA562"/>
  <c r="BA560"/>
  <c r="BA558"/>
  <c r="BA556"/>
  <c r="BA550"/>
  <c r="AZ550"/>
  <c r="BA546"/>
  <c r="BA544"/>
  <c r="BA540"/>
  <c r="BA536"/>
  <c r="BA532"/>
  <c r="BA524"/>
  <c r="BA520"/>
  <c r="BA516"/>
  <c r="BA512"/>
  <c r="BA508"/>
  <c r="BA502"/>
  <c r="BA498"/>
  <c r="BA492"/>
  <c r="AZ492"/>
  <c r="BA488"/>
  <c r="BA484"/>
  <c r="G566"/>
  <c r="G562"/>
  <c r="G560"/>
  <c r="G558"/>
  <c r="G556"/>
  <c r="G554"/>
  <c r="G550"/>
  <c r="G546"/>
  <c r="BL543"/>
  <c r="AZ543" s="1"/>
  <c r="BA542"/>
  <c r="AZ542" s="1"/>
  <c r="AC542"/>
  <c r="G542" s="1"/>
  <c r="BQ542"/>
  <c r="BL542"/>
  <c r="BQ568"/>
  <c r="BQ566"/>
  <c r="BQ564"/>
  <c r="BL564" s="1"/>
  <c r="BQ562"/>
  <c r="BL562" s="1"/>
  <c r="BQ560"/>
  <c r="BL560"/>
  <c r="BQ558"/>
  <c r="BL558" s="1"/>
  <c r="AZ558" s="1"/>
  <c r="BQ556"/>
  <c r="BL556" s="1"/>
  <c r="BQ554"/>
  <c r="BQ552"/>
  <c r="BL552"/>
  <c r="BQ550"/>
  <c r="BL550"/>
  <c r="BQ548"/>
  <c r="BL548" s="1"/>
  <c r="BQ546"/>
  <c r="BL546" s="1"/>
  <c r="BQ544"/>
  <c r="AZ544"/>
  <c r="G544"/>
  <c r="G538"/>
  <c r="G534"/>
  <c r="G530"/>
  <c r="G526"/>
  <c r="G522"/>
  <c r="BQ540"/>
  <c r="BL540"/>
  <c r="BQ538"/>
  <c r="BL538"/>
  <c r="BQ536"/>
  <c r="BQ534"/>
  <c r="BL534" s="1"/>
  <c r="BQ532"/>
  <c r="BQ530"/>
  <c r="BQ528"/>
  <c r="BQ526"/>
  <c r="BL526" s="1"/>
  <c r="BQ524"/>
  <c r="BL524" s="1"/>
  <c r="BQ522"/>
  <c r="BQ520"/>
  <c r="BL520"/>
  <c r="AZ520" s="1"/>
  <c r="BQ518"/>
  <c r="BQ516"/>
  <c r="BL516"/>
  <c r="BQ514"/>
  <c r="BL514" s="1"/>
  <c r="BQ512"/>
  <c r="BQ510"/>
  <c r="BL510"/>
  <c r="BQ508"/>
  <c r="BL508" s="1"/>
  <c r="AZ508" s="1"/>
  <c r="AC506"/>
  <c r="G506" s="1"/>
  <c r="BQ506"/>
  <c r="G502"/>
  <c r="G498"/>
  <c r="BQ504"/>
  <c r="BQ502"/>
  <c r="BL502"/>
  <c r="BQ500"/>
  <c r="BL500" s="1"/>
  <c r="BQ498"/>
  <c r="BQ496"/>
  <c r="AC494"/>
  <c r="BQ494"/>
  <c r="BL493"/>
  <c r="AZ493" s="1"/>
  <c r="G492"/>
  <c r="G488"/>
  <c r="G484"/>
  <c r="G20"/>
  <c r="BQ492"/>
  <c r="BQ490"/>
  <c r="BQ488"/>
  <c r="BL488" s="1"/>
  <c r="BQ486"/>
  <c r="BQ484"/>
  <c r="BL484" s="1"/>
  <c r="BQ482"/>
  <c r="BL482" s="1"/>
  <c r="BQ20"/>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c r="F23"/>
  <c r="S23" s="1"/>
  <c r="F79"/>
  <c r="AB27"/>
  <c r="F39" i="33"/>
  <c r="AA39" s="1"/>
  <c r="E123"/>
  <c r="F123" s="1"/>
  <c r="F42"/>
  <c r="AA42" s="1"/>
  <c r="F22" i="36"/>
  <c r="S22"/>
  <c r="H35" i="34"/>
  <c r="U35" s="1"/>
  <c r="F41"/>
  <c r="S41" s="1"/>
  <c r="H41"/>
  <c r="U41" s="1"/>
  <c r="J41"/>
  <c r="W41" s="1"/>
  <c r="F10" i="35"/>
  <c r="AA10"/>
  <c r="F24"/>
  <c r="AA24"/>
  <c r="H24"/>
  <c r="AB24" s="1"/>
  <c r="H23" i="37"/>
  <c r="AB23"/>
  <c r="J32"/>
  <c r="AC32"/>
  <c r="F36"/>
  <c r="S36" s="1"/>
  <c r="F37"/>
  <c r="AA37" s="1"/>
  <c r="U23"/>
  <c r="G123" i="33"/>
  <c r="H123" s="1"/>
  <c r="I123" s="1"/>
  <c r="J123" s="1"/>
  <c r="K123" s="1"/>
  <c r="L123" s="1"/>
  <c r="M123" s="1"/>
  <c r="H42"/>
  <c r="AB42" s="1"/>
  <c r="J43"/>
  <c r="AC43" s="1"/>
  <c r="G79" i="37"/>
  <c r="J23"/>
  <c r="W23"/>
  <c r="F17"/>
  <c r="AA17" s="1"/>
  <c r="D3" i="21"/>
  <c r="AC33" i="36"/>
  <c r="AC12" i="35"/>
  <c r="W23"/>
  <c r="AC23" i="37"/>
  <c r="S27"/>
  <c r="U39"/>
  <c r="AC8"/>
  <c r="S25"/>
  <c r="AB8" i="34"/>
  <c r="AA13" i="33"/>
  <c r="AC45"/>
  <c r="F43"/>
  <c r="AA43" s="1"/>
  <c r="S10" i="35"/>
  <c r="G107" i="37"/>
  <c r="H107"/>
  <c r="I107" s="1"/>
  <c r="J107" s="1"/>
  <c r="K107" s="1"/>
  <c r="L107" s="1"/>
  <c r="M107" s="1"/>
  <c r="F37" i="21"/>
  <c r="S37" s="1"/>
  <c r="J37"/>
  <c r="W37" s="1"/>
  <c r="H19" i="34"/>
  <c r="AB19" s="1"/>
  <c r="J10" i="37"/>
  <c r="W10" s="1"/>
  <c r="F36" i="35"/>
  <c r="S36" s="1"/>
  <c r="J9" i="37"/>
  <c r="W9"/>
  <c r="H9"/>
  <c r="U9"/>
  <c r="F9"/>
  <c r="S9" s="1"/>
  <c r="F11"/>
  <c r="S11"/>
  <c r="J12"/>
  <c r="AC12"/>
  <c r="H12"/>
  <c r="AB12" s="1"/>
  <c r="F12"/>
  <c r="AA12" s="1"/>
  <c r="H15"/>
  <c r="U15" s="1"/>
  <c r="E94"/>
  <c r="F31"/>
  <c r="S31" s="1"/>
  <c r="F94"/>
  <c r="G94" s="1"/>
  <c r="H94" s="1"/>
  <c r="I94" s="1"/>
  <c r="J94" s="1"/>
  <c r="K94" s="1"/>
  <c r="L94" s="1"/>
  <c r="M94" s="1"/>
  <c r="H31"/>
  <c r="AB31"/>
  <c r="J15"/>
  <c r="W15"/>
  <c r="U12"/>
  <c r="AB10"/>
  <c r="J11"/>
  <c r="W11"/>
  <c r="U31"/>
  <c r="E90" i="40"/>
  <c r="F90" s="1"/>
  <c r="G90" s="1"/>
  <c r="F21"/>
  <c r="S21"/>
  <c r="W36"/>
  <c r="J21"/>
  <c r="AC21" s="1"/>
  <c r="S27" i="31"/>
  <c r="AZ540" i="3"/>
  <c r="AZ560"/>
  <c r="G483"/>
  <c r="G515"/>
  <c r="G507"/>
  <c r="G501"/>
  <c r="BL15"/>
  <c r="J57" i="39"/>
  <c r="H13" i="40"/>
  <c r="U13"/>
  <c r="I4" i="4"/>
  <c r="K141" i="21"/>
  <c r="K143"/>
  <c r="K144"/>
  <c r="I59" i="40"/>
  <c r="C59" s="1"/>
  <c r="I60"/>
  <c r="C60" s="1"/>
  <c r="W9" i="33"/>
  <c r="G297" i="3"/>
  <c r="BL298"/>
  <c r="G299"/>
  <c r="BL300"/>
  <c r="AZ300" s="1"/>
  <c r="BA302"/>
  <c r="AZ302"/>
  <c r="BA303"/>
  <c r="AZ303" s="1"/>
  <c r="BL303"/>
  <c r="G304"/>
  <c r="BA305"/>
  <c r="G321"/>
  <c r="BL322"/>
  <c r="G323"/>
  <c r="BL324"/>
  <c r="BA326"/>
  <c r="AZ326"/>
  <c r="BA327"/>
  <c r="BL327"/>
  <c r="AZ327"/>
  <c r="G328"/>
  <c r="BA329"/>
  <c r="G337"/>
  <c r="BL338"/>
  <c r="AZ338" s="1"/>
  <c r="G339"/>
  <c r="BL340"/>
  <c r="BA342"/>
  <c r="AZ342" s="1"/>
  <c r="BA343"/>
  <c r="AZ343" s="1"/>
  <c r="BL343"/>
  <c r="G344"/>
  <c r="BA345"/>
  <c r="G353"/>
  <c r="BL354"/>
  <c r="G355"/>
  <c r="BL356"/>
  <c r="G357"/>
  <c r="BL358"/>
  <c r="G359"/>
  <c r="BA360"/>
  <c r="AZ360"/>
  <c r="BA361"/>
  <c r="BL361"/>
  <c r="G362"/>
  <c r="BA363"/>
  <c r="AZ363" s="1"/>
  <c r="G371"/>
  <c r="BL372"/>
  <c r="G373"/>
  <c r="BL374"/>
  <c r="BA376"/>
  <c r="AZ376"/>
  <c r="BA377"/>
  <c r="AZ377" s="1"/>
  <c r="BL377"/>
  <c r="G378"/>
  <c r="BA379"/>
  <c r="BA114"/>
  <c r="AZ114" s="1"/>
  <c r="BL115"/>
  <c r="AZ115"/>
  <c r="G116"/>
  <c r="BA118"/>
  <c r="AZ118"/>
  <c r="BL119"/>
  <c r="AZ119"/>
  <c r="G120"/>
  <c r="BA122"/>
  <c r="AZ122"/>
  <c r="BL123"/>
  <c r="AZ123" s="1"/>
  <c r="G124"/>
  <c r="BA126"/>
  <c r="AZ126"/>
  <c r="BL127"/>
  <c r="AZ127" s="1"/>
  <c r="G128"/>
  <c r="BA130"/>
  <c r="AZ130"/>
  <c r="BL131"/>
  <c r="G132"/>
  <c r="BA134"/>
  <c r="AZ134"/>
  <c r="BL135"/>
  <c r="AZ135"/>
  <c r="G136"/>
  <c r="BA138"/>
  <c r="BL139"/>
  <c r="AZ139"/>
  <c r="G140"/>
  <c r="BA142"/>
  <c r="AZ142"/>
  <c r="BL143"/>
  <c r="AZ143" s="1"/>
  <c r="G144"/>
  <c r="BA146"/>
  <c r="AZ146" s="1"/>
  <c r="BL147"/>
  <c r="G148"/>
  <c r="BA150"/>
  <c r="AZ150"/>
  <c r="BL151"/>
  <c r="BA153"/>
  <c r="AZ153"/>
  <c r="BL154"/>
  <c r="G155"/>
  <c r="BA157"/>
  <c r="AZ157"/>
  <c r="BL158"/>
  <c r="G159"/>
  <c r="BA161"/>
  <c r="AZ161"/>
  <c r="BL162"/>
  <c r="AZ162" s="1"/>
  <c r="G163"/>
  <c r="BA165"/>
  <c r="BL166"/>
  <c r="G167"/>
  <c r="BA169"/>
  <c r="AZ169"/>
  <c r="BL170"/>
  <c r="AZ170" s="1"/>
  <c r="G171"/>
  <c r="BA173"/>
  <c r="AZ173"/>
  <c r="BL174"/>
  <c r="G175"/>
  <c r="BA178"/>
  <c r="BL179"/>
  <c r="G180"/>
  <c r="AZ23"/>
  <c r="AZ27"/>
  <c r="AZ31"/>
  <c r="AZ35"/>
  <c r="AZ39"/>
  <c r="AZ47"/>
  <c r="G537"/>
  <c r="BL181"/>
  <c r="G182"/>
  <c r="BA184"/>
  <c r="AZ184" s="1"/>
  <c r="BL185"/>
  <c r="G186"/>
  <c r="BA188"/>
  <c r="AZ188"/>
  <c r="BL189"/>
  <c r="AZ189"/>
  <c r="G190"/>
  <c r="BA192"/>
  <c r="AZ192"/>
  <c r="BL193"/>
  <c r="AZ193" s="1"/>
  <c r="G194"/>
  <c r="BA196"/>
  <c r="BL197"/>
  <c r="G198"/>
  <c r="BA200"/>
  <c r="AZ200" s="1"/>
  <c r="BL201"/>
  <c r="AZ201" s="1"/>
  <c r="AZ70"/>
  <c r="AZ78"/>
  <c r="AZ86"/>
  <c r="AZ94"/>
  <c r="AZ98"/>
  <c r="AZ102"/>
  <c r="G491"/>
  <c r="BA298"/>
  <c r="AZ298"/>
  <c r="BA299"/>
  <c r="AZ299"/>
  <c r="BL299"/>
  <c r="G300"/>
  <c r="G303"/>
  <c r="BL304"/>
  <c r="BA306"/>
  <c r="AZ306"/>
  <c r="BA307"/>
  <c r="AZ307" s="1"/>
  <c r="BL307"/>
  <c r="G308"/>
  <c r="G319"/>
  <c r="BL320"/>
  <c r="BA322"/>
  <c r="AZ322" s="1"/>
  <c r="BA323"/>
  <c r="AZ323" s="1"/>
  <c r="BL323"/>
  <c r="G324"/>
  <c r="G327"/>
  <c r="BL328"/>
  <c r="BA330"/>
  <c r="AZ330"/>
  <c r="BA331"/>
  <c r="BL331"/>
  <c r="G332"/>
  <c r="G335"/>
  <c r="BL336"/>
  <c r="BA338"/>
  <c r="BA339"/>
  <c r="BL339"/>
  <c r="AZ339" s="1"/>
  <c r="G340"/>
  <c r="G343"/>
  <c r="BL344"/>
  <c r="BA346"/>
  <c r="AZ346" s="1"/>
  <c r="BA347"/>
  <c r="AZ347" s="1"/>
  <c r="BL347"/>
  <c r="G348"/>
  <c r="G351"/>
  <c r="BL352"/>
  <c r="BA354"/>
  <c r="AZ354" s="1"/>
  <c r="BA355"/>
  <c r="BL355"/>
  <c r="G356"/>
  <c r="BA358"/>
  <c r="AZ358" s="1"/>
  <c r="BA359"/>
  <c r="BL359"/>
  <c r="G360"/>
  <c r="G361"/>
  <c r="BL362"/>
  <c r="BA364"/>
  <c r="AZ364"/>
  <c r="BA365"/>
  <c r="AZ365" s="1"/>
  <c r="BL365"/>
  <c r="G366"/>
  <c r="G369"/>
  <c r="BL370"/>
  <c r="AZ370" s="1"/>
  <c r="BA372"/>
  <c r="AZ372"/>
  <c r="BA373"/>
  <c r="AZ373" s="1"/>
  <c r="BL373"/>
  <c r="G374"/>
  <c r="G377"/>
  <c r="BL378"/>
  <c r="BA380"/>
  <c r="AZ380"/>
  <c r="BA381"/>
  <c r="BL381"/>
  <c r="G382"/>
  <c r="G385"/>
  <c r="AZ154"/>
  <c r="AZ158"/>
  <c r="G523"/>
  <c r="BL297"/>
  <c r="AZ297"/>
  <c r="G298"/>
  <c r="BA300"/>
  <c r="BL301"/>
  <c r="AZ301" s="1"/>
  <c r="G302"/>
  <c r="BA304"/>
  <c r="AZ304" s="1"/>
  <c r="BL305"/>
  <c r="AZ305" s="1"/>
  <c r="G306"/>
  <c r="BA308"/>
  <c r="AZ308"/>
  <c r="BL309"/>
  <c r="G310"/>
  <c r="BA310"/>
  <c r="AZ310" s="1"/>
  <c r="BL311"/>
  <c r="AZ311" s="1"/>
  <c r="G312"/>
  <c r="BA312"/>
  <c r="AZ312"/>
  <c r="BL313"/>
  <c r="G314"/>
  <c r="BA314"/>
  <c r="AZ314" s="1"/>
  <c r="BL315"/>
  <c r="AZ315" s="1"/>
  <c r="G316"/>
  <c r="BA316"/>
  <c r="AZ316"/>
  <c r="BL317"/>
  <c r="AZ317" s="1"/>
  <c r="G318"/>
  <c r="BA320"/>
  <c r="AZ320" s="1"/>
  <c r="BL321"/>
  <c r="AZ321" s="1"/>
  <c r="G322"/>
  <c r="BA324"/>
  <c r="AZ324"/>
  <c r="BL325"/>
  <c r="G326"/>
  <c r="BA328"/>
  <c r="AZ328" s="1"/>
  <c r="BL329"/>
  <c r="AZ329" s="1"/>
  <c r="G330"/>
  <c r="BA332"/>
  <c r="AZ332"/>
  <c r="BL333"/>
  <c r="G334"/>
  <c r="BA336"/>
  <c r="AZ336" s="1"/>
  <c r="BL337"/>
  <c r="AZ337" s="1"/>
  <c r="G338"/>
  <c r="BA340"/>
  <c r="AZ340"/>
  <c r="BL341"/>
  <c r="G342"/>
  <c r="BA344"/>
  <c r="AZ344" s="1"/>
  <c r="BL345"/>
  <c r="AZ345" s="1"/>
  <c r="G346"/>
  <c r="BA348"/>
  <c r="AZ348"/>
  <c r="BL349"/>
  <c r="G350"/>
  <c r="BA352"/>
  <c r="AZ352" s="1"/>
  <c r="BL353"/>
  <c r="AZ353" s="1"/>
  <c r="G354"/>
  <c r="BA356"/>
  <c r="AZ356"/>
  <c r="BL357"/>
  <c r="G358"/>
  <c r="BA362"/>
  <c r="AZ362" s="1"/>
  <c r="BL363"/>
  <c r="G364"/>
  <c r="BA366"/>
  <c r="AZ366"/>
  <c r="BL367"/>
  <c r="AZ205"/>
  <c r="AZ209"/>
  <c r="AZ217"/>
  <c r="AZ221"/>
  <c r="AZ233"/>
  <c r="AZ237"/>
  <c r="AZ309"/>
  <c r="AZ325"/>
  <c r="AZ333"/>
  <c r="AZ341"/>
  <c r="AZ349"/>
  <c r="AZ357"/>
  <c r="AZ367"/>
  <c r="G368"/>
  <c r="BA370"/>
  <c r="BL371"/>
  <c r="AZ371"/>
  <c r="G372"/>
  <c r="BA374"/>
  <c r="AZ374" s="1"/>
  <c r="BL375"/>
  <c r="G376"/>
  <c r="BA378"/>
  <c r="AZ378"/>
  <c r="BL379"/>
  <c r="AZ379" s="1"/>
  <c r="G380"/>
  <c r="BA382"/>
  <c r="AZ382"/>
  <c r="BL383"/>
  <c r="G384"/>
  <c r="AZ249"/>
  <c r="AZ253"/>
  <c r="AZ261"/>
  <c r="AZ265"/>
  <c r="AZ375"/>
  <c r="AZ383"/>
  <c r="AZ274"/>
  <c r="AZ282"/>
  <c r="AZ290"/>
  <c r="AZ295"/>
  <c r="AZ313"/>
  <c r="AZ319"/>
  <c r="AZ331"/>
  <c r="AZ335"/>
  <c r="AZ351"/>
  <c r="AZ361"/>
  <c r="AZ369"/>
  <c r="AZ385"/>
  <c r="AZ398"/>
  <c r="AZ410"/>
  <c r="AZ418"/>
  <c r="AZ422"/>
  <c r="AZ426"/>
  <c r="AZ442"/>
  <c r="AZ446"/>
  <c r="AZ450"/>
  <c r="AZ455"/>
  <c r="AZ459"/>
  <c r="AZ463"/>
  <c r="AZ467"/>
  <c r="AZ471"/>
  <c r="AZ475"/>
  <c r="AZ479"/>
  <c r="F33" i="46"/>
  <c r="C12"/>
  <c r="AB16" i="35"/>
  <c r="AA13" i="40"/>
  <c r="E78"/>
  <c r="F78"/>
  <c r="G78" s="1"/>
  <c r="H78" s="1"/>
  <c r="I78" s="1"/>
  <c r="J78" s="1"/>
  <c r="K78" s="1"/>
  <c r="L78" s="1"/>
  <c r="M78" s="1"/>
  <c r="R16" i="4"/>
  <c r="P16"/>
  <c r="D3" i="35"/>
  <c r="G4" i="4"/>
  <c r="J16" i="35"/>
  <c r="W16" s="1"/>
  <c r="AC26" i="36"/>
  <c r="W25" i="35"/>
  <c r="AA36"/>
  <c r="H11" i="37"/>
  <c r="AB11"/>
  <c r="W37"/>
  <c r="AA30" i="33"/>
  <c r="AA36" i="37"/>
  <c r="AB17"/>
  <c r="AZ516" i="3"/>
  <c r="AZ524"/>
  <c r="AZ532"/>
  <c r="AZ546"/>
  <c r="AC29" i="33"/>
  <c r="AA45"/>
  <c r="AC11" i="36"/>
  <c r="AC10"/>
  <c r="AB45" i="34"/>
  <c r="AC14" i="37"/>
  <c r="AB35" i="35"/>
  <c r="S25"/>
  <c r="W44" i="33"/>
  <c r="AC30"/>
  <c r="W30"/>
  <c r="AC29" i="37"/>
  <c r="W32" i="36"/>
  <c r="AC32"/>
  <c r="U28" i="33"/>
  <c r="AB28"/>
  <c r="J33" i="34"/>
  <c r="W33" s="1"/>
  <c r="J40"/>
  <c r="W40" s="1"/>
  <c r="F16" i="35"/>
  <c r="AA16"/>
  <c r="S24" i="36"/>
  <c r="J35" i="34"/>
  <c r="W35" s="1"/>
  <c r="F107"/>
  <c r="G107"/>
  <c r="H107" s="1"/>
  <c r="I107" s="1"/>
  <c r="J107" s="1"/>
  <c r="K107" s="1"/>
  <c r="L107" s="1"/>
  <c r="M107" s="1"/>
  <c r="S30" i="36"/>
  <c r="H16"/>
  <c r="AB16" s="1"/>
  <c r="G103" i="37"/>
  <c r="H103"/>
  <c r="I103" s="1"/>
  <c r="J103" s="1"/>
  <c r="K103" s="1"/>
  <c r="L103" s="1"/>
  <c r="M103" s="1"/>
  <c r="H35"/>
  <c r="AB35"/>
  <c r="S26" i="21"/>
  <c r="U26"/>
  <c r="AA33"/>
  <c r="S33"/>
  <c r="AC5" i="3"/>
  <c r="F17" i="21"/>
  <c r="S17" s="1"/>
  <c r="H17"/>
  <c r="AB17" s="1"/>
  <c r="J17"/>
  <c r="AC17" s="1"/>
  <c r="H37"/>
  <c r="U37" s="1"/>
  <c r="F40"/>
  <c r="S40"/>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S12" i="35"/>
  <c r="AB28"/>
  <c r="U28"/>
  <c r="J13" i="33"/>
  <c r="W13"/>
  <c r="H13"/>
  <c r="U13" s="1"/>
  <c r="H29"/>
  <c r="F29"/>
  <c r="AA29"/>
  <c r="J12" i="34"/>
  <c r="AC12" s="1"/>
  <c r="H12"/>
  <c r="AB12" s="1"/>
  <c r="F12"/>
  <c r="S12" s="1"/>
  <c r="H30"/>
  <c r="AB30" s="1"/>
  <c r="F30"/>
  <c r="AA30" s="1"/>
  <c r="J30"/>
  <c r="W30" s="1"/>
  <c r="H32"/>
  <c r="AB32" s="1"/>
  <c r="F32"/>
  <c r="J32"/>
  <c r="W32"/>
  <c r="H46"/>
  <c r="AB46"/>
  <c r="F46"/>
  <c r="AA46" s="1"/>
  <c r="J46"/>
  <c r="AC46" s="1"/>
  <c r="H11" i="35"/>
  <c r="J11"/>
  <c r="AC11" s="1"/>
  <c r="F96" i="37"/>
  <c r="H32"/>
  <c r="AB32" s="1"/>
  <c r="F43" i="39"/>
  <c r="AA43" s="1"/>
  <c r="H43"/>
  <c r="U43" s="1"/>
  <c r="J43"/>
  <c r="AC43" s="1"/>
  <c r="F99" i="37"/>
  <c r="AC27"/>
  <c r="U25" i="35"/>
  <c r="AC40" i="37"/>
  <c r="W40"/>
  <c r="S28" i="33"/>
  <c r="S14" i="21"/>
  <c r="AB29" i="35"/>
  <c r="U29"/>
  <c r="AC34" i="37"/>
  <c r="S35"/>
  <c r="AA35"/>
  <c r="AB10" i="35"/>
  <c r="AB34" i="21"/>
  <c r="BL571" i="3"/>
  <c r="BA571"/>
  <c r="AZ571"/>
  <c r="BL570"/>
  <c r="F42" i="21"/>
  <c r="AA42" s="1"/>
  <c r="AB40" i="33"/>
  <c r="U40"/>
  <c r="S35" i="34"/>
  <c r="E90"/>
  <c r="F90" s="1"/>
  <c r="G90" s="1"/>
  <c r="H90" s="1"/>
  <c r="I90" s="1"/>
  <c r="J90" s="1"/>
  <c r="K90" s="1"/>
  <c r="L90" s="1"/>
  <c r="M90" s="1"/>
  <c r="H27"/>
  <c r="AB27" s="1"/>
  <c r="AB8" i="35"/>
  <c r="U8"/>
  <c r="S9"/>
  <c r="J14"/>
  <c r="AC14" s="1"/>
  <c r="F14"/>
  <c r="H14"/>
  <c r="E80"/>
  <c r="E94"/>
  <c r="F94" s="1"/>
  <c r="G94" s="1"/>
  <c r="H94" s="1"/>
  <c r="I94" s="1"/>
  <c r="J94"/>
  <c r="K94" s="1"/>
  <c r="L94" s="1"/>
  <c r="M94" s="1"/>
  <c r="J32"/>
  <c r="AC32"/>
  <c r="H11" i="36"/>
  <c r="AB11"/>
  <c r="F11"/>
  <c r="W16"/>
  <c r="AC16"/>
  <c r="E78"/>
  <c r="F78"/>
  <c r="G78" s="1"/>
  <c r="H78" s="1"/>
  <c r="I78" s="1"/>
  <c r="J78" s="1"/>
  <c r="K78" s="1"/>
  <c r="L78" s="1"/>
  <c r="M78" s="1"/>
  <c r="F26"/>
  <c r="S26" s="1"/>
  <c r="U34"/>
  <c r="AB34"/>
  <c r="H33"/>
  <c r="U33"/>
  <c r="F33"/>
  <c r="AA33" s="1"/>
  <c r="H27"/>
  <c r="AB27" s="1"/>
  <c r="AA31"/>
  <c r="AC26" i="37"/>
  <c r="W26"/>
  <c r="AB29"/>
  <c r="AA30"/>
  <c r="S30"/>
  <c r="AC30"/>
  <c r="AC31"/>
  <c r="W31"/>
  <c r="AB14"/>
  <c r="F17" i="39"/>
  <c r="AA17" s="1"/>
  <c r="H17"/>
  <c r="U17" s="1"/>
  <c r="J17"/>
  <c r="W17" s="1"/>
  <c r="F21"/>
  <c r="S21" s="1"/>
  <c r="H21"/>
  <c r="J21"/>
  <c r="W21" s="1"/>
  <c r="F33"/>
  <c r="H33"/>
  <c r="U33" s="1"/>
  <c r="J33"/>
  <c r="W33" s="1"/>
  <c r="F44"/>
  <c r="S44" s="1"/>
  <c r="H44"/>
  <c r="U44" s="1"/>
  <c r="J44"/>
  <c r="W44" s="1"/>
  <c r="E128"/>
  <c r="F128"/>
  <c r="G128" s="1"/>
  <c r="H128" s="1"/>
  <c r="I128" s="1"/>
  <c r="J128" s="1"/>
  <c r="K128" s="1"/>
  <c r="L128" s="1"/>
  <c r="M128" s="1"/>
  <c r="F46"/>
  <c r="S46" s="1"/>
  <c r="H46"/>
  <c r="U46" s="1"/>
  <c r="J46"/>
  <c r="W46"/>
  <c r="F29"/>
  <c r="AA29" s="1"/>
  <c r="E103"/>
  <c r="F103" s="1"/>
  <c r="G103" s="1"/>
  <c r="H29"/>
  <c r="U29" s="1"/>
  <c r="F39"/>
  <c r="H39"/>
  <c r="AB39"/>
  <c r="J39"/>
  <c r="J29" i="35"/>
  <c r="AC29"/>
  <c r="F29"/>
  <c r="S29"/>
  <c r="W30" i="36"/>
  <c r="AC30"/>
  <c r="F37" i="39"/>
  <c r="S37" s="1"/>
  <c r="H37"/>
  <c r="U37"/>
  <c r="J37"/>
  <c r="W37"/>
  <c r="BL568" i="3"/>
  <c r="BA568"/>
  <c r="AZ568"/>
  <c r="BL567"/>
  <c r="BA567"/>
  <c r="AZ567"/>
  <c r="BL566"/>
  <c r="AZ566"/>
  <c r="BL565"/>
  <c r="AZ565" s="1"/>
  <c r="BA564"/>
  <c r="AZ564" s="1"/>
  <c r="BA563"/>
  <c r="AZ563"/>
  <c r="BL554"/>
  <c r="AZ554"/>
  <c r="BA553"/>
  <c r="AZ553" s="1"/>
  <c r="BA552"/>
  <c r="AZ552" s="1"/>
  <c r="BL549"/>
  <c r="BA549"/>
  <c r="AZ549" s="1"/>
  <c r="BA548"/>
  <c r="BL547"/>
  <c r="BA547"/>
  <c r="BL539"/>
  <c r="BA539"/>
  <c r="AZ539" s="1"/>
  <c r="BA538"/>
  <c r="AZ538" s="1"/>
  <c r="BL537"/>
  <c r="BA537"/>
  <c r="BL536"/>
  <c r="AZ536"/>
  <c r="BA535"/>
  <c r="AZ535" s="1"/>
  <c r="BA534"/>
  <c r="AZ534" s="1"/>
  <c r="BA533"/>
  <c r="AZ533"/>
  <c r="BL531"/>
  <c r="AZ531"/>
  <c r="BL530"/>
  <c r="BA530"/>
  <c r="BL529"/>
  <c r="BA529"/>
  <c r="BL528"/>
  <c r="AZ528"/>
  <c r="BA527"/>
  <c r="AZ527"/>
  <c r="BA526"/>
  <c r="BA525"/>
  <c r="AZ525" s="1"/>
  <c r="BL523"/>
  <c r="BA523"/>
  <c r="AZ523" s="1"/>
  <c r="BL522"/>
  <c r="BA522"/>
  <c r="AZ522" s="1"/>
  <c r="BL521"/>
  <c r="AZ521" s="1"/>
  <c r="BA519"/>
  <c r="AZ519"/>
  <c r="BL518"/>
  <c r="BA518"/>
  <c r="AZ518" s="1"/>
  <c r="BL517"/>
  <c r="BA517"/>
  <c r="AZ517" s="1"/>
  <c r="BL515"/>
  <c r="BA515"/>
  <c r="AZ515" s="1"/>
  <c r="BA514"/>
  <c r="AZ514"/>
  <c r="BL513"/>
  <c r="BA513"/>
  <c r="AZ513"/>
  <c r="BL512"/>
  <c r="AZ512"/>
  <c r="BA511"/>
  <c r="AZ511" s="1"/>
  <c r="BA510"/>
  <c r="AZ510" s="1"/>
  <c r="BL509"/>
  <c r="AZ509"/>
  <c r="BL507"/>
  <c r="BA507"/>
  <c r="AZ507"/>
  <c r="BL506"/>
  <c r="BA506"/>
  <c r="AZ506" s="1"/>
  <c r="BL505"/>
  <c r="AZ505"/>
  <c r="BL504"/>
  <c r="BA504"/>
  <c r="BA503"/>
  <c r="AZ503" s="1"/>
  <c r="BA500"/>
  <c r="AZ500" s="1"/>
  <c r="BL499"/>
  <c r="BA499"/>
  <c r="AZ499" s="1"/>
  <c r="BL498"/>
  <c r="AZ498"/>
  <c r="BL497"/>
  <c r="BA497"/>
  <c r="BL496"/>
  <c r="BA496"/>
  <c r="AZ496"/>
  <c r="BA495"/>
  <c r="AZ495"/>
  <c r="BL494"/>
  <c r="BA494"/>
  <c r="AZ494"/>
  <c r="G494"/>
  <c r="BA491"/>
  <c r="AZ491"/>
  <c r="BL490"/>
  <c r="BA490"/>
  <c r="AZ490"/>
  <c r="BL489"/>
  <c r="BA489"/>
  <c r="AZ489" s="1"/>
  <c r="BL487"/>
  <c r="AZ487"/>
  <c r="BL486"/>
  <c r="BA486"/>
  <c r="BA485"/>
  <c r="AZ485" s="1"/>
  <c r="BA483"/>
  <c r="AZ483" s="1"/>
  <c r="BA482"/>
  <c r="AZ482"/>
  <c r="BL481"/>
  <c r="BA481"/>
  <c r="AZ481" s="1"/>
  <c r="F114" i="34"/>
  <c r="G114" s="1"/>
  <c r="H114" s="1"/>
  <c r="I114" s="1"/>
  <c r="J114" s="1"/>
  <c r="K114" s="1"/>
  <c r="L114" s="1"/>
  <c r="M114" s="1"/>
  <c r="H38"/>
  <c r="AB38" s="1"/>
  <c r="H30" i="40"/>
  <c r="AB30"/>
  <c r="G100"/>
  <c r="J30"/>
  <c r="AC30"/>
  <c r="F38"/>
  <c r="AA38"/>
  <c r="AB33" i="21"/>
  <c r="AB8"/>
  <c r="S34"/>
  <c r="AB8" i="33"/>
  <c r="U8"/>
  <c r="E106"/>
  <c r="H34"/>
  <c r="F34"/>
  <c r="S34" s="1"/>
  <c r="E121"/>
  <c r="F41"/>
  <c r="AA41" s="1"/>
  <c r="AC34" i="34"/>
  <c r="AA39"/>
  <c r="E78"/>
  <c r="F15"/>
  <c r="S15" s="1"/>
  <c r="AC28" i="35"/>
  <c r="W28"/>
  <c r="J20"/>
  <c r="AC20" s="1"/>
  <c r="E72"/>
  <c r="F72"/>
  <c r="G72" s="1"/>
  <c r="H22"/>
  <c r="H23"/>
  <c r="F23"/>
  <c r="AA23" s="1"/>
  <c r="AB36"/>
  <c r="U36"/>
  <c r="W12" i="36"/>
  <c r="AC12"/>
  <c r="U31"/>
  <c r="S8" i="37"/>
  <c r="AA8"/>
  <c r="F14" i="39"/>
  <c r="AA14" s="1"/>
  <c r="H14"/>
  <c r="AB14" s="1"/>
  <c r="J14"/>
  <c r="F16"/>
  <c r="AA16"/>
  <c r="H16"/>
  <c r="U16"/>
  <c r="J16"/>
  <c r="AC16" s="1"/>
  <c r="J27"/>
  <c r="AC27" s="1"/>
  <c r="F15" i="40"/>
  <c r="AA15" s="1"/>
  <c r="J15"/>
  <c r="H15"/>
  <c r="AB15"/>
  <c r="E92"/>
  <c r="F92" s="1"/>
  <c r="G92" s="1"/>
  <c r="H23"/>
  <c r="U23" s="1"/>
  <c r="H41"/>
  <c r="AB41"/>
  <c r="F41"/>
  <c r="AA41"/>
  <c r="J41"/>
  <c r="AC41" s="1"/>
  <c r="F15" i="39"/>
  <c r="AA15"/>
  <c r="H15"/>
  <c r="U15"/>
  <c r="J15"/>
  <c r="AC15" s="1"/>
  <c r="J25"/>
  <c r="AC25" s="1"/>
  <c r="F45"/>
  <c r="AA45" s="1"/>
  <c r="H45"/>
  <c r="U45" s="1"/>
  <c r="J45"/>
  <c r="AC45"/>
  <c r="F47"/>
  <c r="AA47"/>
  <c r="H47"/>
  <c r="AB47" s="1"/>
  <c r="J47"/>
  <c r="F41"/>
  <c r="AA41" s="1"/>
  <c r="H41"/>
  <c r="AB41" s="1"/>
  <c r="J41"/>
  <c r="AC41" s="1"/>
  <c r="E94" i="40"/>
  <c r="F94" s="1"/>
  <c r="J25"/>
  <c r="AC25" s="1"/>
  <c r="J32"/>
  <c r="AC32" s="1"/>
  <c r="H32"/>
  <c r="U32" s="1"/>
  <c r="H33"/>
  <c r="AB33"/>
  <c r="F33"/>
  <c r="AA33" s="1"/>
  <c r="J33"/>
  <c r="AC33" s="1"/>
  <c r="H35"/>
  <c r="AB35" s="1"/>
  <c r="F35"/>
  <c r="AA35"/>
  <c r="J35"/>
  <c r="AC35" s="1"/>
  <c r="J38" i="39"/>
  <c r="W38" s="1"/>
  <c r="H38"/>
  <c r="U38" s="1"/>
  <c r="J16" i="40"/>
  <c r="W16"/>
  <c r="J14"/>
  <c r="W14" s="1"/>
  <c r="H42"/>
  <c r="H40"/>
  <c r="U40"/>
  <c r="H34"/>
  <c r="U34" s="1"/>
  <c r="AZ407" i="3"/>
  <c r="AZ423"/>
  <c r="AZ431"/>
  <c r="AZ439"/>
  <c r="AZ454"/>
  <c r="B41" i="1"/>
  <c r="F34" i="44" s="1"/>
  <c r="J42" i="40"/>
  <c r="AC42"/>
  <c r="J40"/>
  <c r="AC40"/>
  <c r="J34"/>
  <c r="W34" s="1"/>
  <c r="H16"/>
  <c r="H14"/>
  <c r="U14"/>
  <c r="F32"/>
  <c r="AA32"/>
  <c r="AZ401" i="3"/>
  <c r="AZ428"/>
  <c r="AZ433"/>
  <c r="AZ436"/>
  <c r="AZ441"/>
  <c r="AZ444"/>
  <c r="AZ449"/>
  <c r="AZ452"/>
  <c r="F58" i="46"/>
  <c r="H61" s="1"/>
  <c r="AZ456" i="3"/>
  <c r="AZ458"/>
  <c r="AZ461"/>
  <c r="AZ466"/>
  <c r="AZ469"/>
  <c r="AZ474"/>
  <c r="AZ477"/>
  <c r="AZ388"/>
  <c r="AZ207"/>
  <c r="AZ212"/>
  <c r="AZ220"/>
  <c r="AZ236"/>
  <c r="AZ247"/>
  <c r="AZ252"/>
  <c r="AZ255"/>
  <c r="AZ268"/>
  <c r="AZ284"/>
  <c r="AZ292"/>
  <c r="AZ121"/>
  <c r="N6" i="46"/>
  <c r="AZ24" i="3"/>
  <c r="AZ40"/>
  <c r="AZ71"/>
  <c r="AZ99"/>
  <c r="J13" i="40"/>
  <c r="AC13" s="1"/>
  <c r="AB14"/>
  <c r="W40"/>
  <c r="AC14"/>
  <c r="S33"/>
  <c r="S47" i="39"/>
  <c r="W41" i="40"/>
  <c r="U41"/>
  <c r="J23"/>
  <c r="W23" s="1"/>
  <c r="AC23"/>
  <c r="F23"/>
  <c r="S23"/>
  <c r="AB16" i="39"/>
  <c r="U23" i="35"/>
  <c r="AB23"/>
  <c r="H20"/>
  <c r="F20"/>
  <c r="S20" s="1"/>
  <c r="H15" i="34"/>
  <c r="U15" s="1"/>
  <c r="F78"/>
  <c r="G78" s="1"/>
  <c r="J15"/>
  <c r="AC15" s="1"/>
  <c r="H41" i="33"/>
  <c r="U41"/>
  <c r="F121"/>
  <c r="G121"/>
  <c r="H121"/>
  <c r="I121" s="1"/>
  <c r="J121" s="1"/>
  <c r="K121"/>
  <c r="L121" s="1"/>
  <c r="M121" s="1"/>
  <c r="F30" i="40"/>
  <c r="AA30"/>
  <c r="H100"/>
  <c r="I100" s="1"/>
  <c r="J100" s="1"/>
  <c r="K100"/>
  <c r="L100" s="1"/>
  <c r="M100" s="1"/>
  <c r="AZ486" i="3"/>
  <c r="AZ497"/>
  <c r="AZ504"/>
  <c r="AZ529"/>
  <c r="AZ530"/>
  <c r="AZ537"/>
  <c r="AZ547"/>
  <c r="AZ548"/>
  <c r="AB37" i="39"/>
  <c r="AA29" i="35"/>
  <c r="U39" i="39"/>
  <c r="J29"/>
  <c r="AC29" s="1"/>
  <c r="AB21"/>
  <c r="U21"/>
  <c r="AB17"/>
  <c r="AB33" i="36"/>
  <c r="AA14" i="35"/>
  <c r="S14"/>
  <c r="G99" i="37"/>
  <c r="F33"/>
  <c r="AA33" s="1"/>
  <c r="U46" i="34"/>
  <c r="W12"/>
  <c r="AC13" i="33"/>
  <c r="H15"/>
  <c r="U15" s="1"/>
  <c r="AA11"/>
  <c r="AA40" i="21"/>
  <c r="AB34" i="40"/>
  <c r="AC16"/>
  <c r="W32"/>
  <c r="H25"/>
  <c r="AB25" s="1"/>
  <c r="G94"/>
  <c r="U47" i="39"/>
  <c r="W15"/>
  <c r="S41" i="40"/>
  <c r="AB23"/>
  <c r="S16" i="39"/>
  <c r="F106" i="33"/>
  <c r="G106" s="1"/>
  <c r="H106" s="1"/>
  <c r="I106"/>
  <c r="J106" s="1"/>
  <c r="K106"/>
  <c r="L106" s="1"/>
  <c r="M106" s="1"/>
  <c r="J34"/>
  <c r="U30" i="40"/>
  <c r="AA37" i="39"/>
  <c r="W29" i="35"/>
  <c r="AC39" i="39"/>
  <c r="W39"/>
  <c r="AA39"/>
  <c r="S39"/>
  <c r="AB46"/>
  <c r="AA33"/>
  <c r="S33"/>
  <c r="U11" i="36"/>
  <c r="F80" i="35"/>
  <c r="G80" s="1"/>
  <c r="H80" s="1"/>
  <c r="I80" s="1"/>
  <c r="J80" s="1"/>
  <c r="K80" s="1"/>
  <c r="L80" s="1"/>
  <c r="M80" s="1"/>
  <c r="W14"/>
  <c r="F27" i="34"/>
  <c r="S27" s="1"/>
  <c r="G96" i="37"/>
  <c r="H96" s="1"/>
  <c r="I96" s="1"/>
  <c r="J96" s="1"/>
  <c r="K96" s="1"/>
  <c r="L96" s="1"/>
  <c r="M96" s="1"/>
  <c r="F32"/>
  <c r="S32"/>
  <c r="U11" i="35"/>
  <c r="AB11"/>
  <c r="S46" i="34"/>
  <c r="U32"/>
  <c r="U12"/>
  <c r="AB13" i="33"/>
  <c r="F17" i="34"/>
  <c r="AA17" s="1"/>
  <c r="J17"/>
  <c r="W17" s="1"/>
  <c r="H11"/>
  <c r="AB11" s="1"/>
  <c r="J35" i="33"/>
  <c r="W35" s="1"/>
  <c r="H11"/>
  <c r="U11" s="1"/>
  <c r="H10"/>
  <c r="U10" s="1"/>
  <c r="I66"/>
  <c r="J10"/>
  <c r="W10" s="1"/>
  <c r="U40" i="21"/>
  <c r="U11" i="37"/>
  <c r="J11" i="34"/>
  <c r="F25" i="40"/>
  <c r="AA25" s="1"/>
  <c r="J11" i="33"/>
  <c r="W11" s="1"/>
  <c r="H33" i="37"/>
  <c r="AB33" s="1"/>
  <c r="U20" i="35"/>
  <c r="AB20"/>
  <c r="B11" i="1"/>
  <c r="E11" s="1"/>
  <c r="K11"/>
  <c r="M11" s="1"/>
  <c r="O11" s="1"/>
  <c r="P11" s="1"/>
  <c r="B9"/>
  <c r="E9" s="1"/>
  <c r="K9"/>
  <c r="M9" s="1"/>
  <c r="B7"/>
  <c r="E7" s="1"/>
  <c r="K7"/>
  <c r="C20" i="43"/>
  <c r="F6" i="1"/>
  <c r="AC25" i="36"/>
  <c r="S23"/>
  <c r="S8"/>
  <c r="AA26"/>
  <c r="AA28"/>
  <c r="U25"/>
  <c r="H20"/>
  <c r="U20" s="1"/>
  <c r="F68"/>
  <c r="G68" s="1"/>
  <c r="J20"/>
  <c r="AC20" s="1"/>
  <c r="F20"/>
  <c r="S20" s="1"/>
  <c r="F62"/>
  <c r="G62" s="1"/>
  <c r="J14"/>
  <c r="H14"/>
  <c r="F14"/>
  <c r="AA14" s="1"/>
  <c r="U27"/>
  <c r="U32"/>
  <c r="AB12"/>
  <c r="U9"/>
  <c r="S33"/>
  <c r="AA27"/>
  <c r="S16"/>
  <c r="S29"/>
  <c r="AC33" i="35"/>
  <c r="AA13"/>
  <c r="AC9"/>
  <c r="S8"/>
  <c r="U33"/>
  <c r="W20"/>
  <c r="S23"/>
  <c r="S16"/>
  <c r="AC10"/>
  <c r="U9"/>
  <c r="W13"/>
  <c r="AC18"/>
  <c r="W18"/>
  <c r="U18"/>
  <c r="AB18"/>
  <c r="S30"/>
  <c r="AA35"/>
  <c r="AB30"/>
  <c r="S27"/>
  <c r="S28"/>
  <c r="J26"/>
  <c r="F26"/>
  <c r="H26"/>
  <c r="AB9" i="37"/>
  <c r="W12"/>
  <c r="AA9"/>
  <c r="S17"/>
  <c r="W28"/>
  <c r="AB37"/>
  <c r="AA31"/>
  <c r="S33"/>
  <c r="U32"/>
  <c r="AA32"/>
  <c r="J33"/>
  <c r="W33" s="1"/>
  <c r="H99"/>
  <c r="I99" s="1"/>
  <c r="J99" s="1"/>
  <c r="K99" s="1"/>
  <c r="L99" s="1"/>
  <c r="M99" s="1"/>
  <c r="S29"/>
  <c r="J19"/>
  <c r="AC19"/>
  <c r="G75"/>
  <c r="F19"/>
  <c r="AA19" s="1"/>
  <c r="H19"/>
  <c r="J17"/>
  <c r="S15"/>
  <c r="AC10"/>
  <c r="AC21"/>
  <c r="W21"/>
  <c r="AC11"/>
  <c r="AC9"/>
  <c r="W32"/>
  <c r="U35"/>
  <c r="U8"/>
  <c r="AB25"/>
  <c r="AB21"/>
  <c r="U21"/>
  <c r="S37"/>
  <c r="S40"/>
  <c r="AA11"/>
  <c r="S10"/>
  <c r="W46" i="34"/>
  <c r="AA40"/>
  <c r="U30"/>
  <c r="AC32"/>
  <c r="J25"/>
  <c r="W25" s="1"/>
  <c r="H25"/>
  <c r="U25" s="1"/>
  <c r="F25"/>
  <c r="AA25" s="1"/>
  <c r="F23"/>
  <c r="AA23" s="1"/>
  <c r="AC21"/>
  <c r="W21"/>
  <c r="AB21"/>
  <c r="U21"/>
  <c r="S9"/>
  <c r="S10"/>
  <c r="AC12" i="33"/>
  <c r="AB41"/>
  <c r="S29"/>
  <c r="W31"/>
  <c r="U35"/>
  <c r="H25"/>
  <c r="AB25" s="1"/>
  <c r="J25"/>
  <c r="W25" s="1"/>
  <c r="F87"/>
  <c r="G87" s="1"/>
  <c r="H87" s="1"/>
  <c r="I87" s="1"/>
  <c r="J87" s="1"/>
  <c r="K87" s="1"/>
  <c r="L87" s="1"/>
  <c r="M87" s="1"/>
  <c r="F25"/>
  <c r="S25" s="1"/>
  <c r="F85"/>
  <c r="G85"/>
  <c r="J23"/>
  <c r="W23" s="1"/>
  <c r="F23"/>
  <c r="S23" s="1"/>
  <c r="H23"/>
  <c r="U23" s="1"/>
  <c r="F17"/>
  <c r="AA17" s="1"/>
  <c r="H17"/>
  <c r="U17" s="1"/>
  <c r="S14"/>
  <c r="AC21"/>
  <c r="W21"/>
  <c r="W14"/>
  <c r="AB21"/>
  <c r="U21"/>
  <c r="AA21"/>
  <c r="S21"/>
  <c r="AA44"/>
  <c r="AC34" i="21"/>
  <c r="U35"/>
  <c r="W43"/>
  <c r="AA37"/>
  <c r="AB37"/>
  <c r="W28"/>
  <c r="AC46"/>
  <c r="F23"/>
  <c r="AA23" s="1"/>
  <c r="F15"/>
  <c r="S15" s="1"/>
  <c r="F77"/>
  <c r="G77"/>
  <c r="J15"/>
  <c r="AC15" s="1"/>
  <c r="H15"/>
  <c r="AB15" s="1"/>
  <c r="AC21"/>
  <c r="W21"/>
  <c r="W44"/>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c r="F19"/>
  <c r="H19"/>
  <c r="AB19" s="1"/>
  <c r="J19"/>
  <c r="W17"/>
  <c r="AC17"/>
  <c r="F17"/>
  <c r="AA17" s="1"/>
  <c r="H17"/>
  <c r="AB17"/>
  <c r="W21"/>
  <c r="AB40"/>
  <c r="U10"/>
  <c r="U27"/>
  <c r="AB27"/>
  <c r="S11" i="39"/>
  <c r="AB45"/>
  <c r="AC38"/>
  <c r="AB15"/>
  <c r="U11"/>
  <c r="AB38"/>
  <c r="U31"/>
  <c r="AB31"/>
  <c r="S38"/>
  <c r="S22" i="31"/>
  <c r="D96" i="9"/>
  <c r="BO5" i="3"/>
  <c r="G28" i="12"/>
  <c r="G22" i="43"/>
  <c r="G26" i="12"/>
  <c r="D24" i="44"/>
  <c r="D26"/>
  <c r="G27" i="12"/>
  <c r="G23" i="43"/>
  <c r="G21"/>
  <c r="M9" i="46"/>
  <c r="M5"/>
  <c r="F36"/>
  <c r="K17"/>
  <c r="F39"/>
  <c r="D17"/>
  <c r="D71"/>
  <c r="D84"/>
  <c r="E80"/>
  <c r="B78" s="1"/>
  <c r="D69"/>
  <c r="E69" s="1"/>
  <c r="B67" s="1"/>
  <c r="E58"/>
  <c r="B56" s="1"/>
  <c r="A4" i="64"/>
  <c r="A4" i="51"/>
  <c r="B6" i="63" s="1"/>
  <c r="C51" i="10"/>
  <c r="I100" i="46"/>
  <c r="N100"/>
  <c r="H100"/>
  <c r="F108"/>
  <c r="E100"/>
  <c r="C100"/>
  <c r="J100"/>
  <c r="M100"/>
  <c r="AA12" i="36"/>
  <c r="U12" i="35"/>
  <c r="AB12"/>
  <c r="W11"/>
  <c r="AA11"/>
  <c r="S14" i="37"/>
  <c r="U13"/>
  <c r="C24" i="9"/>
  <c r="C25"/>
  <c r="B46" i="50"/>
  <c r="B4" i="63" s="1"/>
  <c r="C46" i="36"/>
  <c r="C48" i="35"/>
  <c r="D48" s="1"/>
  <c r="E48" s="1"/>
  <c r="F48" s="1"/>
  <c r="G48" s="1"/>
  <c r="H48" s="1"/>
  <c r="I48" s="1"/>
  <c r="J48" s="1"/>
  <c r="K48" s="1"/>
  <c r="C52" i="37"/>
  <c r="D52" s="1"/>
  <c r="E52" s="1"/>
  <c r="F52" s="1"/>
  <c r="G52" s="1"/>
  <c r="H52" s="1"/>
  <c r="I52" s="1"/>
  <c r="J52" s="1"/>
  <c r="K52" s="1"/>
  <c r="O19" i="46"/>
  <c r="H86"/>
  <c r="K10" i="1"/>
  <c r="M10" s="1"/>
  <c r="O10" s="1"/>
  <c r="P10" s="1"/>
  <c r="B6"/>
  <c r="E6" s="1"/>
  <c r="B10"/>
  <c r="E10" s="1"/>
  <c r="B12"/>
  <c r="E12" s="1"/>
  <c r="F66" i="36"/>
  <c r="G66" s="1"/>
  <c r="H18"/>
  <c r="U18" s="1"/>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47"/>
  <c r="AB13"/>
  <c r="AC13"/>
  <c r="S47"/>
  <c r="S8"/>
  <c r="S43" i="33"/>
  <c r="AB14"/>
  <c r="AB12"/>
  <c r="AC37" i="21"/>
  <c r="AA29"/>
  <c r="U27"/>
  <c r="W29"/>
  <c r="G96" i="40"/>
  <c r="J27"/>
  <c r="W37"/>
  <c r="S17"/>
  <c r="W30"/>
  <c r="S34"/>
  <c r="U17"/>
  <c r="U38"/>
  <c r="S40"/>
  <c r="S42"/>
  <c r="G105" i="39"/>
  <c r="J31"/>
  <c r="W31" s="1"/>
  <c r="S45"/>
  <c r="AB33"/>
  <c r="AC46"/>
  <c r="W42"/>
  <c r="AC37"/>
  <c r="W16"/>
  <c r="S15"/>
  <c r="W45"/>
  <c r="AA46"/>
  <c r="W10"/>
  <c r="W11"/>
  <c r="U42"/>
  <c r="W40"/>
  <c r="S32" i="40"/>
  <c r="C27" i="39"/>
  <c r="C17" i="40"/>
  <c r="C19"/>
  <c r="C17" i="39"/>
  <c r="C19"/>
  <c r="C21"/>
  <c r="C23" i="40"/>
  <c r="B48" i="46"/>
  <c r="B51"/>
  <c r="B55"/>
  <c r="B59"/>
  <c r="B62"/>
  <c r="B66"/>
  <c r="D24" i="15"/>
  <c r="S14" i="36"/>
  <c r="AB20"/>
  <c r="AA20"/>
  <c r="AC14"/>
  <c r="W14"/>
  <c r="U14"/>
  <c r="AB14"/>
  <c r="AB18"/>
  <c r="AA26" i="35"/>
  <c r="S26"/>
  <c r="U26"/>
  <c r="AB26"/>
  <c r="W26"/>
  <c r="AC26"/>
  <c r="S19" i="37"/>
  <c r="W19"/>
  <c r="AB19"/>
  <c r="U19"/>
  <c r="AC17"/>
  <c r="W17"/>
  <c r="AB39" i="40"/>
  <c r="U39"/>
  <c r="AC39"/>
  <c r="W39"/>
  <c r="AA39"/>
  <c r="S39"/>
  <c r="U37"/>
  <c r="AB37"/>
  <c r="AA37"/>
  <c r="S37"/>
  <c r="U29"/>
  <c r="AB29"/>
  <c r="AC29"/>
  <c r="W29"/>
  <c r="AA29"/>
  <c r="S29"/>
  <c r="W19"/>
  <c r="AC19"/>
  <c r="AA19"/>
  <c r="S19"/>
  <c r="U19"/>
  <c r="AC27"/>
  <c r="W27"/>
  <c r="B20" i="31"/>
  <c r="R22"/>
  <c r="B21" s="1"/>
  <c r="AT6" i="3"/>
  <c r="A9" i="64"/>
  <c r="A9" i="51"/>
  <c r="B9" i="63" s="1"/>
  <c r="E4" i="4"/>
  <c r="B21" i="55" s="1"/>
  <c r="B72" i="63" s="1"/>
  <c r="C4" i="4"/>
  <c r="B20" i="55" s="1"/>
  <c r="B70" i="63" s="1"/>
  <c r="J18" i="36"/>
  <c r="W18" s="1"/>
  <c r="AE8" i="1"/>
  <c r="AE7"/>
  <c r="AE6"/>
  <c r="AG6"/>
  <c r="L20" i="6"/>
  <c r="C45" i="9"/>
  <c r="H14" i="66" s="1"/>
  <c r="B7" s="1"/>
  <c r="C44" i="9"/>
  <c r="G14" i="66" s="1"/>
  <c r="B6" s="1"/>
  <c r="O40" i="9"/>
  <c r="K31" s="1"/>
  <c r="K32" s="1"/>
  <c r="O39"/>
  <c r="R6" i="54" s="1"/>
  <c r="B50" i="63" s="1"/>
  <c r="K29" i="9"/>
  <c r="K30" s="1"/>
  <c r="N76"/>
  <c r="C46"/>
  <c r="K33" s="1"/>
  <c r="D70" i="39"/>
  <c r="E70" s="1"/>
  <c r="E72" s="1"/>
  <c r="C72"/>
  <c r="J17" i="46"/>
  <c r="C17"/>
  <c r="F34"/>
  <c r="F38"/>
  <c r="F37"/>
  <c r="H113"/>
  <c r="U13" i="59"/>
  <c r="F16"/>
  <c r="F15"/>
  <c r="F14" s="1"/>
  <c r="F13" s="1"/>
  <c r="H1" i="65"/>
  <c r="X7" i="46"/>
  <c r="E17"/>
  <c r="N17"/>
  <c r="O17"/>
  <c r="M17"/>
  <c r="L17"/>
  <c r="G13" i="1"/>
  <c r="D46" i="36"/>
  <c r="E46" s="1"/>
  <c r="F46" s="1"/>
  <c r="G46" s="1"/>
  <c r="H46" s="1"/>
  <c r="F35" i="46"/>
  <c r="I17"/>
  <c r="D100"/>
  <c r="H62"/>
  <c r="AF12"/>
  <c r="K100"/>
  <c r="AB12"/>
  <c r="AJ12"/>
  <c r="E10"/>
  <c r="E9"/>
  <c r="E11"/>
  <c r="E8"/>
  <c r="AD12"/>
  <c r="AH12"/>
  <c r="C7"/>
  <c r="J5" i="65"/>
  <c r="I3"/>
  <c r="N3"/>
  <c r="E10" i="67"/>
  <c r="B11"/>
  <c r="B10"/>
  <c r="N4" i="65"/>
  <c r="E14" i="67"/>
  <c r="B8"/>
  <c r="F8"/>
  <c r="B14"/>
  <c r="I4" i="65"/>
  <c r="F10" i="67"/>
  <c r="N7" i="65"/>
  <c r="N6"/>
  <c r="I6"/>
  <c r="E11" i="67"/>
  <c r="E13"/>
  <c r="B12"/>
  <c r="E8"/>
  <c r="F9"/>
  <c r="E12"/>
  <c r="E9"/>
  <c r="B9"/>
  <c r="F14"/>
  <c r="N5" i="65"/>
  <c r="F13" i="67"/>
  <c r="I5" i="65"/>
  <c r="F12" i="67"/>
  <c r="F11"/>
  <c r="B13"/>
  <c r="K34" i="9" l="1"/>
  <c r="I14" i="66"/>
  <c r="B8" s="1"/>
  <c r="N69" i="9"/>
  <c r="D16" i="12"/>
  <c r="D22"/>
  <c r="AC33" i="21"/>
  <c r="K1" i="89"/>
  <c r="K1" i="83"/>
  <c r="C9" i="90"/>
  <c r="C70" s="1"/>
  <c r="C7" i="88"/>
  <c r="G19" i="82"/>
  <c r="O41" i="9"/>
  <c r="R8" i="54" s="1"/>
  <c r="B54" i="63" s="1"/>
  <c r="H42" i="21"/>
  <c r="AB42" s="1"/>
  <c r="W39"/>
  <c r="AC27"/>
  <c r="AC26"/>
  <c r="F85"/>
  <c r="G85" s="1"/>
  <c r="J23"/>
  <c r="W23" s="1"/>
  <c r="H23"/>
  <c r="AB23" s="1"/>
  <c r="AC23"/>
  <c r="S27"/>
  <c r="F81"/>
  <c r="G81" s="1"/>
  <c r="F19"/>
  <c r="S19" s="1"/>
  <c r="AC19"/>
  <c r="W17"/>
  <c r="U15"/>
  <c r="S10"/>
  <c r="W10"/>
  <c r="F101"/>
  <c r="J32" s="1"/>
  <c r="AC32" s="1"/>
  <c r="F32"/>
  <c r="S32" s="1"/>
  <c r="AA43"/>
  <c r="U43"/>
  <c r="U42"/>
  <c r="AC42"/>
  <c r="AC38"/>
  <c r="U38"/>
  <c r="S42"/>
  <c r="S39"/>
  <c r="U39"/>
  <c r="AA38"/>
  <c r="AC36"/>
  <c r="AA36"/>
  <c r="AB36"/>
  <c r="S35"/>
  <c r="W35"/>
  <c r="W32"/>
  <c r="W25"/>
  <c r="AA25"/>
  <c r="AB25"/>
  <c r="AA17"/>
  <c r="AA15"/>
  <c r="AB10"/>
  <c r="W9"/>
  <c r="U9"/>
  <c r="AC8"/>
  <c r="S8"/>
  <c r="S23"/>
  <c r="S21"/>
  <c r="U17"/>
  <c r="W15"/>
  <c r="AP6" i="1"/>
  <c r="I20" i="82"/>
  <c r="S34" i="34"/>
  <c r="G13" i="3"/>
  <c r="E32" i="6"/>
  <c r="E20" i="82"/>
  <c r="O13" i="1"/>
  <c r="P13" s="1"/>
  <c r="K1" i="72"/>
  <c r="F3" i="35"/>
  <c r="M7" i="1"/>
  <c r="O7" s="1"/>
  <c r="P7" s="1"/>
  <c r="L16" i="4"/>
  <c r="C67" i="40"/>
  <c r="D65"/>
  <c r="D67" s="1"/>
  <c r="C58" i="33"/>
  <c r="I7"/>
  <c r="E7"/>
  <c r="G7"/>
  <c r="C59" i="34"/>
  <c r="G7"/>
  <c r="I7"/>
  <c r="E7"/>
  <c r="C42" i="1"/>
  <c r="C95" i="73" s="1"/>
  <c r="C92" s="1"/>
  <c r="C9" i="77"/>
  <c r="C70" s="1"/>
  <c r="N67" i="73"/>
  <c r="G19" i="69"/>
  <c r="U10" i="34"/>
  <c r="AP9" i="1"/>
  <c r="G9"/>
  <c r="F7"/>
  <c r="AP7" s="1"/>
  <c r="U40" i="39"/>
  <c r="S40"/>
  <c r="S14"/>
  <c r="U14"/>
  <c r="H36"/>
  <c r="J36"/>
  <c r="F36"/>
  <c r="F109"/>
  <c r="G109" s="1"/>
  <c r="H109" s="1"/>
  <c r="I109" s="1"/>
  <c r="J109" s="1"/>
  <c r="K109" s="1"/>
  <c r="L109" s="1"/>
  <c r="M109" s="1"/>
  <c r="H34"/>
  <c r="AB34" s="1"/>
  <c r="F34"/>
  <c r="J34"/>
  <c r="AC34" s="1"/>
  <c r="F27"/>
  <c r="AA27" s="1"/>
  <c r="F101"/>
  <c r="G101" s="1"/>
  <c r="H27"/>
  <c r="U27" s="1"/>
  <c r="F25"/>
  <c r="AA25" s="1"/>
  <c r="H25"/>
  <c r="U25" s="1"/>
  <c r="F97"/>
  <c r="H23" s="1"/>
  <c r="AB23" s="1"/>
  <c r="F93"/>
  <c r="G93" s="1"/>
  <c r="F19"/>
  <c r="AA19" s="1"/>
  <c r="J19"/>
  <c r="W19" s="1"/>
  <c r="H19"/>
  <c r="AB19" s="1"/>
  <c r="W25"/>
  <c r="AB29"/>
  <c r="AA21"/>
  <c r="AB44"/>
  <c r="AA44"/>
  <c r="AB43"/>
  <c r="S43"/>
  <c r="S41"/>
  <c r="U34"/>
  <c r="S17"/>
  <c r="AC44"/>
  <c r="W43"/>
  <c r="W41"/>
  <c r="U41"/>
  <c r="AC33"/>
  <c r="AC31"/>
  <c r="W29"/>
  <c r="S29"/>
  <c r="W27"/>
  <c r="S25"/>
  <c r="AC21"/>
  <c r="AC17"/>
  <c r="S33" i="33"/>
  <c r="C18" i="9"/>
  <c r="U34" i="34"/>
  <c r="J17" i="33"/>
  <c r="W17" s="1"/>
  <c r="F79"/>
  <c r="G79" s="1"/>
  <c r="W43"/>
  <c r="W39"/>
  <c r="U39"/>
  <c r="J36"/>
  <c r="W36" s="1"/>
  <c r="G111"/>
  <c r="H111" s="1"/>
  <c r="I111" s="1"/>
  <c r="J111" s="1"/>
  <c r="K111" s="1"/>
  <c r="L111" s="1"/>
  <c r="M111" s="1"/>
  <c r="H36"/>
  <c r="AB36" s="1"/>
  <c r="AB43"/>
  <c r="S35"/>
  <c r="U42"/>
  <c r="W42"/>
  <c r="S42"/>
  <c r="AC37"/>
  <c r="AA37"/>
  <c r="U37"/>
  <c r="AC35"/>
  <c r="AA34"/>
  <c r="W32"/>
  <c r="U32"/>
  <c r="S32"/>
  <c r="W26"/>
  <c r="S26"/>
  <c r="AA25"/>
  <c r="AC25"/>
  <c r="S10"/>
  <c r="AB10"/>
  <c r="AC10"/>
  <c r="AB27"/>
  <c r="W27"/>
  <c r="AC11"/>
  <c r="AA23"/>
  <c r="S15"/>
  <c r="AB23"/>
  <c r="AC23"/>
  <c r="U19"/>
  <c r="W19"/>
  <c r="AA19"/>
  <c r="AB17"/>
  <c r="S17"/>
  <c r="AB15"/>
  <c r="AC15"/>
  <c r="AB41" i="34"/>
  <c r="AC41"/>
  <c r="AA41"/>
  <c r="AA14"/>
  <c r="S14"/>
  <c r="AA12"/>
  <c r="J14"/>
  <c r="H14"/>
  <c r="H28"/>
  <c r="F28"/>
  <c r="AA28" s="1"/>
  <c r="U31"/>
  <c r="S30"/>
  <c r="AC31"/>
  <c r="AC30"/>
  <c r="AC28"/>
  <c r="S28"/>
  <c r="AB29"/>
  <c r="W29"/>
  <c r="AA29"/>
  <c r="J27"/>
  <c r="AC27" s="1"/>
  <c r="AA36"/>
  <c r="AB36"/>
  <c r="G112"/>
  <c r="H112" s="1"/>
  <c r="I112" s="1"/>
  <c r="J112" s="1"/>
  <c r="K112" s="1"/>
  <c r="L112" s="1"/>
  <c r="M112" s="1"/>
  <c r="U27"/>
  <c r="AA27"/>
  <c r="W38"/>
  <c r="W44"/>
  <c r="J23"/>
  <c r="W23" s="1"/>
  <c r="F86"/>
  <c r="G86" s="1"/>
  <c r="H23"/>
  <c r="U23" s="1"/>
  <c r="U19"/>
  <c r="AB33"/>
  <c r="AC33"/>
  <c r="AA33"/>
  <c r="S43"/>
  <c r="AB43"/>
  <c r="U40"/>
  <c r="AC40"/>
  <c r="U39"/>
  <c r="S38"/>
  <c r="U38"/>
  <c r="AC36"/>
  <c r="AB35"/>
  <c r="S25"/>
  <c r="AB25"/>
  <c r="AC25"/>
  <c r="W19"/>
  <c r="S19"/>
  <c r="W8"/>
  <c r="U44"/>
  <c r="AA44"/>
  <c r="AC35"/>
  <c r="S23"/>
  <c r="U17"/>
  <c r="AC17"/>
  <c r="W15"/>
  <c r="AB15"/>
  <c r="AA11"/>
  <c r="U11"/>
  <c r="W10"/>
  <c r="BL17" i="3"/>
  <c r="BL16"/>
  <c r="BA15"/>
  <c r="AZ15" s="1"/>
  <c r="B64" i="46"/>
  <c r="B53"/>
  <c r="B47"/>
  <c r="B58"/>
  <c r="B58" i="69"/>
  <c r="B73"/>
  <c r="B64"/>
  <c r="B53"/>
  <c r="C23" i="39"/>
  <c r="B48" i="69"/>
  <c r="B70"/>
  <c r="B59"/>
  <c r="B74"/>
  <c r="B65"/>
  <c r="B54"/>
  <c r="B76"/>
  <c r="B55"/>
  <c r="B66"/>
  <c r="G100" i="46"/>
  <c r="M3"/>
  <c r="N3"/>
  <c r="N5"/>
  <c r="F47" s="1"/>
  <c r="H8" i="48"/>
  <c r="M8" i="46"/>
  <c r="N1"/>
  <c r="F69" s="1"/>
  <c r="H77" s="1"/>
  <c r="M11"/>
  <c r="N2"/>
  <c r="H9" i="48"/>
  <c r="H65" i="46"/>
  <c r="H59"/>
  <c r="H66"/>
  <c r="H60"/>
  <c r="H64"/>
  <c r="H58"/>
  <c r="H83"/>
  <c r="H84"/>
  <c r="H14" i="48"/>
  <c r="M12" i="46"/>
  <c r="N4"/>
  <c r="M7"/>
  <c r="M10"/>
  <c r="H16" i="48"/>
  <c r="H63" i="46"/>
  <c r="H85"/>
  <c r="H5" i="48"/>
  <c r="M4" i="46"/>
  <c r="N8"/>
  <c r="M6"/>
  <c r="C6" s="1"/>
  <c r="H87"/>
  <c r="H15" i="48"/>
  <c r="N9" i="46"/>
  <c r="M1"/>
  <c r="H7" i="48"/>
  <c r="H10"/>
  <c r="H80" i="46"/>
  <c r="H11" i="48"/>
  <c r="H6"/>
  <c r="N11" i="46"/>
  <c r="H82"/>
  <c r="H13" i="48"/>
  <c r="M2" i="46"/>
  <c r="N10"/>
  <c r="N7"/>
  <c r="F29" i="12"/>
  <c r="M18" i="15"/>
  <c r="F31" i="43"/>
  <c r="D86" i="9"/>
  <c r="F27" i="43"/>
  <c r="M22" i="44"/>
  <c r="M20" i="15"/>
  <c r="F36" i="44"/>
  <c r="K6" i="1"/>
  <c r="B8"/>
  <c r="E8" s="1"/>
  <c r="G1" i="15"/>
  <c r="G1" i="44"/>
  <c r="K1" i="12"/>
  <c r="K1" i="43"/>
  <c r="BK5" i="3"/>
  <c r="BN5"/>
  <c r="BA13"/>
  <c r="BL18"/>
  <c r="BR5"/>
  <c r="BL20"/>
  <c r="BE5"/>
  <c r="BA17"/>
  <c r="AZ17" s="1"/>
  <c r="BD5"/>
  <c r="BA18"/>
  <c r="BC5"/>
  <c r="BA14"/>
  <c r="I4" i="6"/>
  <c r="BL21" i="3"/>
  <c r="F29" i="6"/>
  <c r="BA16" i="3"/>
  <c r="AZ16" s="1"/>
  <c r="BA19"/>
  <c r="BA21"/>
  <c r="AZ21" s="1"/>
  <c r="BQ5"/>
  <c r="F28" i="6" s="1"/>
  <c r="F30" s="1"/>
  <c r="BA20" i="3"/>
  <c r="AZ20" s="1"/>
  <c r="BP5"/>
  <c r="G29" i="6" s="1"/>
  <c r="BB5" i="3"/>
  <c r="BL19"/>
  <c r="BT5"/>
  <c r="BJ5"/>
  <c r="BL14"/>
  <c r="A18" i="64"/>
  <c r="B74" i="63" s="1"/>
  <c r="L5" i="54"/>
  <c r="B39" i="63" s="1"/>
  <c r="C53" i="10"/>
  <c r="A25" i="64" s="1"/>
  <c r="A18" i="51"/>
  <c r="B14" i="63" s="1"/>
  <c r="K5" i="54"/>
  <c r="B38" i="63" s="1"/>
  <c r="T41" i="4"/>
  <c r="A17" i="51" s="1"/>
  <c r="B13" i="63" s="1"/>
  <c r="G10" i="1"/>
  <c r="G11"/>
  <c r="E20" i="69"/>
  <c r="N16" i="4"/>
  <c r="K17" s="1"/>
  <c r="A22" i="51" s="1"/>
  <c r="B16" i="63" s="1"/>
  <c r="G8" i="1"/>
  <c r="D72" i="39"/>
  <c r="F70"/>
  <c r="G70" s="1"/>
  <c r="F12" i="59"/>
  <c r="F11" s="1"/>
  <c r="F10" s="1"/>
  <c r="F9" s="1"/>
  <c r="V13"/>
  <c r="AC15" i="40"/>
  <c r="W15"/>
  <c r="AC18" i="36"/>
  <c r="U25" i="33"/>
  <c r="AA11" i="36"/>
  <c r="S11"/>
  <c r="AB14" i="35"/>
  <c r="U14"/>
  <c r="AC47" i="39"/>
  <c r="W47"/>
  <c r="AB22" i="35"/>
  <c r="U22"/>
  <c r="R7" i="54"/>
  <c r="B52" i="63" s="1"/>
  <c r="AB11" i="33"/>
  <c r="AA15" i="34"/>
  <c r="AC36" i="33"/>
  <c r="AB16" i="40"/>
  <c r="U16"/>
  <c r="AB42"/>
  <c r="U42"/>
  <c r="AB34" i="33"/>
  <c r="U34"/>
  <c r="M83" i="9"/>
  <c r="N83" s="1"/>
  <c r="N89" s="1"/>
  <c r="O89" s="1"/>
  <c r="AZ526" i="3"/>
  <c r="S32" i="34"/>
  <c r="AA32"/>
  <c r="S17"/>
  <c r="W34" i="33"/>
  <c r="AC34"/>
  <c r="AC14" i="39"/>
  <c r="W14"/>
  <c r="W11" i="34"/>
  <c r="AC11"/>
  <c r="AB25" i="39"/>
  <c r="AB29" i="33"/>
  <c r="U29"/>
  <c r="AZ488" i="3"/>
  <c r="W20" i="36"/>
  <c r="S23" i="39"/>
  <c r="AA23"/>
  <c r="AC16" i="35"/>
  <c r="S41" i="33"/>
  <c r="AB15" i="37"/>
  <c r="AZ355" i="3"/>
  <c r="AZ556"/>
  <c r="U28" i="21"/>
  <c r="J12"/>
  <c r="H12"/>
  <c r="H44"/>
  <c r="F44"/>
  <c r="S9"/>
  <c r="AB9" i="34"/>
  <c r="U9"/>
  <c r="J13" i="21"/>
  <c r="F13"/>
  <c r="F45"/>
  <c r="H45"/>
  <c r="AC34" i="40"/>
  <c r="AZ381" i="3"/>
  <c r="AZ359"/>
  <c r="AZ502"/>
  <c r="S27" i="33"/>
  <c r="AA27"/>
  <c r="BA570" i="3"/>
  <c r="AZ570" s="1"/>
  <c r="AA20" i="35"/>
  <c r="AB32" i="40"/>
  <c r="W13"/>
  <c r="AZ562" i="3"/>
  <c r="AB19" i="21"/>
  <c r="BI5" i="3"/>
  <c r="B70" i="46"/>
  <c r="AA23" i="37"/>
  <c r="AC46" i="33"/>
  <c r="W46"/>
  <c r="U31"/>
  <c r="AB31"/>
  <c r="BH5" i="3"/>
  <c r="AC9" i="34"/>
  <c r="W9"/>
  <c r="W35" i="40"/>
  <c r="AC45" i="21"/>
  <c r="AZ484" i="3"/>
  <c r="AB30" i="33"/>
  <c r="U13" i="21"/>
  <c r="AB13"/>
  <c r="U45" i="33"/>
  <c r="AB45"/>
  <c r="F46"/>
  <c r="H46"/>
  <c r="J45" i="34"/>
  <c r="F45"/>
  <c r="F71" i="9"/>
  <c r="S39" i="33"/>
  <c r="AZ545" i="3"/>
  <c r="F12" i="21"/>
  <c r="J31"/>
  <c r="H31"/>
  <c r="U9" i="33"/>
  <c r="AB9"/>
  <c r="H26"/>
  <c r="W39" i="34"/>
  <c r="W39" i="37"/>
  <c r="BG5" i="3"/>
  <c r="E5" i="6" s="1"/>
  <c r="D12" i="11" s="1"/>
  <c r="C12" s="1"/>
  <c r="J36" i="35"/>
  <c r="H5" i="3"/>
  <c r="BF5"/>
  <c r="F9" i="33"/>
  <c r="J25" i="37"/>
  <c r="G516" i="3"/>
  <c r="W43" i="34"/>
  <c r="U33" i="33"/>
  <c r="S34" i="35"/>
  <c r="U22" i="36"/>
  <c r="G528" i="3"/>
  <c r="G503"/>
  <c r="F26" i="37"/>
  <c r="G540" i="3"/>
  <c r="G552"/>
  <c r="G19"/>
  <c r="AZ393"/>
  <c r="AZ395"/>
  <c r="AZ392"/>
  <c r="AZ400"/>
  <c r="G435"/>
  <c r="AZ460"/>
  <c r="A30" i="64"/>
  <c r="A30" i="51"/>
  <c r="B22" i="63" s="1"/>
  <c r="BA394" i="3"/>
  <c r="AZ394" s="1"/>
  <c r="BL393"/>
  <c r="G400"/>
  <c r="BL405"/>
  <c r="AZ405" s="1"/>
  <c r="G406"/>
  <c r="AZ350"/>
  <c r="BL399"/>
  <c r="AZ399" s="1"/>
  <c r="BA403"/>
  <c r="AZ403" s="1"/>
  <c r="BA409"/>
  <c r="AZ409" s="1"/>
  <c r="BA427"/>
  <c r="AZ427" s="1"/>
  <c r="AZ465"/>
  <c r="AZ214"/>
  <c r="AZ234"/>
  <c r="BA391"/>
  <c r="AZ391" s="1"/>
  <c r="BA412"/>
  <c r="BA413"/>
  <c r="AZ413" s="1"/>
  <c r="BA415"/>
  <c r="AZ415" s="1"/>
  <c r="BA424"/>
  <c r="AZ424" s="1"/>
  <c r="BL429"/>
  <c r="AZ429" s="1"/>
  <c r="BA430"/>
  <c r="AZ430" s="1"/>
  <c r="BL432"/>
  <c r="BA438"/>
  <c r="AZ438" s="1"/>
  <c r="AZ443"/>
  <c r="AZ384"/>
  <c r="BL389"/>
  <c r="AZ389" s="1"/>
  <c r="G390"/>
  <c r="BL390"/>
  <c r="AZ390" s="1"/>
  <c r="BA397"/>
  <c r="AZ397" s="1"/>
  <c r="BL409"/>
  <c r="AZ420"/>
  <c r="BA421"/>
  <c r="AZ421" s="1"/>
  <c r="G428"/>
  <c r="AZ437"/>
  <c r="AZ462"/>
  <c r="BL402"/>
  <c r="AZ402" s="1"/>
  <c r="G403"/>
  <c r="BL408"/>
  <c r="AZ408" s="1"/>
  <c r="BL412"/>
  <c r="BL414"/>
  <c r="AZ414" s="1"/>
  <c r="G416"/>
  <c r="G425"/>
  <c r="BA434"/>
  <c r="AZ434" s="1"/>
  <c r="AZ406"/>
  <c r="BA432"/>
  <c r="AZ432" s="1"/>
  <c r="G438"/>
  <c r="AZ211"/>
  <c r="BL223"/>
  <c r="BA227"/>
  <c r="AZ227" s="1"/>
  <c r="BA229"/>
  <c r="AZ229" s="1"/>
  <c r="BL234"/>
  <c r="G235"/>
  <c r="BA238"/>
  <c r="AZ238" s="1"/>
  <c r="BA240"/>
  <c r="BA243"/>
  <c r="BA245"/>
  <c r="AZ245" s="1"/>
  <c r="BA248"/>
  <c r="AZ248" s="1"/>
  <c r="BA254"/>
  <c r="AZ254" s="1"/>
  <c r="AZ269"/>
  <c r="BL276"/>
  <c r="BA279"/>
  <c r="AZ279" s="1"/>
  <c r="BA213"/>
  <c r="AZ213" s="1"/>
  <c r="G217"/>
  <c r="BA219"/>
  <c r="AZ219" s="1"/>
  <c r="G225"/>
  <c r="BL225"/>
  <c r="AZ225" s="1"/>
  <c r="BL256"/>
  <c r="AZ256" s="1"/>
  <c r="BA264"/>
  <c r="AZ264" s="1"/>
  <c r="BA267"/>
  <c r="AZ267" s="1"/>
  <c r="BA276"/>
  <c r="AZ276" s="1"/>
  <c r="AZ294"/>
  <c r="G212"/>
  <c r="G228"/>
  <c r="BL228"/>
  <c r="AZ228" s="1"/>
  <c r="G241"/>
  <c r="BA241"/>
  <c r="AZ241" s="1"/>
  <c r="G244"/>
  <c r="BA244"/>
  <c r="AZ244" s="1"/>
  <c r="BA270"/>
  <c r="AZ270" s="1"/>
  <c r="BA273"/>
  <c r="AZ273" s="1"/>
  <c r="BL275"/>
  <c r="BL278"/>
  <c r="AZ278" s="1"/>
  <c r="BL281"/>
  <c r="AZ281" s="1"/>
  <c r="AZ210"/>
  <c r="AZ232"/>
  <c r="BL272"/>
  <c r="AZ272" s="1"/>
  <c r="BL227"/>
  <c r="BL240"/>
  <c r="BL243"/>
  <c r="BL246"/>
  <c r="AZ246" s="1"/>
  <c r="BL260"/>
  <c r="BL263"/>
  <c r="AZ263" s="1"/>
  <c r="BL266"/>
  <c r="AZ266" s="1"/>
  <c r="AZ283"/>
  <c r="AZ285"/>
  <c r="G206"/>
  <c r="BA235"/>
  <c r="AZ235" s="1"/>
  <c r="BA260"/>
  <c r="AZ260" s="1"/>
  <c r="BL262"/>
  <c r="AZ262" s="1"/>
  <c r="AZ277"/>
  <c r="AZ280"/>
  <c r="BA286"/>
  <c r="AZ286" s="1"/>
  <c r="BA289"/>
  <c r="AZ289" s="1"/>
  <c r="AZ163"/>
  <c r="BA216"/>
  <c r="AZ216" s="1"/>
  <c r="G222"/>
  <c r="BA223"/>
  <c r="AZ223" s="1"/>
  <c r="BL231"/>
  <c r="AZ231" s="1"/>
  <c r="BL215"/>
  <c r="AZ215" s="1"/>
  <c r="BA224"/>
  <c r="AZ224" s="1"/>
  <c r="BA226"/>
  <c r="AZ226" s="1"/>
  <c r="BA239"/>
  <c r="AZ239" s="1"/>
  <c r="BA242"/>
  <c r="AZ242" s="1"/>
  <c r="AZ250"/>
  <c r="BA251"/>
  <c r="AZ251" s="1"/>
  <c r="BA257"/>
  <c r="AZ257" s="1"/>
  <c r="BL259"/>
  <c r="AZ259" s="1"/>
  <c r="AZ275"/>
  <c r="BL288"/>
  <c r="AZ288" s="1"/>
  <c r="AZ113"/>
  <c r="C40" i="59"/>
  <c r="D40" s="1"/>
  <c r="D39"/>
  <c r="C56"/>
  <c r="D55"/>
  <c r="BL138" i="3"/>
  <c r="AZ138" s="1"/>
  <c r="BL165"/>
  <c r="AZ165" s="1"/>
  <c r="G166"/>
  <c r="BA180"/>
  <c r="AZ180" s="1"/>
  <c r="BA197"/>
  <c r="AZ197" s="1"/>
  <c r="BA36"/>
  <c r="AZ36" s="1"/>
  <c r="BA38"/>
  <c r="AZ38" s="1"/>
  <c r="BL44"/>
  <c r="AZ44" s="1"/>
  <c r="BA54"/>
  <c r="AZ54" s="1"/>
  <c r="BA55"/>
  <c r="AZ55" s="1"/>
  <c r="AZ60"/>
  <c r="BL74"/>
  <c r="AZ74" s="1"/>
  <c r="BA91"/>
  <c r="AZ91" s="1"/>
  <c r="AZ92"/>
  <c r="BL95"/>
  <c r="AZ95" s="1"/>
  <c r="BL96"/>
  <c r="BA109"/>
  <c r="AZ109" s="1"/>
  <c r="BA110"/>
  <c r="AZ110" s="1"/>
  <c r="BL140"/>
  <c r="AZ140" s="1"/>
  <c r="G141"/>
  <c r="BL164"/>
  <c r="AZ164" s="1"/>
  <c r="G165"/>
  <c r="BL168"/>
  <c r="AZ168" s="1"/>
  <c r="BA174"/>
  <c r="AZ174" s="1"/>
  <c r="BL178"/>
  <c r="AZ178" s="1"/>
  <c r="BA179"/>
  <c r="AZ179" s="1"/>
  <c r="BL183"/>
  <c r="AZ183" s="1"/>
  <c r="BA186"/>
  <c r="AZ186" s="1"/>
  <c r="BA187"/>
  <c r="AZ187" s="1"/>
  <c r="BA191"/>
  <c r="AZ191" s="1"/>
  <c r="AZ194"/>
  <c r="BA195"/>
  <c r="AZ195" s="1"/>
  <c r="BA30"/>
  <c r="AZ30" s="1"/>
  <c r="BA33"/>
  <c r="AZ33" s="1"/>
  <c r="AZ34"/>
  <c r="BL41"/>
  <c r="AZ41" s="1"/>
  <c r="BA52"/>
  <c r="AZ52" s="1"/>
  <c r="BL57"/>
  <c r="BA87"/>
  <c r="AZ87" s="1"/>
  <c r="BA88"/>
  <c r="AZ88" s="1"/>
  <c r="BA90"/>
  <c r="AZ90" s="1"/>
  <c r="G94"/>
  <c r="BA106"/>
  <c r="AZ106" s="1"/>
  <c r="BA107"/>
  <c r="AZ107" s="1"/>
  <c r="BL112"/>
  <c r="BA131"/>
  <c r="AZ131" s="1"/>
  <c r="BA147"/>
  <c r="AZ147" s="1"/>
  <c r="BA151"/>
  <c r="AZ151" s="1"/>
  <c r="BA152"/>
  <c r="AZ152" s="1"/>
  <c r="BA156"/>
  <c r="AZ156" s="1"/>
  <c r="BL175"/>
  <c r="G176"/>
  <c r="BA190"/>
  <c r="BL196"/>
  <c r="AZ196" s="1"/>
  <c r="BL22"/>
  <c r="AZ22" s="1"/>
  <c r="AZ28"/>
  <c r="BA29"/>
  <c r="BL37"/>
  <c r="AZ37" s="1"/>
  <c r="BL38"/>
  <c r="G39"/>
  <c r="BA57"/>
  <c r="AZ57" s="1"/>
  <c r="BA64"/>
  <c r="AZ64" s="1"/>
  <c r="BA79"/>
  <c r="AZ79" s="1"/>
  <c r="BA82"/>
  <c r="AZ82" s="1"/>
  <c r="BA84"/>
  <c r="BA85"/>
  <c r="AZ85" s="1"/>
  <c r="BL92"/>
  <c r="BL93"/>
  <c r="AZ93" s="1"/>
  <c r="AZ103"/>
  <c r="AZ104"/>
  <c r="BA105"/>
  <c r="BA112"/>
  <c r="AZ112" s="1"/>
  <c r="BA125"/>
  <c r="AZ125" s="1"/>
  <c r="BL129"/>
  <c r="AZ129" s="1"/>
  <c r="BL145"/>
  <c r="BA149"/>
  <c r="AZ149" s="1"/>
  <c r="BA155"/>
  <c r="BL163"/>
  <c r="BA171"/>
  <c r="BA172"/>
  <c r="AZ172" s="1"/>
  <c r="BA175"/>
  <c r="AZ175" s="1"/>
  <c r="BA182"/>
  <c r="AZ182" s="1"/>
  <c r="BL186"/>
  <c r="G196"/>
  <c r="BL199"/>
  <c r="AZ199" s="1"/>
  <c r="AZ26"/>
  <c r="BA49"/>
  <c r="AZ49" s="1"/>
  <c r="BL59"/>
  <c r="AZ59" s="1"/>
  <c r="BL66"/>
  <c r="AZ66" s="1"/>
  <c r="BA76"/>
  <c r="AZ76" s="1"/>
  <c r="AZ81"/>
  <c r="BL124"/>
  <c r="AZ124" s="1"/>
  <c r="AZ145"/>
  <c r="BA160"/>
  <c r="AZ160" s="1"/>
  <c r="BA167"/>
  <c r="AZ167" s="1"/>
  <c r="AZ204"/>
  <c r="BL32"/>
  <c r="AZ32" s="1"/>
  <c r="BL65"/>
  <c r="AZ65" s="1"/>
  <c r="BA136"/>
  <c r="AZ136" s="1"/>
  <c r="BL149"/>
  <c r="G150"/>
  <c r="BL155"/>
  <c r="G156"/>
  <c r="BA166"/>
  <c r="AZ166" s="1"/>
  <c r="BL171"/>
  <c r="BL172"/>
  <c r="BL177"/>
  <c r="AZ177" s="1"/>
  <c r="BA181"/>
  <c r="AZ181" s="1"/>
  <c r="BA185"/>
  <c r="AZ185" s="1"/>
  <c r="BL190"/>
  <c r="BL25"/>
  <c r="AZ25" s="1"/>
  <c r="BL26"/>
  <c r="G27"/>
  <c r="AZ45"/>
  <c r="AZ46"/>
  <c r="BA51"/>
  <c r="AZ51" s="1"/>
  <c r="BL56"/>
  <c r="AZ56" s="1"/>
  <c r="BL63"/>
  <c r="BA73"/>
  <c r="AZ73" s="1"/>
  <c r="BL84"/>
  <c r="BA96"/>
  <c r="AZ96" s="1"/>
  <c r="BA97"/>
  <c r="AZ97" s="1"/>
  <c r="BL101"/>
  <c r="AZ101" s="1"/>
  <c r="BL105"/>
  <c r="BA120"/>
  <c r="AZ120" s="1"/>
  <c r="BA137"/>
  <c r="AZ137" s="1"/>
  <c r="AZ141"/>
  <c r="BA198"/>
  <c r="AZ198" s="1"/>
  <c r="G202"/>
  <c r="BL203"/>
  <c r="AZ203" s="1"/>
  <c r="G21"/>
  <c r="G24"/>
  <c r="BA43"/>
  <c r="AZ43" s="1"/>
  <c r="BL48"/>
  <c r="AZ48" s="1"/>
  <c r="BA58"/>
  <c r="AZ58" s="1"/>
  <c r="BA63"/>
  <c r="AZ63" s="1"/>
  <c r="BL75"/>
  <c r="AZ75" s="1"/>
  <c r="I21" i="57"/>
  <c r="D1" s="1"/>
  <c r="E10" s="1"/>
  <c r="S17" i="59"/>
  <c r="B16"/>
  <c r="B15" s="1"/>
  <c r="B14" s="1"/>
  <c r="B13" s="1"/>
  <c r="K12" i="1"/>
  <c r="C37" i="59"/>
  <c r="D36"/>
  <c r="Q59"/>
  <c r="Q58"/>
  <c r="T21"/>
  <c r="D21"/>
  <c r="C20"/>
  <c r="C16"/>
  <c r="T17"/>
  <c r="D17"/>
  <c r="AA27" i="40"/>
  <c r="S27"/>
  <c r="T45" i="59"/>
  <c r="D45"/>
  <c r="C24"/>
  <c r="D23"/>
  <c r="T33"/>
  <c r="D33"/>
  <c r="B74" i="46"/>
  <c r="B65"/>
  <c r="B54"/>
  <c r="C52" i="59"/>
  <c r="D51"/>
  <c r="D22" i="15"/>
  <c r="D23"/>
  <c r="B85" i="46"/>
  <c r="C27" i="40"/>
  <c r="O58" i="59"/>
  <c r="O59"/>
  <c r="D59"/>
  <c r="P58"/>
  <c r="P59"/>
  <c r="S18" i="35"/>
  <c r="AA21" i="34"/>
  <c r="D68" i="59"/>
  <c r="C63"/>
  <c r="D63" s="1"/>
  <c r="E68"/>
  <c r="E67" s="1"/>
  <c r="C48"/>
  <c r="AB23"/>
  <c r="AB25"/>
  <c r="Y26"/>
  <c r="Z26" s="1"/>
  <c r="X27"/>
  <c r="X29"/>
  <c r="B31"/>
  <c r="B32" s="1"/>
  <c r="B33" s="1"/>
  <c r="S33" s="1"/>
  <c r="AA30"/>
  <c r="Y32"/>
  <c r="Z32" s="1"/>
  <c r="AA21"/>
  <c r="O76" i="9"/>
  <c r="AA19" i="59"/>
  <c r="Y18"/>
  <c r="Z18" s="1"/>
  <c r="AA16"/>
  <c r="X14"/>
  <c r="X13"/>
  <c r="X12"/>
  <c r="AB6"/>
  <c r="AA5"/>
  <c r="B24"/>
  <c r="B25" s="1"/>
  <c r="S25" s="1"/>
  <c r="Y22"/>
  <c r="Z22" s="1"/>
  <c r="X24"/>
  <c r="Y27"/>
  <c r="Z27" s="1"/>
  <c r="AA32"/>
  <c r="X19"/>
  <c r="A28" i="51"/>
  <c r="AA18" i="59"/>
  <c r="AB16"/>
  <c r="Y15"/>
  <c r="Z15" s="1"/>
  <c r="Y13"/>
  <c r="Z13" s="1"/>
  <c r="X11"/>
  <c r="AA6"/>
  <c r="C75"/>
  <c r="D75" s="1"/>
  <c r="AB3"/>
  <c r="AA22"/>
  <c r="Y24"/>
  <c r="Z24" s="1"/>
  <c r="AA27"/>
  <c r="AA29"/>
  <c r="A26" i="51"/>
  <c r="B19" i="63" s="1"/>
  <c r="AB20" i="59"/>
  <c r="AB18"/>
  <c r="Y14"/>
  <c r="Z14" s="1"/>
  <c r="AA13"/>
  <c r="Y12"/>
  <c r="Z12" s="1"/>
  <c r="C71"/>
  <c r="D71" s="1"/>
  <c r="AA3"/>
  <c r="AA24"/>
  <c r="AB27"/>
  <c r="AB29"/>
  <c r="Y30"/>
  <c r="Z30" s="1"/>
  <c r="AE10" i="46"/>
  <c r="F21" i="59"/>
  <c r="AA20"/>
  <c r="P75" i="15"/>
  <c r="X18" i="59"/>
  <c r="AA15"/>
  <c r="AB13"/>
  <c r="Y11"/>
  <c r="Z11" s="1"/>
  <c r="X9"/>
  <c r="X10"/>
  <c r="X7"/>
  <c r="D60"/>
  <c r="AB22"/>
  <c r="AB24"/>
  <c r="E27"/>
  <c r="E28" s="1"/>
  <c r="E29" s="1"/>
  <c r="U29" s="1"/>
  <c r="X28"/>
  <c r="V61"/>
  <c r="E21"/>
  <c r="Y20"/>
  <c r="Z20" s="1"/>
  <c r="X17"/>
  <c r="AA14"/>
  <c r="AA12"/>
  <c r="Y9"/>
  <c r="Z9" s="1"/>
  <c r="Y10"/>
  <c r="Z10" s="1"/>
  <c r="X6"/>
  <c r="Y6"/>
  <c r="Z6" s="1"/>
  <c r="X20"/>
  <c r="Y17"/>
  <c r="Z17" s="1"/>
  <c r="AB15"/>
  <c r="AA11"/>
  <c r="AA9"/>
  <c r="AA10"/>
  <c r="X5"/>
  <c r="Y5"/>
  <c r="Z5" s="1"/>
  <c r="D32"/>
  <c r="C79"/>
  <c r="D79" s="1"/>
  <c r="B59"/>
  <c r="D35"/>
  <c r="E23"/>
  <c r="E24" s="1"/>
  <c r="E25" s="1"/>
  <c r="U25" s="1"/>
  <c r="Y23"/>
  <c r="Z23" s="1"/>
  <c r="Y25"/>
  <c r="Z25" s="1"/>
  <c r="X26"/>
  <c r="AA28"/>
  <c r="AB31"/>
  <c r="X21"/>
  <c r="K76" i="9"/>
  <c r="Y19" i="59"/>
  <c r="Z19" s="1"/>
  <c r="AA17"/>
  <c r="X16"/>
  <c r="AB14"/>
  <c r="AB12"/>
  <c r="AB9"/>
  <c r="AB10"/>
  <c r="X8"/>
  <c r="Y8"/>
  <c r="Z8" s="1"/>
  <c r="X22"/>
  <c r="AA23"/>
  <c r="AA25"/>
  <c r="C27"/>
  <c r="AB26"/>
  <c r="AB28"/>
  <c r="E31"/>
  <c r="E32" s="1"/>
  <c r="E33" s="1"/>
  <c r="U33" s="1"/>
  <c r="Y21"/>
  <c r="Z21" s="1"/>
  <c r="B21"/>
  <c r="AB19"/>
  <c r="AB17"/>
  <c r="Y16"/>
  <c r="Z16" s="1"/>
  <c r="X15"/>
  <c r="AB11"/>
  <c r="AB7"/>
  <c r="AA7"/>
  <c r="G17" i="46"/>
  <c r="C16" s="1"/>
  <c r="C31" i="43"/>
  <c r="BL13" i="3"/>
  <c r="H12" i="48"/>
  <c r="G6" i="1"/>
  <c r="L48" i="35"/>
  <c r="M48" s="1"/>
  <c r="N48" s="1"/>
  <c r="O48" s="1"/>
  <c r="I46" i="36"/>
  <c r="J46" s="1"/>
  <c r="K46" s="1"/>
  <c r="L46" s="1"/>
  <c r="M46" s="1"/>
  <c r="N46" s="1"/>
  <c r="O46" s="1"/>
  <c r="L52" i="37"/>
  <c r="M52" s="1"/>
  <c r="N52" s="1"/>
  <c r="O52" s="1"/>
  <c r="H7" i="36"/>
  <c r="F72" i="39"/>
  <c r="D58" i="33"/>
  <c r="D58" i="21"/>
  <c r="D59" i="34"/>
  <c r="C95" i="9"/>
  <c r="C92" s="1"/>
  <c r="C27" i="43"/>
  <c r="H71" i="46"/>
  <c r="H70"/>
  <c r="H76"/>
  <c r="F28" i="15"/>
  <c r="C28" s="1"/>
  <c r="F30" i="44"/>
  <c r="C30" s="1"/>
  <c r="M20"/>
  <c r="F70" i="9"/>
  <c r="F32" i="15"/>
  <c r="F59" s="1"/>
  <c r="F72" i="9"/>
  <c r="F66"/>
  <c r="P72" s="1"/>
  <c r="O9" i="1"/>
  <c r="P9" s="1"/>
  <c r="C18" i="11"/>
  <c r="K77" i="9"/>
  <c r="K79" s="1"/>
  <c r="K81" s="1"/>
  <c r="E12" i="52"/>
  <c r="B15"/>
  <c r="F31" i="15"/>
  <c r="F33" i="44"/>
  <c r="E9" i="59"/>
  <c r="B4" i="52"/>
  <c r="B7"/>
  <c r="E14"/>
  <c r="E6"/>
  <c r="E11"/>
  <c r="E9"/>
  <c r="E7"/>
  <c r="B9"/>
  <c r="E4"/>
  <c r="E13"/>
  <c r="B8"/>
  <c r="E10"/>
  <c r="B10"/>
  <c r="B6"/>
  <c r="B5"/>
  <c r="B11"/>
  <c r="B12"/>
  <c r="E8"/>
  <c r="B14"/>
  <c r="E5"/>
  <c r="Y3" i="59"/>
  <c r="Z3" s="1"/>
  <c r="P22" i="46"/>
  <c r="P24"/>
  <c r="B68" i="40" s="1"/>
  <c r="P23" i="46"/>
  <c r="P25"/>
  <c r="P21"/>
  <c r="E20"/>
  <c r="I1" i="65"/>
  <c r="C4"/>
  <c r="B39" i="1" s="1"/>
  <c r="C15" i="89"/>
  <c r="J15" i="15"/>
  <c r="F38"/>
  <c r="L48"/>
  <c r="M24" i="44"/>
  <c r="F40"/>
  <c r="E2" i="65"/>
  <c r="M11" i="44"/>
  <c r="M29"/>
  <c r="F9"/>
  <c r="J17"/>
  <c r="F40" i="15"/>
  <c r="J4" i="65"/>
  <c r="J36" i="15"/>
  <c r="F46" i="44"/>
  <c r="F11"/>
  <c r="M31"/>
  <c r="F8" i="15"/>
  <c r="F18" i="44"/>
  <c r="D21" i="12"/>
  <c r="M22" i="15"/>
  <c r="F10" i="44"/>
  <c r="F42" i="15"/>
  <c r="F9"/>
  <c r="F36"/>
  <c r="D21" i="89"/>
  <c r="F43" i="44"/>
  <c r="M27" i="15"/>
  <c r="M24"/>
  <c r="M28"/>
  <c r="M28" i="44"/>
  <c r="M29" i="15"/>
  <c r="F37"/>
  <c r="F8" i="44"/>
  <c r="M9" i="15"/>
  <c r="L48" i="44"/>
  <c r="F28"/>
  <c r="F13" i="15"/>
  <c r="C15" i="72"/>
  <c r="D21"/>
  <c r="L47" i="15"/>
  <c r="F7"/>
  <c r="M26"/>
  <c r="F26"/>
  <c r="F45" i="44"/>
  <c r="F33" i="89"/>
  <c r="F39" i="44"/>
  <c r="M25"/>
  <c r="F38"/>
  <c r="M8" i="15"/>
  <c r="M26" i="44"/>
  <c r="L49"/>
  <c r="F15"/>
  <c r="J6" i="65"/>
  <c r="F33" i="83"/>
  <c r="F6" i="15"/>
  <c r="I7" i="65"/>
  <c r="M30" i="44"/>
  <c r="F33" i="72"/>
  <c r="F41" i="15"/>
  <c r="M10" i="44"/>
  <c r="M6" i="15"/>
  <c r="M8" i="44"/>
  <c r="F43" i="15"/>
  <c r="M23"/>
  <c r="D21" i="83"/>
  <c r="F16" i="15"/>
  <c r="J7" i="65"/>
  <c r="J3"/>
  <c r="C34" i="89" l="1"/>
  <c r="D33" s="1"/>
  <c r="C21"/>
  <c r="C20" s="1"/>
  <c r="C34" i="83"/>
  <c r="D33" s="1"/>
  <c r="C59" i="88"/>
  <c r="D59" s="1"/>
  <c r="E59" s="1"/>
  <c r="F59" s="1"/>
  <c r="G59" s="1"/>
  <c r="H59" s="1"/>
  <c r="I59" s="1"/>
  <c r="J59" s="1"/>
  <c r="K59" s="1"/>
  <c r="L59" s="1"/>
  <c r="M59" s="1"/>
  <c r="N59" s="1"/>
  <c r="O59" s="1"/>
  <c r="E7"/>
  <c r="G7"/>
  <c r="H7" s="1"/>
  <c r="I7"/>
  <c r="L24" i="6"/>
  <c r="H73" i="46"/>
  <c r="H75"/>
  <c r="F7" i="36"/>
  <c r="J7" i="35"/>
  <c r="E29" i="6"/>
  <c r="L19" s="1"/>
  <c r="L27" s="1"/>
  <c r="C72" i="90"/>
  <c r="D70"/>
  <c r="B73" i="77"/>
  <c r="B73" i="90"/>
  <c r="P21" i="82"/>
  <c r="P25"/>
  <c r="P22"/>
  <c r="M20"/>
  <c r="P23"/>
  <c r="O19"/>
  <c r="P24"/>
  <c r="M84" i="9"/>
  <c r="N84" s="1"/>
  <c r="M85"/>
  <c r="N85" s="1"/>
  <c r="M88"/>
  <c r="N88" s="1"/>
  <c r="M86"/>
  <c r="N86" s="1"/>
  <c r="M87"/>
  <c r="N87" s="1"/>
  <c r="H74" i="46"/>
  <c r="H72"/>
  <c r="J7" i="36"/>
  <c r="H7" i="35"/>
  <c r="AZ18" i="3"/>
  <c r="H69" i="46"/>
  <c r="F7" i="35"/>
  <c r="I20" i="46"/>
  <c r="E65" i="40"/>
  <c r="AZ14" i="3"/>
  <c r="C21" i="83"/>
  <c r="M6" i="1"/>
  <c r="S19" i="39"/>
  <c r="U23" i="21"/>
  <c r="G101"/>
  <c r="H101" s="1"/>
  <c r="I101" s="1"/>
  <c r="J101" s="1"/>
  <c r="K101" s="1"/>
  <c r="L101" s="1"/>
  <c r="M101" s="1"/>
  <c r="H32"/>
  <c r="AA19"/>
  <c r="AA32"/>
  <c r="M8" i="1"/>
  <c r="O8" s="1"/>
  <c r="P8" s="1"/>
  <c r="H48" i="46"/>
  <c r="G48" s="1"/>
  <c r="H49"/>
  <c r="G49" s="1"/>
  <c r="M49" s="1"/>
  <c r="N49" s="1"/>
  <c r="H47"/>
  <c r="G47" s="1"/>
  <c r="K47" s="1"/>
  <c r="H54"/>
  <c r="G54" s="1"/>
  <c r="M54" s="1"/>
  <c r="N54" s="1"/>
  <c r="H51"/>
  <c r="G51" s="1"/>
  <c r="K51" s="1"/>
  <c r="H52"/>
  <c r="G52" s="1"/>
  <c r="K52" s="1"/>
  <c r="J52" s="1"/>
  <c r="D52" s="1"/>
  <c r="H50"/>
  <c r="G50" s="1"/>
  <c r="M50" s="1"/>
  <c r="N50" s="1"/>
  <c r="H53"/>
  <c r="G53" s="1"/>
  <c r="K53" s="1"/>
  <c r="H55"/>
  <c r="G55" s="1"/>
  <c r="M55" s="1"/>
  <c r="N55" s="1"/>
  <c r="D5"/>
  <c r="K54"/>
  <c r="J54" s="1"/>
  <c r="D54" s="1"/>
  <c r="M47"/>
  <c r="N47" s="1"/>
  <c r="K49"/>
  <c r="K55"/>
  <c r="K50"/>
  <c r="M52"/>
  <c r="N52" s="1"/>
  <c r="O28" i="82"/>
  <c r="M28"/>
  <c r="N28"/>
  <c r="P28"/>
  <c r="H16" i="1"/>
  <c r="C34" i="72"/>
  <c r="D33" s="1"/>
  <c r="C21"/>
  <c r="G5" i="3"/>
  <c r="B3" s="1"/>
  <c r="B73" i="39"/>
  <c r="M20" i="69"/>
  <c r="P24"/>
  <c r="P22"/>
  <c r="O19"/>
  <c r="P25"/>
  <c r="P23"/>
  <c r="P21"/>
  <c r="C72" i="77"/>
  <c r="D70"/>
  <c r="I20" i="69"/>
  <c r="G7" i="1"/>
  <c r="G16" s="1"/>
  <c r="U12" i="39" s="1"/>
  <c r="AC19"/>
  <c r="W34"/>
  <c r="AA36"/>
  <c r="S36"/>
  <c r="AB36"/>
  <c r="U36"/>
  <c r="AC36"/>
  <c r="W36"/>
  <c r="AB27"/>
  <c r="S27"/>
  <c r="AA34"/>
  <c r="S34"/>
  <c r="G97"/>
  <c r="J23"/>
  <c r="U23"/>
  <c r="U19"/>
  <c r="F37" i="34"/>
  <c r="H37"/>
  <c r="U37" s="1"/>
  <c r="J37"/>
  <c r="W37" s="1"/>
  <c r="D18" i="9"/>
  <c r="M44" s="1"/>
  <c r="M43"/>
  <c r="AC17" i="33"/>
  <c r="AC23" i="34"/>
  <c r="U36" i="33"/>
  <c r="F36"/>
  <c r="AB14" i="34"/>
  <c r="U14"/>
  <c r="W14"/>
  <c r="AC14"/>
  <c r="AB28"/>
  <c r="U28"/>
  <c r="W27"/>
  <c r="AC37"/>
  <c r="AB37"/>
  <c r="AB23"/>
  <c r="C21" i="12"/>
  <c r="BL5" i="3"/>
  <c r="C5" i="46"/>
  <c r="F9" i="78" s="1"/>
  <c r="Q73" i="44"/>
  <c r="C29"/>
  <c r="J60"/>
  <c r="J61"/>
  <c r="Q50" s="1"/>
  <c r="J58"/>
  <c r="J56" s="1"/>
  <c r="J59" s="1"/>
  <c r="Q52" s="1"/>
  <c r="I55"/>
  <c r="J54"/>
  <c r="F1" s="1"/>
  <c r="L57"/>
  <c r="M9"/>
  <c r="J8" s="1"/>
  <c r="J20" s="1"/>
  <c r="C8"/>
  <c r="C34" s="1"/>
  <c r="L60"/>
  <c r="Q76" s="1"/>
  <c r="L59"/>
  <c r="Q75" s="1"/>
  <c r="L59" i="15"/>
  <c r="Q75" s="1"/>
  <c r="L58"/>
  <c r="Q61" s="1"/>
  <c r="F50"/>
  <c r="F65"/>
  <c r="I54"/>
  <c r="L56"/>
  <c r="J57"/>
  <c r="J55" s="1"/>
  <c r="J58" s="1"/>
  <c r="Q51" s="1"/>
  <c r="J53"/>
  <c r="F1" s="1"/>
  <c r="Q72"/>
  <c r="M7"/>
  <c r="M17" s="1"/>
  <c r="F49"/>
  <c r="C27"/>
  <c r="F70"/>
  <c r="F67"/>
  <c r="F68"/>
  <c r="C6"/>
  <c r="C32" s="1"/>
  <c r="F63"/>
  <c r="F64"/>
  <c r="G28" i="6"/>
  <c r="AZ13" i="3"/>
  <c r="AZ19"/>
  <c r="E8" i="6"/>
  <c r="E58" i="90" s="1"/>
  <c r="E10" i="6"/>
  <c r="E13"/>
  <c r="E65" i="90" s="1"/>
  <c r="E15" i="6"/>
  <c r="E67" i="90" s="1"/>
  <c r="E28" i="6"/>
  <c r="K14" i="1" s="1"/>
  <c r="M14" s="1"/>
  <c r="O14" s="1"/>
  <c r="P14" s="1"/>
  <c r="G30" i="6"/>
  <c r="G31" s="1"/>
  <c r="E11"/>
  <c r="E63" i="90" s="1"/>
  <c r="E14" i="6"/>
  <c r="E66" i="90" s="1"/>
  <c r="E12" i="6"/>
  <c r="E64" i="90" s="1"/>
  <c r="AP16" i="1"/>
  <c r="F22" i="11" s="1"/>
  <c r="A3" i="55"/>
  <c r="B56" i="63" s="1"/>
  <c r="A25" i="51"/>
  <c r="B18" i="63" s="1"/>
  <c r="A17" i="64"/>
  <c r="P28" i="69"/>
  <c r="O28"/>
  <c r="M28"/>
  <c r="N28"/>
  <c r="G20" s="1"/>
  <c r="F7" i="37"/>
  <c r="S7" s="1"/>
  <c r="H70" i="39"/>
  <c r="G72"/>
  <c r="F58" i="15"/>
  <c r="J1" i="65"/>
  <c r="E297" i="3"/>
  <c r="Q6"/>
  <c r="E556"/>
  <c r="E513"/>
  <c r="E489"/>
  <c r="E269"/>
  <c r="E254"/>
  <c r="E221"/>
  <c r="E44"/>
  <c r="E190"/>
  <c r="E145"/>
  <c r="E529"/>
  <c r="E106"/>
  <c r="E484"/>
  <c r="E60"/>
  <c r="E207"/>
  <c r="E87"/>
  <c r="AJ6"/>
  <c r="E483"/>
  <c r="E346"/>
  <c r="E391"/>
  <c r="E131"/>
  <c r="E550"/>
  <c r="L6"/>
  <c r="E465"/>
  <c r="E448"/>
  <c r="E123"/>
  <c r="E508"/>
  <c r="E277"/>
  <c r="E267"/>
  <c r="E371"/>
  <c r="E322"/>
  <c r="E564"/>
  <c r="E55"/>
  <c r="E388"/>
  <c r="E411"/>
  <c r="E100"/>
  <c r="E179"/>
  <c r="E111"/>
  <c r="E393"/>
  <c r="E517"/>
  <c r="E229"/>
  <c r="E355"/>
  <c r="E436"/>
  <c r="E339"/>
  <c r="E342"/>
  <c r="E488"/>
  <c r="E326"/>
  <c r="E295"/>
  <c r="E33"/>
  <c r="E568"/>
  <c r="E451"/>
  <c r="E126"/>
  <c r="E51"/>
  <c r="AF6"/>
  <c r="E334"/>
  <c r="E392"/>
  <c r="E144"/>
  <c r="E497"/>
  <c r="E563"/>
  <c r="E565"/>
  <c r="E46"/>
  <c r="E327"/>
  <c r="E68"/>
  <c r="E349"/>
  <c r="E86"/>
  <c r="E186"/>
  <c r="E164"/>
  <c r="E249"/>
  <c r="E75"/>
  <c r="E401"/>
  <c r="E258"/>
  <c r="E370"/>
  <c r="AI6"/>
  <c r="E554"/>
  <c r="E50"/>
  <c r="E354"/>
  <c r="E335"/>
  <c r="E496"/>
  <c r="E252"/>
  <c r="E475"/>
  <c r="E321"/>
  <c r="E520"/>
  <c r="E99"/>
  <c r="E304"/>
  <c r="E28"/>
  <c r="E407"/>
  <c r="E37"/>
  <c r="E467"/>
  <c r="E214"/>
  <c r="E543"/>
  <c r="E369"/>
  <c r="E105"/>
  <c r="E505"/>
  <c r="E302"/>
  <c r="E287"/>
  <c r="E306"/>
  <c r="E551"/>
  <c r="E16"/>
  <c r="E95"/>
  <c r="E298"/>
  <c r="E315"/>
  <c r="E159"/>
  <c r="E384"/>
  <c r="E487"/>
  <c r="S6"/>
  <c r="E377"/>
  <c r="E20"/>
  <c r="E348"/>
  <c r="E282"/>
  <c r="E83"/>
  <c r="E77"/>
  <c r="E351"/>
  <c r="E301"/>
  <c r="E381"/>
  <c r="E376"/>
  <c r="E140"/>
  <c r="E468"/>
  <c r="E27"/>
  <c r="E561"/>
  <c r="E390"/>
  <c r="E199"/>
  <c r="E218"/>
  <c r="E174"/>
  <c r="E398"/>
  <c r="E473"/>
  <c r="E151"/>
  <c r="E47"/>
  <c r="E397"/>
  <c r="E427"/>
  <c r="E294"/>
  <c r="E343"/>
  <c r="E109"/>
  <c r="E412"/>
  <c r="E482"/>
  <c r="E232"/>
  <c r="E78"/>
  <c r="E225"/>
  <c r="E490"/>
  <c r="E63"/>
  <c r="E422"/>
  <c r="E193"/>
  <c r="R6"/>
  <c r="E84"/>
  <c r="E38"/>
  <c r="E405"/>
  <c r="E49"/>
  <c r="E125"/>
  <c r="AP6"/>
  <c r="E53"/>
  <c r="E158"/>
  <c r="E184"/>
  <c r="E337"/>
  <c r="E537"/>
  <c r="E536"/>
  <c r="E545"/>
  <c r="S21" i="59"/>
  <c r="B20"/>
  <c r="B19" s="1"/>
  <c r="N4" i="63"/>
  <c r="B21"/>
  <c r="C25" i="59"/>
  <c r="D24"/>
  <c r="D20"/>
  <c r="C19"/>
  <c r="D19" s="1"/>
  <c r="B12"/>
  <c r="B11" s="1"/>
  <c r="B10" s="1"/>
  <c r="B9" s="1"/>
  <c r="S13"/>
  <c r="E166" i="3"/>
  <c r="E528"/>
  <c r="W25" i="37"/>
  <c r="AC25"/>
  <c r="AA13" i="21"/>
  <c r="S13"/>
  <c r="AC12"/>
  <c r="W12"/>
  <c r="C49" i="59"/>
  <c r="D48"/>
  <c r="D52"/>
  <c r="C53"/>
  <c r="AZ84" i="3"/>
  <c r="AZ5" s="1"/>
  <c r="AZ29"/>
  <c r="BA5"/>
  <c r="E206"/>
  <c r="E217"/>
  <c r="E428"/>
  <c r="AA9" i="33"/>
  <c r="S9"/>
  <c r="U26"/>
  <c r="AB26"/>
  <c r="AC13" i="21"/>
  <c r="W13"/>
  <c r="E150" i="3"/>
  <c r="AZ412"/>
  <c r="E19"/>
  <c r="K15" i="1"/>
  <c r="E8" i="59"/>
  <c r="E7" s="1"/>
  <c r="E6" s="1"/>
  <c r="E5" s="1"/>
  <c r="U9"/>
  <c r="N58"/>
  <c r="N59"/>
  <c r="AZ171" i="3"/>
  <c r="AZ105"/>
  <c r="E241"/>
  <c r="AZ243"/>
  <c r="E552"/>
  <c r="S45" i="34"/>
  <c r="AA45"/>
  <c r="C57" i="59"/>
  <c r="D56"/>
  <c r="AZ240" i="3"/>
  <c r="U31" i="21"/>
  <c r="AB31"/>
  <c r="W45" i="34"/>
  <c r="AC45"/>
  <c r="C28" i="59"/>
  <c r="D27"/>
  <c r="E202" i="3"/>
  <c r="AZ155"/>
  <c r="AZ190"/>
  <c r="E403"/>
  <c r="E540"/>
  <c r="AC36" i="35"/>
  <c r="W36"/>
  <c r="AC31" i="21"/>
  <c r="W31"/>
  <c r="AB46" i="33"/>
  <c r="U46"/>
  <c r="AA44" i="21"/>
  <c r="S44"/>
  <c r="U21" i="59"/>
  <c r="E20"/>
  <c r="E19" s="1"/>
  <c r="V21"/>
  <c r="F20"/>
  <c r="F19" s="1"/>
  <c r="T37"/>
  <c r="D37"/>
  <c r="E39" i="3"/>
  <c r="E141"/>
  <c r="E212"/>
  <c r="AA26" i="37"/>
  <c r="S26"/>
  <c r="S12" i="21"/>
  <c r="AA12"/>
  <c r="AA46" i="33"/>
  <c r="S46"/>
  <c r="U45" i="21"/>
  <c r="AB45"/>
  <c r="U44"/>
  <c r="AB44"/>
  <c r="D16" i="59"/>
  <c r="C15"/>
  <c r="M12" i="1"/>
  <c r="Q16"/>
  <c r="E400" i="3"/>
  <c r="E516"/>
  <c r="AA45" i="21"/>
  <c r="S45"/>
  <c r="AB12"/>
  <c r="U12"/>
  <c r="F8" i="59"/>
  <c r="F7" s="1"/>
  <c r="F6" s="1"/>
  <c r="F5" s="1"/>
  <c r="V9"/>
  <c r="J7" i="37"/>
  <c r="AC7" s="1"/>
  <c r="V42" s="1"/>
  <c r="I42" s="1"/>
  <c r="H7"/>
  <c r="AB7" s="1"/>
  <c r="T42" s="1"/>
  <c r="G42" s="1"/>
  <c r="AB7" i="36"/>
  <c r="T36" s="1"/>
  <c r="G36" s="1"/>
  <c r="U7"/>
  <c r="S7"/>
  <c r="AA7"/>
  <c r="R36" s="1"/>
  <c r="AA7" i="35"/>
  <c r="R38" s="1"/>
  <c r="S7"/>
  <c r="AC7"/>
  <c r="V38" s="1"/>
  <c r="I38" s="1"/>
  <c r="W7"/>
  <c r="E59" i="34"/>
  <c r="E58" i="21"/>
  <c r="E58" i="33"/>
  <c r="W7" i="36"/>
  <c r="AC7"/>
  <c r="V36" s="1"/>
  <c r="I36" s="1"/>
  <c r="U7" i="35"/>
  <c r="AB7"/>
  <c r="T38" s="1"/>
  <c r="G38" s="1"/>
  <c r="M19" i="44"/>
  <c r="B40" i="1"/>
  <c r="F26" i="89" s="1"/>
  <c r="M13" i="44"/>
  <c r="J12" s="1"/>
  <c r="F11" i="15"/>
  <c r="M11"/>
  <c r="J10" s="1"/>
  <c r="F13" i="44"/>
  <c r="C12" s="1"/>
  <c r="M28" i="46"/>
  <c r="P28"/>
  <c r="O28"/>
  <c r="N28"/>
  <c r="C16" i="15"/>
  <c r="C18" i="44"/>
  <c r="E3" i="65"/>
  <c r="G20" i="82" l="1"/>
  <c r="C20" s="1"/>
  <c r="F7" i="88"/>
  <c r="F65" i="40"/>
  <c r="E67"/>
  <c r="AB7" i="88"/>
  <c r="T49" s="1"/>
  <c r="G49" s="1"/>
  <c r="U7"/>
  <c r="AA7" i="37"/>
  <c r="R42" s="1"/>
  <c r="M53" i="46"/>
  <c r="N53" s="1"/>
  <c r="J47"/>
  <c r="D47"/>
  <c r="D72" i="90"/>
  <c r="E70"/>
  <c r="M51" i="46"/>
  <c r="N51" s="1"/>
  <c r="J7" i="88"/>
  <c r="E68" i="90"/>
  <c r="C13" i="83"/>
  <c r="C17" s="1"/>
  <c r="C15" i="43"/>
  <c r="O6" i="1"/>
  <c r="P6" s="1"/>
  <c r="C27" i="89"/>
  <c r="D26" s="1"/>
  <c r="C32" s="1"/>
  <c r="D30" s="1"/>
  <c r="U32" i="21"/>
  <c r="AB32"/>
  <c r="M48" i="46"/>
  <c r="N48" s="1"/>
  <c r="K48"/>
  <c r="J48" s="1"/>
  <c r="D48" s="1"/>
  <c r="J53"/>
  <c r="D53"/>
  <c r="J49"/>
  <c r="D49"/>
  <c r="J51"/>
  <c r="D51"/>
  <c r="J50"/>
  <c r="D50"/>
  <c r="J55"/>
  <c r="D55"/>
  <c r="F26" i="72"/>
  <c r="C27" s="1"/>
  <c r="D26" s="1"/>
  <c r="C32" s="1"/>
  <c r="D30" s="1"/>
  <c r="F26" i="83"/>
  <c r="I9" i="78"/>
  <c r="H9"/>
  <c r="G9"/>
  <c r="E270" i="3"/>
  <c r="E492"/>
  <c r="E170"/>
  <c r="E447"/>
  <c r="E500"/>
  <c r="E136"/>
  <c r="E332"/>
  <c r="E445"/>
  <c r="E291"/>
  <c r="E365"/>
  <c r="E336"/>
  <c r="E65"/>
  <c r="E345"/>
  <c r="E440"/>
  <c r="E362"/>
  <c r="E502"/>
  <c r="E286"/>
  <c r="E320"/>
  <c r="E284"/>
  <c r="E181"/>
  <c r="E338"/>
  <c r="E518"/>
  <c r="E515"/>
  <c r="E542"/>
  <c r="E341"/>
  <c r="E318"/>
  <c r="E413"/>
  <c r="E437"/>
  <c r="E31"/>
  <c r="E299"/>
  <c r="E62"/>
  <c r="E408"/>
  <c r="E36"/>
  <c r="E205"/>
  <c r="E357"/>
  <c r="E383"/>
  <c r="E420"/>
  <c r="E203"/>
  <c r="E172"/>
  <c r="E417"/>
  <c r="E279"/>
  <c r="E58"/>
  <c r="E285"/>
  <c r="E433"/>
  <c r="E300"/>
  <c r="E538"/>
  <c r="E307"/>
  <c r="E210"/>
  <c r="E169"/>
  <c r="E163"/>
  <c r="E368"/>
  <c r="E137"/>
  <c r="AN6"/>
  <c r="E450"/>
  <c r="E549"/>
  <c r="E292"/>
  <c r="E178"/>
  <c r="E455"/>
  <c r="E257"/>
  <c r="E204"/>
  <c r="E449"/>
  <c r="E308"/>
  <c r="E160"/>
  <c r="E133"/>
  <c r="E458"/>
  <c r="E256"/>
  <c r="E319"/>
  <c r="E569"/>
  <c r="E546"/>
  <c r="E251"/>
  <c r="E122"/>
  <c r="E485"/>
  <c r="E532"/>
  <c r="E521"/>
  <c r="E461"/>
  <c r="E155"/>
  <c r="E541"/>
  <c r="AO6"/>
  <c r="E132"/>
  <c r="E359"/>
  <c r="E127"/>
  <c r="E548"/>
  <c r="AK6"/>
  <c r="E92"/>
  <c r="E30"/>
  <c r="E161"/>
  <c r="E32"/>
  <c r="AE6"/>
  <c r="E139"/>
  <c r="E527"/>
  <c r="AR6"/>
  <c r="AC6" s="1"/>
  <c r="E72"/>
  <c r="E314"/>
  <c r="E183"/>
  <c r="E42"/>
  <c r="E562"/>
  <c r="E494"/>
  <c r="E316"/>
  <c r="E446"/>
  <c r="AA6"/>
  <c r="E230"/>
  <c r="E374"/>
  <c r="AS6"/>
  <c r="E233"/>
  <c r="E255"/>
  <c r="E347"/>
  <c r="E61"/>
  <c r="E530"/>
  <c r="E90"/>
  <c r="E226"/>
  <c r="E504"/>
  <c r="E464"/>
  <c r="I3" i="6"/>
  <c r="E48" i="3"/>
  <c r="O6"/>
  <c r="E259"/>
  <c r="E242"/>
  <c r="E29"/>
  <c r="E456"/>
  <c r="E15"/>
  <c r="E208"/>
  <c r="E340"/>
  <c r="E328"/>
  <c r="E557"/>
  <c r="E91"/>
  <c r="E215"/>
  <c r="E41"/>
  <c r="E367"/>
  <c r="E34"/>
  <c r="E189"/>
  <c r="E275"/>
  <c r="E429"/>
  <c r="E372"/>
  <c r="E154"/>
  <c r="E309"/>
  <c r="E74"/>
  <c r="E224"/>
  <c r="E66"/>
  <c r="E271"/>
  <c r="E493"/>
  <c r="E81"/>
  <c r="E524"/>
  <c r="E182"/>
  <c r="E312"/>
  <c r="E512"/>
  <c r="E567"/>
  <c r="E26"/>
  <c r="E17"/>
  <c r="E509"/>
  <c r="E476"/>
  <c r="E93"/>
  <c r="E570"/>
  <c r="E124"/>
  <c r="E146"/>
  <c r="E57"/>
  <c r="E471"/>
  <c r="E237"/>
  <c r="E223"/>
  <c r="E317"/>
  <c r="E444"/>
  <c r="E560"/>
  <c r="E261"/>
  <c r="E288"/>
  <c r="E88"/>
  <c r="E220"/>
  <c r="E453"/>
  <c r="E162"/>
  <c r="E120"/>
  <c r="E555"/>
  <c r="E499"/>
  <c r="E173"/>
  <c r="E260"/>
  <c r="E153"/>
  <c r="E14"/>
  <c r="E364"/>
  <c r="E522"/>
  <c r="E227"/>
  <c r="E71"/>
  <c r="E382"/>
  <c r="E481"/>
  <c r="E157"/>
  <c r="E201"/>
  <c r="E547"/>
  <c r="E119"/>
  <c r="E289"/>
  <c r="E539"/>
  <c r="E52"/>
  <c r="U6"/>
  <c r="E73"/>
  <c r="E211"/>
  <c r="E466"/>
  <c r="E198"/>
  <c r="E290"/>
  <c r="E40"/>
  <c r="E324"/>
  <c r="E325"/>
  <c r="E216"/>
  <c r="E373"/>
  <c r="T6"/>
  <c r="E219"/>
  <c r="E571"/>
  <c r="E566"/>
  <c r="E273"/>
  <c r="E112"/>
  <c r="E175"/>
  <c r="M6"/>
  <c r="E152"/>
  <c r="E457"/>
  <c r="AD6"/>
  <c r="E200"/>
  <c r="E143"/>
  <c r="E147"/>
  <c r="E117"/>
  <c r="E311"/>
  <c r="E262"/>
  <c r="E135"/>
  <c r="E231"/>
  <c r="E82"/>
  <c r="E118"/>
  <c r="E395"/>
  <c r="E209"/>
  <c r="E460"/>
  <c r="E426"/>
  <c r="J6"/>
  <c r="E79"/>
  <c r="E272"/>
  <c r="E25"/>
  <c r="E479"/>
  <c r="E276"/>
  <c r="E526"/>
  <c r="E134"/>
  <c r="E239"/>
  <c r="E128"/>
  <c r="E525"/>
  <c r="E353"/>
  <c r="E236"/>
  <c r="E171"/>
  <c r="E531"/>
  <c r="E344"/>
  <c r="E366"/>
  <c r="E350"/>
  <c r="E352"/>
  <c r="E519"/>
  <c r="E544"/>
  <c r="E13"/>
  <c r="F1" i="46" s="1"/>
  <c r="E333" i="3"/>
  <c r="E195"/>
  <c r="E266"/>
  <c r="Z6"/>
  <c r="E22"/>
  <c r="E263"/>
  <c r="E250"/>
  <c r="E414"/>
  <c r="E404"/>
  <c r="E415"/>
  <c r="E503"/>
  <c r="E235"/>
  <c r="E222"/>
  <c r="E176"/>
  <c r="E196"/>
  <c r="E406"/>
  <c r="E228"/>
  <c r="E438"/>
  <c r="E165"/>
  <c r="E24"/>
  <c r="E416"/>
  <c r="E244"/>
  <c r="E425"/>
  <c r="N6"/>
  <c r="E462"/>
  <c r="E452"/>
  <c r="E472"/>
  <c r="E265"/>
  <c r="E213"/>
  <c r="W6"/>
  <c r="E70"/>
  <c r="P6"/>
  <c r="E104"/>
  <c r="E283"/>
  <c r="E313"/>
  <c r="E431"/>
  <c r="AH6"/>
  <c r="E534"/>
  <c r="E156"/>
  <c r="E129"/>
  <c r="E442"/>
  <c r="E423"/>
  <c r="E296"/>
  <c r="E443"/>
  <c r="E23"/>
  <c r="E293"/>
  <c r="E148"/>
  <c r="E410"/>
  <c r="E64"/>
  <c r="E94"/>
  <c r="E535"/>
  <c r="AM6"/>
  <c r="E253"/>
  <c r="E387"/>
  <c r="E54"/>
  <c r="E98"/>
  <c r="E110"/>
  <c r="E435"/>
  <c r="E187"/>
  <c r="E194"/>
  <c r="E469"/>
  <c r="E185"/>
  <c r="E142"/>
  <c r="E21"/>
  <c r="E278"/>
  <c r="E356"/>
  <c r="E510"/>
  <c r="E379"/>
  <c r="E430"/>
  <c r="E375"/>
  <c r="E394"/>
  <c r="E192"/>
  <c r="E358"/>
  <c r="E511"/>
  <c r="AB6"/>
  <c r="E310"/>
  <c r="E501"/>
  <c r="E323"/>
  <c r="E361"/>
  <c r="E498"/>
  <c r="E385"/>
  <c r="E246"/>
  <c r="E180"/>
  <c r="E188"/>
  <c r="E386"/>
  <c r="E419"/>
  <c r="AG6"/>
  <c r="V6"/>
  <c r="E264"/>
  <c r="E486"/>
  <c r="E67"/>
  <c r="E303"/>
  <c r="E533"/>
  <c r="E168"/>
  <c r="E441"/>
  <c r="E418"/>
  <c r="E470"/>
  <c r="I6"/>
  <c r="E115"/>
  <c r="E523"/>
  <c r="E138"/>
  <c r="E330"/>
  <c r="E495"/>
  <c r="E474"/>
  <c r="K6"/>
  <c r="E234"/>
  <c r="E477"/>
  <c r="E43"/>
  <c r="E102"/>
  <c r="E363"/>
  <c r="E463"/>
  <c r="E59"/>
  <c r="E101"/>
  <c r="E459"/>
  <c r="E424"/>
  <c r="E439"/>
  <c r="E389"/>
  <c r="X6"/>
  <c r="E69"/>
  <c r="E268"/>
  <c r="E553"/>
  <c r="E506"/>
  <c r="E360"/>
  <c r="E396"/>
  <c r="E559"/>
  <c r="E281"/>
  <c r="Y6"/>
  <c r="E305"/>
  <c r="E245"/>
  <c r="E97"/>
  <c r="E274"/>
  <c r="E280"/>
  <c r="E240"/>
  <c r="E572"/>
  <c r="E378"/>
  <c r="E432"/>
  <c r="E558"/>
  <c r="E191"/>
  <c r="AQ6"/>
  <c r="E480"/>
  <c r="E107"/>
  <c r="E247"/>
  <c r="E399"/>
  <c r="E238"/>
  <c r="E434"/>
  <c r="E409"/>
  <c r="E114"/>
  <c r="E18"/>
  <c r="E329"/>
  <c r="E514"/>
  <c r="E35"/>
  <c r="E108"/>
  <c r="E76"/>
  <c r="E121"/>
  <c r="E243"/>
  <c r="E116"/>
  <c r="E507"/>
  <c r="E80"/>
  <c r="E454"/>
  <c r="E421"/>
  <c r="E130"/>
  <c r="E56"/>
  <c r="E491"/>
  <c r="E96"/>
  <c r="E113"/>
  <c r="E149"/>
  <c r="AL6"/>
  <c r="E177"/>
  <c r="E197"/>
  <c r="E402"/>
  <c r="E478"/>
  <c r="E103"/>
  <c r="E380"/>
  <c r="E167"/>
  <c r="E45"/>
  <c r="E331"/>
  <c r="E248"/>
  <c r="E85"/>
  <c r="E89"/>
  <c r="E65" i="39"/>
  <c r="E65" i="77"/>
  <c r="E58" i="39"/>
  <c r="E58" i="77"/>
  <c r="E64" i="39"/>
  <c r="E64" i="77"/>
  <c r="E63" i="39"/>
  <c r="E63" i="77"/>
  <c r="E61" i="40"/>
  <c r="E66" i="77"/>
  <c r="E67" i="39"/>
  <c r="E67" i="77"/>
  <c r="E70"/>
  <c r="D72"/>
  <c r="AC23" i="39"/>
  <c r="W23"/>
  <c r="AA37" i="34"/>
  <c r="S37"/>
  <c r="S36" i="33"/>
  <c r="AA36"/>
  <c r="E41" i="69"/>
  <c r="C41" s="1"/>
  <c r="C20"/>
  <c r="E30" i="6"/>
  <c r="G20" i="46"/>
  <c r="E41" s="1"/>
  <c r="C41" s="1"/>
  <c r="C7" i="44"/>
  <c r="C40" s="1"/>
  <c r="L47"/>
  <c r="J7"/>
  <c r="J28" s="1"/>
  <c r="J31" s="1"/>
  <c r="Q63"/>
  <c r="Q62"/>
  <c r="Q53" i="15"/>
  <c r="Q62"/>
  <c r="Q74"/>
  <c r="J6"/>
  <c r="J5" s="1"/>
  <c r="Q54" i="44"/>
  <c r="C48" i="15"/>
  <c r="E58" i="40"/>
  <c r="E60"/>
  <c r="F27" i="6"/>
  <c r="F31" s="1"/>
  <c r="E53" i="40"/>
  <c r="E59"/>
  <c r="K16" i="1"/>
  <c r="E62" i="40"/>
  <c r="AB12" i="39"/>
  <c r="J12" i="40"/>
  <c r="AC12" s="1"/>
  <c r="E66" i="39"/>
  <c r="E16" i="6"/>
  <c r="S12" i="39"/>
  <c r="F12" i="40"/>
  <c r="S12" s="1"/>
  <c r="AC12" i="39"/>
  <c r="H12" i="40"/>
  <c r="U12" s="1"/>
  <c r="I70" i="39"/>
  <c r="H72"/>
  <c r="F17" i="11"/>
  <c r="C17" s="1"/>
  <c r="C19" s="1"/>
  <c r="C20" s="1"/>
  <c r="C21" s="1"/>
  <c r="C22" s="1"/>
  <c r="C23" s="1"/>
  <c r="B2" s="1"/>
  <c r="E3" i="6"/>
  <c r="AY6" i="3"/>
  <c r="AY88" s="1"/>
  <c r="W7" i="37"/>
  <c r="F24" i="43"/>
  <c r="C26" s="1"/>
  <c r="D24" s="1"/>
  <c r="T53" i="59"/>
  <c r="D53"/>
  <c r="T57"/>
  <c r="D57"/>
  <c r="O12" i="1"/>
  <c r="O16" s="1"/>
  <c r="M16"/>
  <c r="D15" i="59"/>
  <c r="C14"/>
  <c r="T25"/>
  <c r="D25"/>
  <c r="C29"/>
  <c r="D28"/>
  <c r="T49"/>
  <c r="D49"/>
  <c r="U7" i="37"/>
  <c r="B8" i="59"/>
  <c r="B7" s="1"/>
  <c r="B6" s="1"/>
  <c r="B5" s="1"/>
  <c r="S9"/>
  <c r="G42" i="35"/>
  <c r="H42" s="1"/>
  <c r="G43"/>
  <c r="H43" s="1"/>
  <c r="I40" i="36"/>
  <c r="J40" s="1"/>
  <c r="I46" i="37"/>
  <c r="J46" s="1"/>
  <c r="G46"/>
  <c r="H46" s="1"/>
  <c r="G47"/>
  <c r="H47" s="1"/>
  <c r="F59" i="34"/>
  <c r="I42" i="35"/>
  <c r="J42" s="1"/>
  <c r="R39"/>
  <c r="E38"/>
  <c r="I43" s="1"/>
  <c r="J43" s="1"/>
  <c r="R43" i="37"/>
  <c r="E42"/>
  <c r="G41" i="36"/>
  <c r="H41" s="1"/>
  <c r="G40"/>
  <c r="H40" s="1"/>
  <c r="F58" i="33"/>
  <c r="G58" s="1"/>
  <c r="H58" s="1"/>
  <c r="I58" s="1"/>
  <c r="J58" s="1"/>
  <c r="K58" s="1"/>
  <c r="L58" s="1"/>
  <c r="M58" s="1"/>
  <c r="N58" s="1"/>
  <c r="O58" s="1"/>
  <c r="F58" i="21"/>
  <c r="G58" s="1"/>
  <c r="H58" s="1"/>
  <c r="I58" s="1"/>
  <c r="J58" s="1"/>
  <c r="K58" s="1"/>
  <c r="L58" s="1"/>
  <c r="M58" s="1"/>
  <c r="N58" s="1"/>
  <c r="O58" s="1"/>
  <c r="R37" i="36"/>
  <c r="E36"/>
  <c r="C52" i="15"/>
  <c r="C10"/>
  <c r="C5" s="1"/>
  <c r="F21" i="43"/>
  <c r="C23" s="1"/>
  <c r="D21" s="1"/>
  <c r="F24" i="15"/>
  <c r="C24" s="1"/>
  <c r="F26" i="12"/>
  <c r="F26" i="44"/>
  <c r="C26" s="1"/>
  <c r="C15" i="12"/>
  <c r="C15" i="83"/>
  <c r="F33" i="12"/>
  <c r="E41" i="82" l="1"/>
  <c r="C41" s="1"/>
  <c r="C39" s="1"/>
  <c r="C27" i="74" s="1"/>
  <c r="E72" i="90"/>
  <c r="F70"/>
  <c r="G53" i="88"/>
  <c r="H53" s="1"/>
  <c r="H7" i="21"/>
  <c r="W7" i="88"/>
  <c r="AC7"/>
  <c r="V49" s="1"/>
  <c r="I49" s="1"/>
  <c r="S7"/>
  <c r="AA7"/>
  <c r="R49" s="1"/>
  <c r="F67" i="40"/>
  <c r="G65"/>
  <c r="C37" i="69"/>
  <c r="F1"/>
  <c r="F1" i="82"/>
  <c r="E47" i="46"/>
  <c r="B45" s="1"/>
  <c r="C24" s="1"/>
  <c r="C38" s="1"/>
  <c r="C21" i="74" s="1"/>
  <c r="C27" i="83"/>
  <c r="D26" s="1"/>
  <c r="C32" s="1"/>
  <c r="D30" s="1"/>
  <c r="T16" i="82"/>
  <c r="V16" s="1"/>
  <c r="T10"/>
  <c r="V10" s="1"/>
  <c r="T15"/>
  <c r="V15" s="1"/>
  <c r="T13"/>
  <c r="V13" s="1"/>
  <c r="T9"/>
  <c r="V9" s="1"/>
  <c r="T11"/>
  <c r="V11" s="1"/>
  <c r="T14"/>
  <c r="V14" s="1"/>
  <c r="T12"/>
  <c r="V12" s="1"/>
  <c r="T8"/>
  <c r="V8" s="1"/>
  <c r="C37"/>
  <c r="C33"/>
  <c r="C2" i="74" s="1"/>
  <c r="C36" i="82"/>
  <c r="C35"/>
  <c r="C34"/>
  <c r="H6" i="3"/>
  <c r="E68" i="77"/>
  <c r="E6" i="6"/>
  <c r="L38" i="73"/>
  <c r="D46"/>
  <c r="D44"/>
  <c r="D45"/>
  <c r="J7" i="21"/>
  <c r="AC7" s="1"/>
  <c r="J7" i="33"/>
  <c r="E72" i="77"/>
  <c r="F70"/>
  <c r="C34" i="12"/>
  <c r="D33" s="1"/>
  <c r="C33" i="69"/>
  <c r="C24" i="74"/>
  <c r="C34" i="69"/>
  <c r="C35"/>
  <c r="C36"/>
  <c r="T13"/>
  <c r="V13" s="1"/>
  <c r="T15"/>
  <c r="V15" s="1"/>
  <c r="T12"/>
  <c r="V12" s="1"/>
  <c r="T16"/>
  <c r="V16" s="1"/>
  <c r="T10"/>
  <c r="V10" s="1"/>
  <c r="T14"/>
  <c r="V14" s="1"/>
  <c r="T8"/>
  <c r="V8" s="1"/>
  <c r="T9"/>
  <c r="V9" s="1"/>
  <c r="T11"/>
  <c r="V11" s="1"/>
  <c r="C38"/>
  <c r="C39"/>
  <c r="C20" i="46"/>
  <c r="C39"/>
  <c r="E39" s="1"/>
  <c r="J26" i="44"/>
  <c r="J18" i="15"/>
  <c r="E27" i="6"/>
  <c r="K25" s="1"/>
  <c r="C47" i="15"/>
  <c r="C65" s="1"/>
  <c r="AY470" i="3"/>
  <c r="AY133"/>
  <c r="AB12" i="40"/>
  <c r="AA12"/>
  <c r="BO6" i="3"/>
  <c r="AY368"/>
  <c r="AY493"/>
  <c r="AY347"/>
  <c r="AY505"/>
  <c r="AY110"/>
  <c r="AY70"/>
  <c r="AY314"/>
  <c r="AY355"/>
  <c r="AY394"/>
  <c r="AY521"/>
  <c r="AY126"/>
  <c r="AY196"/>
  <c r="AY269"/>
  <c r="E6"/>
  <c r="W12" i="40"/>
  <c r="AY263" i="3"/>
  <c r="AY322"/>
  <c r="AY200"/>
  <c r="AY444"/>
  <c r="AY399"/>
  <c r="AY287"/>
  <c r="AY280"/>
  <c r="AY135"/>
  <c r="AY469"/>
  <c r="AY451"/>
  <c r="AY152"/>
  <c r="AY149"/>
  <c r="AY452"/>
  <c r="AY483"/>
  <c r="AY438"/>
  <c r="AY18"/>
  <c r="AY145"/>
  <c r="AY245"/>
  <c r="AY572"/>
  <c r="AY232"/>
  <c r="AY60"/>
  <c r="AY21"/>
  <c r="AY453"/>
  <c r="AY204"/>
  <c r="AY523"/>
  <c r="AY477"/>
  <c r="AY78"/>
  <c r="AY256"/>
  <c r="BM6"/>
  <c r="AY266"/>
  <c r="AY446"/>
  <c r="AY272"/>
  <c r="AY73"/>
  <c r="AY94"/>
  <c r="AY306"/>
  <c r="AY456"/>
  <c r="AY384"/>
  <c r="AY125"/>
  <c r="AY191"/>
  <c r="AY569"/>
  <c r="AY346"/>
  <c r="AY97"/>
  <c r="AY462"/>
  <c r="AY48"/>
  <c r="AY367"/>
  <c r="AY508"/>
  <c r="AY387"/>
  <c r="AY307"/>
  <c r="AY515"/>
  <c r="AY560"/>
  <c r="W12" i="39"/>
  <c r="C21" i="4"/>
  <c r="O5" i="54" s="1"/>
  <c r="B45" i="63" s="1"/>
  <c r="D16" i="43"/>
  <c r="C16" s="1"/>
  <c r="AA12" i="39"/>
  <c r="D46" i="9"/>
  <c r="D44"/>
  <c r="L38"/>
  <c r="B14" i="66" s="1"/>
  <c r="B1" s="1"/>
  <c r="C6" s="1"/>
  <c r="D45" i="9"/>
  <c r="AY61" i="3"/>
  <c r="AY395"/>
  <c r="AY171"/>
  <c r="AY51"/>
  <c r="AY345"/>
  <c r="AY177"/>
  <c r="AY292"/>
  <c r="AY33"/>
  <c r="AY215"/>
  <c r="AY298"/>
  <c r="AY433"/>
  <c r="AY267"/>
  <c r="AY235"/>
  <c r="AY223"/>
  <c r="AY299"/>
  <c r="AY518"/>
  <c r="AY166"/>
  <c r="AY409"/>
  <c r="AY320"/>
  <c r="AY335"/>
  <c r="AY92"/>
  <c r="AY278"/>
  <c r="AY464"/>
  <c r="AY425"/>
  <c r="D3" i="6"/>
  <c r="AY474" i="3"/>
  <c r="AY373"/>
  <c r="AY79"/>
  <c r="AY296"/>
  <c r="AY564"/>
  <c r="AY509"/>
  <c r="AY334"/>
  <c r="AY418"/>
  <c r="AY567"/>
  <c r="AY220"/>
  <c r="AY553"/>
  <c r="BQ6"/>
  <c r="AY248"/>
  <c r="AY156"/>
  <c r="AY556"/>
  <c r="AY457"/>
  <c r="AY238"/>
  <c r="AY128"/>
  <c r="BF6"/>
  <c r="AY461"/>
  <c r="AY498"/>
  <c r="AY162"/>
  <c r="AY44"/>
  <c r="AY218"/>
  <c r="AY86"/>
  <c r="AY197"/>
  <c r="AY123"/>
  <c r="AY36"/>
  <c r="AY308"/>
  <c r="AY420"/>
  <c r="AY435"/>
  <c r="AY65"/>
  <c r="AY234"/>
  <c r="AY486"/>
  <c r="AY258"/>
  <c r="AY214"/>
  <c r="AY383"/>
  <c r="AY74"/>
  <c r="AY26"/>
  <c r="AY535"/>
  <c r="AY332"/>
  <c r="AY513"/>
  <c r="AY164"/>
  <c r="AY180"/>
  <c r="AY522"/>
  <c r="AY507"/>
  <c r="AY502"/>
  <c r="AY339"/>
  <c r="AY495"/>
  <c r="AY440"/>
  <c r="AY63"/>
  <c r="AY208"/>
  <c r="AY388"/>
  <c r="AY29"/>
  <c r="AY259"/>
  <c r="AY430"/>
  <c r="AY445"/>
  <c r="AY525"/>
  <c r="AY16"/>
  <c r="AY72"/>
  <c r="AY277"/>
  <c r="AY491"/>
  <c r="AY496"/>
  <c r="AY426"/>
  <c r="AY284"/>
  <c r="AY251"/>
  <c r="AY532"/>
  <c r="AY571"/>
  <c r="AY130"/>
  <c r="AY478"/>
  <c r="AY404"/>
  <c r="AY344"/>
  <c r="BP6"/>
  <c r="AY249"/>
  <c r="AY160"/>
  <c r="AY424"/>
  <c r="AY13"/>
  <c r="AY122"/>
  <c r="AY364"/>
  <c r="AY484"/>
  <c r="AY186"/>
  <c r="AY527"/>
  <c r="AY303"/>
  <c r="AY561"/>
  <c r="AY356"/>
  <c r="AY42"/>
  <c r="BH6"/>
  <c r="AY341"/>
  <c r="AY117"/>
  <c r="AY52"/>
  <c r="AY157"/>
  <c r="AY132"/>
  <c r="AY241"/>
  <c r="AY343"/>
  <c r="AY47"/>
  <c r="AY168"/>
  <c r="AY116"/>
  <c r="AY170"/>
  <c r="AY291"/>
  <c r="AY53"/>
  <c r="AY69"/>
  <c r="AY517"/>
  <c r="AY102"/>
  <c r="AY19"/>
  <c r="BI6"/>
  <c r="AY439"/>
  <c r="AY59"/>
  <c r="AY391"/>
  <c r="AY213"/>
  <c r="AY393"/>
  <c r="AY281"/>
  <c r="AY240"/>
  <c r="AY559"/>
  <c r="AY20"/>
  <c r="AY370"/>
  <c r="AY316"/>
  <c r="AY75"/>
  <c r="AY229"/>
  <c r="AY271"/>
  <c r="AY124"/>
  <c r="AY279"/>
  <c r="AY348"/>
  <c r="AY45"/>
  <c r="AY121"/>
  <c r="AY255"/>
  <c r="BG6"/>
  <c r="AY312"/>
  <c r="AY568"/>
  <c r="AY228"/>
  <c r="AY252"/>
  <c r="AY313"/>
  <c r="AY113"/>
  <c r="AY357"/>
  <c r="AY328"/>
  <c r="AY485"/>
  <c r="AY520"/>
  <c r="BL6"/>
  <c r="AY227"/>
  <c r="AY449"/>
  <c r="AY450"/>
  <c r="AY467"/>
  <c r="AY15"/>
  <c r="AY417"/>
  <c r="AY107"/>
  <c r="AY221"/>
  <c r="AY283"/>
  <c r="AY46"/>
  <c r="AY64"/>
  <c r="AY544"/>
  <c r="BS6"/>
  <c r="AY28"/>
  <c r="AY103"/>
  <c r="AY442"/>
  <c r="AY101"/>
  <c r="AY226"/>
  <c r="AY55"/>
  <c r="AY100"/>
  <c r="AY62"/>
  <c r="AY463"/>
  <c r="AY49"/>
  <c r="AY262"/>
  <c r="AY77"/>
  <c r="AY87"/>
  <c r="BJ6"/>
  <c r="AY89"/>
  <c r="AY300"/>
  <c r="AY377"/>
  <c r="AY167"/>
  <c r="AY173"/>
  <c r="AY499"/>
  <c r="AY455"/>
  <c r="AY545"/>
  <c r="AY401"/>
  <c r="AY190"/>
  <c r="AY185"/>
  <c r="AY503"/>
  <c r="AY323"/>
  <c r="AY138"/>
  <c r="AY154"/>
  <c r="AY369"/>
  <c r="AY187"/>
  <c r="AY35"/>
  <c r="AY194"/>
  <c r="AY169"/>
  <c r="AY83"/>
  <c r="AY441"/>
  <c r="AY466"/>
  <c r="AY243"/>
  <c r="AY338"/>
  <c r="BB6"/>
  <c r="AY539"/>
  <c r="AY487"/>
  <c r="AY93"/>
  <c r="AY534"/>
  <c r="AY285"/>
  <c r="AY358"/>
  <c r="AY137"/>
  <c r="AY206"/>
  <c r="BD6"/>
  <c r="AY38"/>
  <c r="AY91"/>
  <c r="AY302"/>
  <c r="AY264"/>
  <c r="AY540"/>
  <c r="AY325"/>
  <c r="AY552"/>
  <c r="AY406"/>
  <c r="AY147"/>
  <c r="AY392"/>
  <c r="AY526"/>
  <c r="AY465"/>
  <c r="AY337"/>
  <c r="AY408"/>
  <c r="AY516"/>
  <c r="AY188"/>
  <c r="AY542"/>
  <c r="AY50"/>
  <c r="AY402"/>
  <c r="AY105"/>
  <c r="AY548"/>
  <c r="AY476"/>
  <c r="AY422"/>
  <c r="AY217"/>
  <c r="AY529"/>
  <c r="AY549"/>
  <c r="AY536"/>
  <c r="AY533"/>
  <c r="AY231"/>
  <c r="AY468"/>
  <c r="AY541"/>
  <c r="AY237"/>
  <c r="AY454"/>
  <c r="AY210"/>
  <c r="AY189"/>
  <c r="AY40"/>
  <c r="AY108"/>
  <c r="AY375"/>
  <c r="AY247"/>
  <c r="BT6"/>
  <c r="AY471"/>
  <c r="AY510"/>
  <c r="AY85"/>
  <c r="AY411"/>
  <c r="AY352"/>
  <c r="AY342"/>
  <c r="AY398"/>
  <c r="AY95"/>
  <c r="BE6"/>
  <c r="AY570"/>
  <c r="AY261"/>
  <c r="AY460"/>
  <c r="AY488"/>
  <c r="AY423"/>
  <c r="AY205"/>
  <c r="AY56"/>
  <c r="AY436"/>
  <c r="AY68"/>
  <c r="AY174"/>
  <c r="AY531"/>
  <c r="AY131"/>
  <c r="AY193"/>
  <c r="AY304"/>
  <c r="AY330"/>
  <c r="AY376"/>
  <c r="AY175"/>
  <c r="AY492"/>
  <c r="AY546"/>
  <c r="AY500"/>
  <c r="AY396"/>
  <c r="AY371"/>
  <c r="AY443"/>
  <c r="AY494"/>
  <c r="AY282"/>
  <c r="AY257"/>
  <c r="AY432"/>
  <c r="AY99"/>
  <c r="AY429"/>
  <c r="AY340"/>
  <c r="AY310"/>
  <c r="AY416"/>
  <c r="AY179"/>
  <c r="AY372"/>
  <c r="AY326"/>
  <c r="AY397"/>
  <c r="AY57"/>
  <c r="AY142"/>
  <c r="AY530"/>
  <c r="AY511"/>
  <c r="AY119"/>
  <c r="AY524"/>
  <c r="AY297"/>
  <c r="AY551"/>
  <c r="AY23"/>
  <c r="AY514"/>
  <c r="AY547"/>
  <c r="AY363"/>
  <c r="AY195"/>
  <c r="AY71"/>
  <c r="AY447"/>
  <c r="AY415"/>
  <c r="AY319"/>
  <c r="AY365"/>
  <c r="AY207"/>
  <c r="AY224"/>
  <c r="AY386"/>
  <c r="AY253"/>
  <c r="AY295"/>
  <c r="AY286"/>
  <c r="AY203"/>
  <c r="AY482"/>
  <c r="AY301"/>
  <c r="AY419"/>
  <c r="AY353"/>
  <c r="AY212"/>
  <c r="AY554"/>
  <c r="AY270"/>
  <c r="AY434"/>
  <c r="AY538"/>
  <c r="AY497"/>
  <c r="AY480"/>
  <c r="AY360"/>
  <c r="AY329"/>
  <c r="AY378"/>
  <c r="AY114"/>
  <c r="AY543"/>
  <c r="AY115"/>
  <c r="AY182"/>
  <c r="AY390"/>
  <c r="AY519"/>
  <c r="AY407"/>
  <c r="AY562"/>
  <c r="AY288"/>
  <c r="AY309"/>
  <c r="AY428"/>
  <c r="AY76"/>
  <c r="AY183"/>
  <c r="AY333"/>
  <c r="AY528"/>
  <c r="AY555"/>
  <c r="AY230"/>
  <c r="AY265"/>
  <c r="AY317"/>
  <c r="AY159"/>
  <c r="AY366"/>
  <c r="AY324"/>
  <c r="AY427"/>
  <c r="AY98"/>
  <c r="AY129"/>
  <c r="AY473"/>
  <c r="AY403"/>
  <c r="AY490"/>
  <c r="AY475"/>
  <c r="AY506"/>
  <c r="AY153"/>
  <c r="AY112"/>
  <c r="AY413"/>
  <c r="AY268"/>
  <c r="AY111"/>
  <c r="AY293"/>
  <c r="AY336"/>
  <c r="AY81"/>
  <c r="AY202"/>
  <c r="AY37"/>
  <c r="AY354"/>
  <c r="AY165"/>
  <c r="AY134"/>
  <c r="AY54"/>
  <c r="AY566"/>
  <c r="AY260"/>
  <c r="AY421"/>
  <c r="AY410"/>
  <c r="AY276"/>
  <c r="AY17"/>
  <c r="AY199"/>
  <c r="AY151"/>
  <c r="AY472"/>
  <c r="AY14"/>
  <c r="AY414"/>
  <c r="AY412"/>
  <c r="BK6"/>
  <c r="AY504"/>
  <c r="AY163"/>
  <c r="AY489"/>
  <c r="AY239"/>
  <c r="AY380"/>
  <c r="AY148"/>
  <c r="AY290"/>
  <c r="AY24"/>
  <c r="AY359"/>
  <c r="AY172"/>
  <c r="AY150"/>
  <c r="AY501"/>
  <c r="AY405"/>
  <c r="AY400"/>
  <c r="AY141"/>
  <c r="AY209"/>
  <c r="AY80"/>
  <c r="AY294"/>
  <c r="AY379"/>
  <c r="AY349"/>
  <c r="AY144"/>
  <c r="AY198"/>
  <c r="J70" i="39"/>
  <c r="I72"/>
  <c r="AY362" i="3"/>
  <c r="AY512"/>
  <c r="AY192"/>
  <c r="AY84"/>
  <c r="AY563"/>
  <c r="AY351"/>
  <c r="AY244"/>
  <c r="AY184"/>
  <c r="AY233"/>
  <c r="BN6"/>
  <c r="AY120"/>
  <c r="AY275"/>
  <c r="AY201"/>
  <c r="AY155"/>
  <c r="AY139"/>
  <c r="AY41"/>
  <c r="AY385"/>
  <c r="AY242"/>
  <c r="AY458"/>
  <c r="AY32"/>
  <c r="AY211"/>
  <c r="BA6"/>
  <c r="AY219"/>
  <c r="AY158"/>
  <c r="AY273"/>
  <c r="AY437"/>
  <c r="AY254"/>
  <c r="AY311"/>
  <c r="AY216"/>
  <c r="AY481"/>
  <c r="AY43"/>
  <c r="AY305"/>
  <c r="AY161"/>
  <c r="AY459"/>
  <c r="AY250"/>
  <c r="AY118"/>
  <c r="AY58"/>
  <c r="AY550"/>
  <c r="AY178"/>
  <c r="AY381"/>
  <c r="AY448"/>
  <c r="AY136"/>
  <c r="AY537"/>
  <c r="AY109"/>
  <c r="D14" i="59"/>
  <c r="C13"/>
  <c r="AY331" i="3"/>
  <c r="AY289"/>
  <c r="AY557"/>
  <c r="AY327"/>
  <c r="BR6"/>
  <c r="AY90"/>
  <c r="AY565"/>
  <c r="AY225"/>
  <c r="AY96"/>
  <c r="AY27"/>
  <c r="AY558"/>
  <c r="AY274"/>
  <c r="BC6"/>
  <c r="AY389"/>
  <c r="AY479"/>
  <c r="AY82"/>
  <c r="AY222"/>
  <c r="AY66"/>
  <c r="AY140"/>
  <c r="AY127"/>
  <c r="AY22"/>
  <c r="AY318"/>
  <c r="AY176"/>
  <c r="AY34"/>
  <c r="AY431"/>
  <c r="AY321"/>
  <c r="AY25"/>
  <c r="AY374"/>
  <c r="AY246"/>
  <c r="AY236"/>
  <c r="AY143"/>
  <c r="AY382"/>
  <c r="AY30"/>
  <c r="AY350"/>
  <c r="AY181"/>
  <c r="AY31"/>
  <c r="AY67"/>
  <c r="AY315"/>
  <c r="AY39"/>
  <c r="AY146"/>
  <c r="AY361"/>
  <c r="AY106"/>
  <c r="AY104"/>
  <c r="C13" i="43"/>
  <c r="L16" i="1"/>
  <c r="N16"/>
  <c r="C29" i="43" s="1"/>
  <c r="P12" i="1"/>
  <c r="P16" s="1"/>
  <c r="T29" i="59"/>
  <c r="D29"/>
  <c r="E40" i="36"/>
  <c r="F40" s="1"/>
  <c r="E41"/>
  <c r="F41" s="1"/>
  <c r="AB7" i="21"/>
  <c r="U7"/>
  <c r="H7" i="33"/>
  <c r="E47" i="37"/>
  <c r="F47" s="1"/>
  <c r="E46"/>
  <c r="F46" s="1"/>
  <c r="E43" i="35"/>
  <c r="F43" s="1"/>
  <c r="E42"/>
  <c r="F42" s="1"/>
  <c r="I47" i="37"/>
  <c r="J47" s="1"/>
  <c r="I41" i="36"/>
  <c r="J41" s="1"/>
  <c r="F7" i="21"/>
  <c r="C36" i="36"/>
  <c r="C37"/>
  <c r="B3" s="1"/>
  <c r="B2" s="1"/>
  <c r="W7" i="21"/>
  <c r="AC7" i="33"/>
  <c r="V48" s="1"/>
  <c r="I48" s="1"/>
  <c r="W7"/>
  <c r="C43" i="37"/>
  <c r="B3" s="1"/>
  <c r="B2" s="1"/>
  <c r="C42"/>
  <c r="C39" i="35"/>
  <c r="B3" s="1"/>
  <c r="B2" s="1"/>
  <c r="C38"/>
  <c r="G59" i="34"/>
  <c r="H59" s="1"/>
  <c r="I59" s="1"/>
  <c r="J59" s="1"/>
  <c r="K59" s="1"/>
  <c r="L59" s="1"/>
  <c r="M59" s="1"/>
  <c r="N59" s="1"/>
  <c r="O59" s="1"/>
  <c r="F7" i="33"/>
  <c r="D13" i="11"/>
  <c r="C13" s="1"/>
  <c r="B3"/>
  <c r="C27" i="12"/>
  <c r="D26" s="1"/>
  <c r="C32" s="1"/>
  <c r="D30" s="1"/>
  <c r="J26" i="15"/>
  <c r="J29" s="1"/>
  <c r="J24"/>
  <c r="C38"/>
  <c r="Q58" i="44"/>
  <c r="Q67"/>
  <c r="Q49"/>
  <c r="Q55" s="1"/>
  <c r="F7" i="67"/>
  <c r="C17" i="15"/>
  <c r="C19" i="44"/>
  <c r="C38" i="82" l="1"/>
  <c r="C18" i="74" s="1"/>
  <c r="H65" i="40"/>
  <c r="G67"/>
  <c r="I53" i="88"/>
  <c r="J53" s="1"/>
  <c r="G70" i="90"/>
  <c r="F72"/>
  <c r="E49" i="88"/>
  <c r="R50"/>
  <c r="G54"/>
  <c r="H54" s="1"/>
  <c r="C34" i="46"/>
  <c r="C15" i="74" s="1"/>
  <c r="H15" s="1"/>
  <c r="E38" i="46"/>
  <c r="G38"/>
  <c r="I38" s="1"/>
  <c r="G35" i="82"/>
  <c r="I35" s="1"/>
  <c r="E35"/>
  <c r="G33"/>
  <c r="I33" s="1"/>
  <c r="E33"/>
  <c r="G34"/>
  <c r="I34" s="1"/>
  <c r="E34"/>
  <c r="G36"/>
  <c r="I36" s="1"/>
  <c r="E36"/>
  <c r="G37"/>
  <c r="I37" s="1"/>
  <c r="E37"/>
  <c r="G39"/>
  <c r="I39" s="1"/>
  <c r="E39"/>
  <c r="M25" i="6"/>
  <c r="I25" s="1"/>
  <c r="S25" s="1"/>
  <c r="S12" i="1"/>
  <c r="D20" i="6"/>
  <c r="F45" i="73"/>
  <c r="F44"/>
  <c r="K38"/>
  <c r="F46"/>
  <c r="E45"/>
  <c r="E46"/>
  <c r="E44"/>
  <c r="G70" i="77"/>
  <c r="F72"/>
  <c r="E39" i="69"/>
  <c r="G39"/>
  <c r="I39" s="1"/>
  <c r="G38"/>
  <c r="I38" s="1"/>
  <c r="E38"/>
  <c r="G36"/>
  <c r="I36" s="1"/>
  <c r="E36"/>
  <c r="E35"/>
  <c r="G35"/>
  <c r="I35" s="1"/>
  <c r="G34"/>
  <c r="I34" s="1"/>
  <c r="E34"/>
  <c r="G37"/>
  <c r="I37" s="1"/>
  <c r="E37"/>
  <c r="G33"/>
  <c r="I33" s="1"/>
  <c r="E33"/>
  <c r="C35" i="46"/>
  <c r="C33"/>
  <c r="T11"/>
  <c r="V11" s="1"/>
  <c r="T15"/>
  <c r="V15" s="1"/>
  <c r="T12"/>
  <c r="V12" s="1"/>
  <c r="T10"/>
  <c r="V10" s="1"/>
  <c r="T16"/>
  <c r="V16" s="1"/>
  <c r="C37"/>
  <c r="G37" s="1"/>
  <c r="I37" s="1"/>
  <c r="T13"/>
  <c r="V13" s="1"/>
  <c r="T8"/>
  <c r="V8" s="1"/>
  <c r="C36"/>
  <c r="T14"/>
  <c r="V14" s="1"/>
  <c r="T9"/>
  <c r="V9" s="1"/>
  <c r="K24" i="6"/>
  <c r="G39" i="46"/>
  <c r="I39" s="1"/>
  <c r="C59" i="15"/>
  <c r="E31" i="6"/>
  <c r="K23"/>
  <c r="K22"/>
  <c r="K21"/>
  <c r="K19"/>
  <c r="K20"/>
  <c r="K26"/>
  <c r="C7" i="66"/>
  <c r="D6" i="6"/>
  <c r="E46" i="9"/>
  <c r="D13" i="6"/>
  <c r="B4" i="11"/>
  <c r="D12" i="6"/>
  <c r="C8" i="66"/>
  <c r="D8" i="6"/>
  <c r="D23"/>
  <c r="D28"/>
  <c r="D14"/>
  <c r="D15"/>
  <c r="D19"/>
  <c r="D25"/>
  <c r="D22"/>
  <c r="E44" i="9"/>
  <c r="E63" i="40"/>
  <c r="D26" i="6"/>
  <c r="D10"/>
  <c r="D9"/>
  <c r="D11"/>
  <c r="D29"/>
  <c r="F46" i="9"/>
  <c r="E68" i="39"/>
  <c r="D21" i="6"/>
  <c r="B5" i="11"/>
  <c r="D24" i="6"/>
  <c r="F45" i="9"/>
  <c r="C22" i="4"/>
  <c r="A6" i="64" s="1"/>
  <c r="F44" i="9"/>
  <c r="K38"/>
  <c r="C14" i="66" s="1"/>
  <c r="B2" s="1"/>
  <c r="D8" s="1"/>
  <c r="E45" i="9"/>
  <c r="D5" i="6"/>
  <c r="F7" i="34"/>
  <c r="AA7" s="1"/>
  <c r="R49" s="1"/>
  <c r="J72" i="39"/>
  <c r="K70"/>
  <c r="C14" i="43"/>
  <c r="C17"/>
  <c r="C12" i="59"/>
  <c r="T13"/>
  <c r="D13"/>
  <c r="H7" i="34"/>
  <c r="U7" s="1"/>
  <c r="S7" i="21"/>
  <c r="AA7"/>
  <c r="AA7" i="33"/>
  <c r="R48" s="1"/>
  <c r="S7"/>
  <c r="I52"/>
  <c r="J52" s="1"/>
  <c r="AB7"/>
  <c r="T48" s="1"/>
  <c r="G48" s="1"/>
  <c r="U7"/>
  <c r="J7" i="34"/>
  <c r="E4" i="67"/>
  <c r="D77" i="9"/>
  <c r="N75" s="1"/>
  <c r="E7" i="67"/>
  <c r="B7"/>
  <c r="G38" i="82" l="1"/>
  <c r="I38" s="1"/>
  <c r="E38"/>
  <c r="E54" i="88"/>
  <c r="F54" s="1"/>
  <c r="E53"/>
  <c r="F53" s="1"/>
  <c r="H25" i="6"/>
  <c r="C49" i="88"/>
  <c r="C8" i="89" s="1"/>
  <c r="C50" i="88"/>
  <c r="B3" s="1"/>
  <c r="B2" s="1"/>
  <c r="C10" i="89" s="1"/>
  <c r="C6" s="1"/>
  <c r="I65" i="40"/>
  <c r="H67"/>
  <c r="G72" i="90"/>
  <c r="H70"/>
  <c r="I54" i="88"/>
  <c r="J54" s="1"/>
  <c r="G34" i="46"/>
  <c r="I34" s="1"/>
  <c r="E34"/>
  <c r="M24" i="6"/>
  <c r="I24" s="1"/>
  <c r="S24" s="1"/>
  <c r="S11" i="1"/>
  <c r="M26" i="6"/>
  <c r="I26" s="1"/>
  <c r="S26" s="1"/>
  <c r="S13" i="1"/>
  <c r="H70" i="77"/>
  <c r="G72"/>
  <c r="G36" i="46"/>
  <c r="I36" s="1"/>
  <c r="H21" i="74"/>
  <c r="G35" i="46"/>
  <c r="I35" s="1"/>
  <c r="H18" i="74"/>
  <c r="E33" i="46"/>
  <c r="C12" i="74"/>
  <c r="E36" i="46"/>
  <c r="G33"/>
  <c r="I33" s="1"/>
  <c r="E35"/>
  <c r="E37"/>
  <c r="H24" i="6"/>
  <c r="R24" s="1"/>
  <c r="R11" i="1" s="1"/>
  <c r="M23" i="6"/>
  <c r="I23" s="1"/>
  <c r="S23" s="1"/>
  <c r="S10" i="1"/>
  <c r="M20" i="6"/>
  <c r="I20" s="1"/>
  <c r="S7" i="1"/>
  <c r="K27" i="6"/>
  <c r="S6" i="1"/>
  <c r="M19" i="6"/>
  <c r="M21"/>
  <c r="I21" s="1"/>
  <c r="S8" i="1"/>
  <c r="M22" i="6"/>
  <c r="I22" s="1"/>
  <c r="S9" i="1"/>
  <c r="D6" i="66"/>
  <c r="D7"/>
  <c r="R25" i="6"/>
  <c r="R12" i="1" s="1"/>
  <c r="A6" i="51"/>
  <c r="B7" i="63" s="1"/>
  <c r="N5" i="54"/>
  <c r="B43" i="63" s="1"/>
  <c r="D30" i="6"/>
  <c r="A20" i="51"/>
  <c r="B15" i="63" s="1"/>
  <c r="A20" i="64"/>
  <c r="D27" i="6"/>
  <c r="D16"/>
  <c r="S7" i="34"/>
  <c r="K72" i="39"/>
  <c r="L70"/>
  <c r="C18" i="43"/>
  <c r="AB7" i="34"/>
  <c r="T49" s="1"/>
  <c r="G49" s="1"/>
  <c r="G53" s="1"/>
  <c r="H53" s="1"/>
  <c r="C11" i="59"/>
  <c r="D12"/>
  <c r="G52" i="33"/>
  <c r="H52" s="1"/>
  <c r="G53"/>
  <c r="H53" s="1"/>
  <c r="E49" i="34"/>
  <c r="R49" i="33"/>
  <c r="E48"/>
  <c r="W7" i="34"/>
  <c r="AC7"/>
  <c r="V49" s="1"/>
  <c r="I49" s="1"/>
  <c r="E3" i="67"/>
  <c r="B2"/>
  <c r="M21" i="15"/>
  <c r="F37" i="44"/>
  <c r="F35" i="15"/>
  <c r="M23" i="44"/>
  <c r="I70" i="90" l="1"/>
  <c r="H72"/>
  <c r="C29" i="89"/>
  <c r="C24"/>
  <c r="I67" i="40"/>
  <c r="J65"/>
  <c r="C30" i="74"/>
  <c r="H26" i="6"/>
  <c r="R26" s="1"/>
  <c r="C22" i="83"/>
  <c r="C20" s="1"/>
  <c r="D19"/>
  <c r="C19" s="1"/>
  <c r="C16"/>
  <c r="R13" i="1"/>
  <c r="C22" i="12"/>
  <c r="C20" s="1"/>
  <c r="D19"/>
  <c r="C19" s="1"/>
  <c r="C16"/>
  <c r="D19" i="72"/>
  <c r="C19" s="1"/>
  <c r="C16"/>
  <c r="C22"/>
  <c r="C20" s="1"/>
  <c r="I70" i="77"/>
  <c r="H72"/>
  <c r="H12" i="74"/>
  <c r="H25" s="1"/>
  <c r="H26" s="1"/>
  <c r="R50" i="34"/>
  <c r="C50" s="1"/>
  <c r="B3" s="1"/>
  <c r="B2" s="1"/>
  <c r="C10" i="72" s="1"/>
  <c r="C6" s="1"/>
  <c r="H23" i="6"/>
  <c r="R23" s="1"/>
  <c r="R10" i="1" s="1"/>
  <c r="S16"/>
  <c r="T6" s="1"/>
  <c r="S21" i="6"/>
  <c r="H21"/>
  <c r="R21" s="1"/>
  <c r="R8" i="1" s="1"/>
  <c r="I19" i="6"/>
  <c r="M27"/>
  <c r="S20"/>
  <c r="H20"/>
  <c r="R20" s="1"/>
  <c r="R7" i="1" s="1"/>
  <c r="S22" i="6"/>
  <c r="H22"/>
  <c r="R22" s="1"/>
  <c r="R9" i="1" s="1"/>
  <c r="D31" i="6"/>
  <c r="I6" s="1"/>
  <c r="L72" i="39"/>
  <c r="M70"/>
  <c r="C19" i="43"/>
  <c r="C25" s="1"/>
  <c r="C24" s="1"/>
  <c r="C10" i="59"/>
  <c r="D11"/>
  <c r="J22" i="44"/>
  <c r="J20" i="15"/>
  <c r="C36" i="44"/>
  <c r="C34" i="15"/>
  <c r="F62"/>
  <c r="C61" s="1"/>
  <c r="I53" i="34"/>
  <c r="J53" s="1"/>
  <c r="I54"/>
  <c r="J54" s="1"/>
  <c r="G54"/>
  <c r="H54" s="1"/>
  <c r="E52" i="33"/>
  <c r="F52" s="1"/>
  <c r="E53"/>
  <c r="F53" s="1"/>
  <c r="I53"/>
  <c r="J53" s="1"/>
  <c r="E54" i="34"/>
  <c r="F54" s="1"/>
  <c r="E53"/>
  <c r="F53" s="1"/>
  <c r="C49" i="33"/>
  <c r="B3" s="1"/>
  <c r="B2" s="1"/>
  <c r="C10" i="12" s="1"/>
  <c r="C6" s="1"/>
  <c r="C48" i="33"/>
  <c r="C8" i="12" s="1"/>
  <c r="B3" i="67"/>
  <c r="B4"/>
  <c r="I72" i="90" l="1"/>
  <c r="J70"/>
  <c r="K65" i="40"/>
  <c r="J67"/>
  <c r="G3" i="82"/>
  <c r="N101" s="1"/>
  <c r="C13" i="39"/>
  <c r="C13" i="77" s="1"/>
  <c r="C11" i="21"/>
  <c r="G3" i="69"/>
  <c r="G3" i="46"/>
  <c r="J101" i="82"/>
  <c r="M101"/>
  <c r="E101"/>
  <c r="AH11"/>
  <c r="AH13" s="1"/>
  <c r="AI11"/>
  <c r="AI13" s="1"/>
  <c r="L101"/>
  <c r="D101"/>
  <c r="G101"/>
  <c r="Z7"/>
  <c r="AF11"/>
  <c r="AF13" s="1"/>
  <c r="E22"/>
  <c r="Y11"/>
  <c r="Y13" s="1"/>
  <c r="AG11"/>
  <c r="AG13" s="1"/>
  <c r="AD11"/>
  <c r="AD13" s="1"/>
  <c r="AE11"/>
  <c r="AE13" s="1"/>
  <c r="S6"/>
  <c r="T6" s="1"/>
  <c r="V6" s="1"/>
  <c r="S4"/>
  <c r="T4" s="1"/>
  <c r="V4" s="1"/>
  <c r="S5"/>
  <c r="T5" s="1"/>
  <c r="V5" s="1"/>
  <c r="S7"/>
  <c r="T7" s="1"/>
  <c r="V7" s="1"/>
  <c r="I72" i="77"/>
  <c r="J70"/>
  <c r="C24" i="12"/>
  <c r="C29"/>
  <c r="C24" i="72"/>
  <c r="C29"/>
  <c r="C49" i="34"/>
  <c r="C8" i="72" s="1"/>
  <c r="T13" i="1"/>
  <c r="T11"/>
  <c r="T10"/>
  <c r="T7"/>
  <c r="T9"/>
  <c r="T12"/>
  <c r="T8"/>
  <c r="S19" i="6"/>
  <c r="S27" s="1"/>
  <c r="H19"/>
  <c r="I27"/>
  <c r="I5"/>
  <c r="M72" i="39"/>
  <c r="N70"/>
  <c r="N72" s="1"/>
  <c r="C22" i="43"/>
  <c r="C21" s="1"/>
  <c r="C28" s="1"/>
  <c r="C30" s="1"/>
  <c r="C32" s="1"/>
  <c r="B2" s="1"/>
  <c r="B4" s="1"/>
  <c r="C9" i="59"/>
  <c r="D10"/>
  <c r="C14" i="15"/>
  <c r="C13" i="72"/>
  <c r="C13" i="12"/>
  <c r="C16" i="44"/>
  <c r="C13" i="89"/>
  <c r="K70" i="90" l="1"/>
  <c r="J72"/>
  <c r="L65" i="40"/>
  <c r="K67"/>
  <c r="C13" i="90"/>
  <c r="H13" i="77"/>
  <c r="J13"/>
  <c r="F13"/>
  <c r="C14" i="89"/>
  <c r="C17"/>
  <c r="S2" i="82"/>
  <c r="T2" s="1"/>
  <c r="V2" s="1"/>
  <c r="C23"/>
  <c r="S3"/>
  <c r="T3" s="1"/>
  <c r="V3" s="1"/>
  <c r="F22"/>
  <c r="G22"/>
  <c r="H22"/>
  <c r="AC11"/>
  <c r="AC13" s="1"/>
  <c r="J22"/>
  <c r="AJ11"/>
  <c r="AJ13" s="1"/>
  <c r="AB11"/>
  <c r="AB13" s="1"/>
  <c r="C101"/>
  <c r="K101"/>
  <c r="H101"/>
  <c r="B113"/>
  <c r="AA11"/>
  <c r="AA13" s="1"/>
  <c r="Z11"/>
  <c r="Z13" s="1"/>
  <c r="I101"/>
  <c r="F101"/>
  <c r="J22" i="69"/>
  <c r="Z11"/>
  <c r="Z13" s="1"/>
  <c r="AC11"/>
  <c r="AC13" s="1"/>
  <c r="AF11"/>
  <c r="AF13" s="1"/>
  <c r="H22"/>
  <c r="J101"/>
  <c r="AI11"/>
  <c r="AI13" s="1"/>
  <c r="F22"/>
  <c r="AG11"/>
  <c r="AG13" s="1"/>
  <c r="K101"/>
  <c r="L101"/>
  <c r="Z7"/>
  <c r="AD11"/>
  <c r="AD13" s="1"/>
  <c r="AH11"/>
  <c r="AH13" s="1"/>
  <c r="G22"/>
  <c r="AB11"/>
  <c r="AB13" s="1"/>
  <c r="AA11"/>
  <c r="AA13" s="1"/>
  <c r="I101"/>
  <c r="H101"/>
  <c r="G101"/>
  <c r="Y11"/>
  <c r="Y13" s="1"/>
  <c r="F101"/>
  <c r="E101"/>
  <c r="C101"/>
  <c r="AE11"/>
  <c r="AE13" s="1"/>
  <c r="D101"/>
  <c r="AJ11"/>
  <c r="AJ13" s="1"/>
  <c r="E22"/>
  <c r="B113"/>
  <c r="N101"/>
  <c r="M101"/>
  <c r="C23"/>
  <c r="S5"/>
  <c r="T5" s="1"/>
  <c r="V5" s="1"/>
  <c r="S7"/>
  <c r="T7" s="1"/>
  <c r="V7" s="1"/>
  <c r="S4"/>
  <c r="T4" s="1"/>
  <c r="V4" s="1"/>
  <c r="S6"/>
  <c r="T6" s="1"/>
  <c r="V6" s="1"/>
  <c r="S3"/>
  <c r="T3" s="1"/>
  <c r="V3" s="1"/>
  <c r="S2"/>
  <c r="T2" s="1"/>
  <c r="V2" s="1"/>
  <c r="H13" i="39"/>
  <c r="J13"/>
  <c r="F13"/>
  <c r="E101" i="46"/>
  <c r="AD11"/>
  <c r="AD13" s="1"/>
  <c r="D101"/>
  <c r="AH11"/>
  <c r="AH13" s="1"/>
  <c r="K101"/>
  <c r="AF11"/>
  <c r="AF13" s="1"/>
  <c r="N101"/>
  <c r="Z11"/>
  <c r="Z13" s="1"/>
  <c r="AC11"/>
  <c r="AC13" s="1"/>
  <c r="AE11"/>
  <c r="AE13" s="1"/>
  <c r="H22"/>
  <c r="G22"/>
  <c r="M101"/>
  <c r="L101"/>
  <c r="Z7"/>
  <c r="AI11"/>
  <c r="AI13" s="1"/>
  <c r="N104" i="45"/>
  <c r="I101" i="46"/>
  <c r="AA11"/>
  <c r="AA13" s="1"/>
  <c r="C101"/>
  <c r="AJ11"/>
  <c r="AJ13" s="1"/>
  <c r="AG11"/>
  <c r="AG13" s="1"/>
  <c r="J101"/>
  <c r="J22"/>
  <c r="B113"/>
  <c r="F22"/>
  <c r="E22"/>
  <c r="D22" s="1"/>
  <c r="C21" s="1"/>
  <c r="C29" s="1"/>
  <c r="AB11"/>
  <c r="AB13" s="1"/>
  <c r="H101"/>
  <c r="F101"/>
  <c r="G101"/>
  <c r="Y11"/>
  <c r="Y13" s="1"/>
  <c r="C23"/>
  <c r="S3"/>
  <c r="T3" s="1"/>
  <c r="V3" s="1"/>
  <c r="S7"/>
  <c r="T7" s="1"/>
  <c r="V7" s="1"/>
  <c r="S5"/>
  <c r="T5" s="1"/>
  <c r="V5" s="1"/>
  <c r="S4"/>
  <c r="T4" s="1"/>
  <c r="V4" s="1"/>
  <c r="S6"/>
  <c r="T6" s="1"/>
  <c r="V6" s="1"/>
  <c r="S2"/>
  <c r="T2" s="1"/>
  <c r="V2" s="1"/>
  <c r="H11" i="21"/>
  <c r="F11"/>
  <c r="J11"/>
  <c r="C14" i="83"/>
  <c r="D22" i="82"/>
  <c r="C21" s="1"/>
  <c r="C29" s="1"/>
  <c r="G109"/>
  <c r="G104"/>
  <c r="G107"/>
  <c r="G105"/>
  <c r="G103"/>
  <c r="G106"/>
  <c r="G102"/>
  <c r="D109"/>
  <c r="D104"/>
  <c r="D107"/>
  <c r="D105"/>
  <c r="D103"/>
  <c r="D106"/>
  <c r="D102"/>
  <c r="L109"/>
  <c r="L104"/>
  <c r="L107"/>
  <c r="L105"/>
  <c r="L103"/>
  <c r="L106"/>
  <c r="L102"/>
  <c r="E109"/>
  <c r="E107"/>
  <c r="E105"/>
  <c r="E106"/>
  <c r="E104"/>
  <c r="E102"/>
  <c r="E103"/>
  <c r="M109"/>
  <c r="M107"/>
  <c r="M106"/>
  <c r="M104"/>
  <c r="M102"/>
  <c r="M105"/>
  <c r="M103"/>
  <c r="J109"/>
  <c r="J105"/>
  <c r="J107"/>
  <c r="J104"/>
  <c r="J102"/>
  <c r="J106"/>
  <c r="J103"/>
  <c r="C109"/>
  <c r="C106"/>
  <c r="C104"/>
  <c r="C102"/>
  <c r="C107"/>
  <c r="C105"/>
  <c r="C103"/>
  <c r="K109"/>
  <c r="K106"/>
  <c r="K102"/>
  <c r="K107"/>
  <c r="K105"/>
  <c r="K103"/>
  <c r="K104"/>
  <c r="H109"/>
  <c r="H104"/>
  <c r="H107"/>
  <c r="H105"/>
  <c r="H103"/>
  <c r="H106"/>
  <c r="H102"/>
  <c r="B118"/>
  <c r="C118" s="1"/>
  <c r="B115"/>
  <c r="D118"/>
  <c r="E118" s="1"/>
  <c r="F118" s="1"/>
  <c r="D117"/>
  <c r="E117" s="1"/>
  <c r="F117" s="1"/>
  <c r="G117" s="1"/>
  <c r="H117" s="1"/>
  <c r="D116"/>
  <c r="E116" s="1"/>
  <c r="F116" s="1"/>
  <c r="G116" s="1"/>
  <c r="H116" s="1"/>
  <c r="D115"/>
  <c r="E115" s="1"/>
  <c r="F115" s="1"/>
  <c r="G115" s="1"/>
  <c r="H115" s="1"/>
  <c r="I118"/>
  <c r="J118" s="1"/>
  <c r="K118" s="1"/>
  <c r="L118" s="1"/>
  <c r="M118" s="1"/>
  <c r="I116"/>
  <c r="J116" s="1"/>
  <c r="K116" s="1"/>
  <c r="L116" s="1"/>
  <c r="M116" s="1"/>
  <c r="G118"/>
  <c r="H118" s="1"/>
  <c r="B117"/>
  <c r="C117" s="1"/>
  <c r="B116"/>
  <c r="C116" s="1"/>
  <c r="I117"/>
  <c r="J117" s="1"/>
  <c r="K117" s="1"/>
  <c r="L117" s="1"/>
  <c r="M117" s="1"/>
  <c r="I115"/>
  <c r="J115" s="1"/>
  <c r="K115" s="1"/>
  <c r="L115" s="1"/>
  <c r="M115" s="1"/>
  <c r="I109"/>
  <c r="I107"/>
  <c r="I105"/>
  <c r="I106"/>
  <c r="I104"/>
  <c r="I102"/>
  <c r="I103"/>
  <c r="F109"/>
  <c r="F105"/>
  <c r="F107"/>
  <c r="F104"/>
  <c r="F102"/>
  <c r="F106"/>
  <c r="F103"/>
  <c r="N103"/>
  <c r="N109"/>
  <c r="N104"/>
  <c r="N102"/>
  <c r="N106"/>
  <c r="N105"/>
  <c r="N107"/>
  <c r="C17" i="12"/>
  <c r="C14"/>
  <c r="C17" i="72"/>
  <c r="C14"/>
  <c r="K70" i="77"/>
  <c r="J72"/>
  <c r="T16" i="1"/>
  <c r="C17" i="44"/>
  <c r="C20"/>
  <c r="C18" i="15"/>
  <c r="C15"/>
  <c r="H27" i="6"/>
  <c r="R19"/>
  <c r="H9" i="39"/>
  <c r="F9"/>
  <c r="J9"/>
  <c r="B5" i="43"/>
  <c r="B3"/>
  <c r="C8" i="59"/>
  <c r="T9"/>
  <c r="D9"/>
  <c r="H13" i="90" l="1"/>
  <c r="J13"/>
  <c r="F13"/>
  <c r="K72"/>
  <c r="L70"/>
  <c r="AB13" i="77"/>
  <c r="U13"/>
  <c r="AC13"/>
  <c r="W13"/>
  <c r="L67" i="40"/>
  <c r="M65"/>
  <c r="AA13" i="77"/>
  <c r="S13"/>
  <c r="C18" i="89"/>
  <c r="C23" s="1"/>
  <c r="S11" i="21"/>
  <c r="AA11"/>
  <c r="R48" s="1"/>
  <c r="W11"/>
  <c r="AC11"/>
  <c r="V48" s="1"/>
  <c r="I48" s="1"/>
  <c r="U11"/>
  <c r="AB11"/>
  <c r="T48" s="1"/>
  <c r="G48" s="1"/>
  <c r="F105" i="46"/>
  <c r="F109"/>
  <c r="F103"/>
  <c r="F107"/>
  <c r="F102"/>
  <c r="F104"/>
  <c r="F106"/>
  <c r="C107"/>
  <c r="C103"/>
  <c r="C109"/>
  <c r="C105"/>
  <c r="C104"/>
  <c r="C106"/>
  <c r="C102"/>
  <c r="I109"/>
  <c r="I103"/>
  <c r="I106"/>
  <c r="I107"/>
  <c r="I104"/>
  <c r="I105"/>
  <c r="I102"/>
  <c r="L107"/>
  <c r="L109"/>
  <c r="L103"/>
  <c r="L102"/>
  <c r="L104"/>
  <c r="L105"/>
  <c r="L106"/>
  <c r="S13" i="39"/>
  <c r="AA13"/>
  <c r="AB13"/>
  <c r="U13"/>
  <c r="M109" i="69"/>
  <c r="M104"/>
  <c r="M106"/>
  <c r="M102"/>
  <c r="M105"/>
  <c r="M107"/>
  <c r="M103"/>
  <c r="I115"/>
  <c r="J115" s="1"/>
  <c r="K115" s="1"/>
  <c r="L115" s="1"/>
  <c r="M115" s="1"/>
  <c r="D115"/>
  <c r="E115" s="1"/>
  <c r="F115" s="1"/>
  <c r="G115" s="1"/>
  <c r="H115" s="1"/>
  <c r="I117"/>
  <c r="J117" s="1"/>
  <c r="K117" s="1"/>
  <c r="L117" s="1"/>
  <c r="M117" s="1"/>
  <c r="D118"/>
  <c r="E118" s="1"/>
  <c r="F118" s="1"/>
  <c r="B118"/>
  <c r="C118" s="1"/>
  <c r="I118"/>
  <c r="J118" s="1"/>
  <c r="K118" s="1"/>
  <c r="L118" s="1"/>
  <c r="M118" s="1"/>
  <c r="D117"/>
  <c r="E117" s="1"/>
  <c r="F117" s="1"/>
  <c r="G117" s="1"/>
  <c r="H117" s="1"/>
  <c r="B117"/>
  <c r="C117" s="1"/>
  <c r="G118"/>
  <c r="H118" s="1"/>
  <c r="D116"/>
  <c r="E116" s="1"/>
  <c r="F116" s="1"/>
  <c r="G116" s="1"/>
  <c r="H116" s="1"/>
  <c r="B116"/>
  <c r="C116" s="1"/>
  <c r="I116"/>
  <c r="J116" s="1"/>
  <c r="K116" s="1"/>
  <c r="L116" s="1"/>
  <c r="M116" s="1"/>
  <c r="B115"/>
  <c r="E109"/>
  <c r="E104"/>
  <c r="E107"/>
  <c r="E106"/>
  <c r="E102"/>
  <c r="E105"/>
  <c r="E103"/>
  <c r="H109"/>
  <c r="H105"/>
  <c r="H107"/>
  <c r="H103"/>
  <c r="H102"/>
  <c r="H104"/>
  <c r="H106"/>
  <c r="L109"/>
  <c r="L106"/>
  <c r="L102"/>
  <c r="L107"/>
  <c r="L104"/>
  <c r="L103"/>
  <c r="L105"/>
  <c r="G107" i="46"/>
  <c r="G102"/>
  <c r="G105"/>
  <c r="G104"/>
  <c r="G106"/>
  <c r="G109"/>
  <c r="G103"/>
  <c r="H107"/>
  <c r="H102"/>
  <c r="H103"/>
  <c r="H106"/>
  <c r="H104"/>
  <c r="H105"/>
  <c r="H109"/>
  <c r="C5" i="74"/>
  <c r="E29" i="46"/>
  <c r="C26" s="1"/>
  <c r="B2" s="1"/>
  <c r="C30"/>
  <c r="E30" s="1"/>
  <c r="C27" s="1"/>
  <c r="I116"/>
  <c r="J116" s="1"/>
  <c r="K116" s="1"/>
  <c r="L116" s="1"/>
  <c r="M116" s="1"/>
  <c r="D115"/>
  <c r="E115" s="1"/>
  <c r="F115" s="1"/>
  <c r="G115" s="1"/>
  <c r="H115" s="1"/>
  <c r="G118"/>
  <c r="H118" s="1"/>
  <c r="D118"/>
  <c r="E118" s="1"/>
  <c r="F118" s="1"/>
  <c r="D116"/>
  <c r="E116" s="1"/>
  <c r="F116" s="1"/>
  <c r="G116" s="1"/>
  <c r="H116" s="1"/>
  <c r="B116"/>
  <c r="C116" s="1"/>
  <c r="I115"/>
  <c r="J115" s="1"/>
  <c r="K115" s="1"/>
  <c r="L115" s="1"/>
  <c r="M115" s="1"/>
  <c r="B118"/>
  <c r="C118" s="1"/>
  <c r="B117"/>
  <c r="C117" s="1"/>
  <c r="B115"/>
  <c r="D117"/>
  <c r="E117" s="1"/>
  <c r="F117" s="1"/>
  <c r="G117" s="1"/>
  <c r="H117" s="1"/>
  <c r="I117"/>
  <c r="J117" s="1"/>
  <c r="K117" s="1"/>
  <c r="L117" s="1"/>
  <c r="M117" s="1"/>
  <c r="I118"/>
  <c r="J118" s="1"/>
  <c r="K118" s="1"/>
  <c r="L118" s="1"/>
  <c r="M118" s="1"/>
  <c r="J104"/>
  <c r="J109"/>
  <c r="J103"/>
  <c r="J106"/>
  <c r="J102"/>
  <c r="J105"/>
  <c r="J107"/>
  <c r="M107"/>
  <c r="M103"/>
  <c r="M105"/>
  <c r="M109"/>
  <c r="M106"/>
  <c r="M104"/>
  <c r="M102"/>
  <c r="N104"/>
  <c r="N102"/>
  <c r="N105"/>
  <c r="N107"/>
  <c r="N106"/>
  <c r="N103"/>
  <c r="N109"/>
  <c r="K106"/>
  <c r="K105"/>
  <c r="K104"/>
  <c r="K102"/>
  <c r="K107"/>
  <c r="K103"/>
  <c r="K109"/>
  <c r="D106"/>
  <c r="D103"/>
  <c r="D104"/>
  <c r="D105"/>
  <c r="D109"/>
  <c r="D107"/>
  <c r="D102"/>
  <c r="E104"/>
  <c r="E106"/>
  <c r="E109"/>
  <c r="E103"/>
  <c r="E102"/>
  <c r="E107"/>
  <c r="E105"/>
  <c r="AC13" i="39"/>
  <c r="W13"/>
  <c r="N109" i="69"/>
  <c r="N104"/>
  <c r="N106"/>
  <c r="N102"/>
  <c r="N105"/>
  <c r="N107"/>
  <c r="N103"/>
  <c r="D22"/>
  <c r="C21" s="1"/>
  <c r="C29" s="1"/>
  <c r="D105"/>
  <c r="D106"/>
  <c r="D102"/>
  <c r="D103"/>
  <c r="D109"/>
  <c r="D104"/>
  <c r="D107"/>
  <c r="C109"/>
  <c r="C104"/>
  <c r="C106"/>
  <c r="C102"/>
  <c r="C105"/>
  <c r="C107"/>
  <c r="C103"/>
  <c r="F104"/>
  <c r="F106"/>
  <c r="F102"/>
  <c r="F105"/>
  <c r="F107"/>
  <c r="F103"/>
  <c r="F109"/>
  <c r="G109"/>
  <c r="G105"/>
  <c r="G102"/>
  <c r="G107"/>
  <c r="G103"/>
  <c r="G104"/>
  <c r="G106"/>
  <c r="I105"/>
  <c r="I109"/>
  <c r="I107"/>
  <c r="I103"/>
  <c r="I104"/>
  <c r="I106"/>
  <c r="I102"/>
  <c r="K109"/>
  <c r="K107"/>
  <c r="K106"/>
  <c r="K102"/>
  <c r="K105"/>
  <c r="K104"/>
  <c r="K103"/>
  <c r="J109"/>
  <c r="J107"/>
  <c r="J103"/>
  <c r="J105"/>
  <c r="J106"/>
  <c r="J102"/>
  <c r="J104"/>
  <c r="C18" i="83"/>
  <c r="C23" s="1"/>
  <c r="E29" i="82"/>
  <c r="C26" s="1"/>
  <c r="B2" s="1"/>
  <c r="C30"/>
  <c r="E30" s="1"/>
  <c r="C27" s="1"/>
  <c r="C115"/>
  <c r="D113" s="1"/>
  <c r="C18" i="72"/>
  <c r="C23" s="1"/>
  <c r="C18" i="12"/>
  <c r="C23" s="1"/>
  <c r="C28" s="1"/>
  <c r="C26" s="1"/>
  <c r="C31" s="1"/>
  <c r="C30" s="1"/>
  <c r="K72" i="77"/>
  <c r="L70"/>
  <c r="C21" i="44"/>
  <c r="C22" s="1"/>
  <c r="C28" s="1"/>
  <c r="C19" i="15"/>
  <c r="C20" s="1"/>
  <c r="C26" s="1"/>
  <c r="R27" i="6"/>
  <c r="R6" i="1"/>
  <c r="R16" s="1"/>
  <c r="W9" i="39"/>
  <c r="AC9"/>
  <c r="V49" s="1"/>
  <c r="I49" s="1"/>
  <c r="S9"/>
  <c r="AA9"/>
  <c r="R49" s="1"/>
  <c r="AB9"/>
  <c r="U9"/>
  <c r="D8" i="59"/>
  <c r="C7"/>
  <c r="C19" i="9"/>
  <c r="M67" i="40" l="1"/>
  <c r="N65"/>
  <c r="N67" s="1"/>
  <c r="F9" s="1"/>
  <c r="L72" i="90"/>
  <c r="M70"/>
  <c r="AB13"/>
  <c r="U13"/>
  <c r="AC13"/>
  <c r="W13"/>
  <c r="AA13"/>
  <c r="S13"/>
  <c r="T49" i="39"/>
  <c r="G49" s="1"/>
  <c r="C35" i="89"/>
  <c r="C33" s="1"/>
  <c r="C28"/>
  <c r="C26" s="1"/>
  <c r="C31" s="1"/>
  <c r="C30" s="1"/>
  <c r="L43" i="9"/>
  <c r="C9" i="74"/>
  <c r="E29" i="69"/>
  <c r="C26" s="1"/>
  <c r="B2" s="1"/>
  <c r="C30"/>
  <c r="E30" s="1"/>
  <c r="C27" s="1"/>
  <c r="D4" i="46"/>
  <c r="B4"/>
  <c r="B3"/>
  <c r="C115"/>
  <c r="D113" s="1"/>
  <c r="C115" i="69"/>
  <c r="D113" s="1"/>
  <c r="G53" i="21"/>
  <c r="H53" s="1"/>
  <c r="G52"/>
  <c r="H52" s="1"/>
  <c r="I52"/>
  <c r="J52" s="1"/>
  <c r="R49"/>
  <c r="E48"/>
  <c r="B3" i="82"/>
  <c r="D4"/>
  <c r="B4"/>
  <c r="C35" i="72"/>
  <c r="C33" s="1"/>
  <c r="C28"/>
  <c r="C26" s="1"/>
  <c r="C31" s="1"/>
  <c r="C30" s="1"/>
  <c r="C35" i="12"/>
  <c r="C33" s="1"/>
  <c r="C36" s="1"/>
  <c r="C38" s="1"/>
  <c r="M70" i="77"/>
  <c r="L72"/>
  <c r="C23" i="15"/>
  <c r="C29" s="1"/>
  <c r="C13" s="1"/>
  <c r="C37" s="1"/>
  <c r="C25" i="44"/>
  <c r="C31" s="1"/>
  <c r="J16" s="1"/>
  <c r="J24" s="1"/>
  <c r="G53" i="39"/>
  <c r="H53" s="1"/>
  <c r="G54"/>
  <c r="H54" s="1"/>
  <c r="R50"/>
  <c r="E49"/>
  <c r="I54" s="1"/>
  <c r="J54" s="1"/>
  <c r="I53"/>
  <c r="J53" s="1"/>
  <c r="D7" i="59"/>
  <c r="C6"/>
  <c r="C21" i="9"/>
  <c r="C20"/>
  <c r="C19" i="73"/>
  <c r="H9" i="40" l="1"/>
  <c r="J9"/>
  <c r="AA9"/>
  <c r="R44" s="1"/>
  <c r="S9"/>
  <c r="N70" i="90"/>
  <c r="N72" s="1"/>
  <c r="M72"/>
  <c r="C36" i="89"/>
  <c r="C38" s="1"/>
  <c r="L43" i="73"/>
  <c r="E52" i="21"/>
  <c r="F52" s="1"/>
  <c r="E53"/>
  <c r="F53" s="1"/>
  <c r="I53"/>
  <c r="J53" s="1"/>
  <c r="D4" i="69"/>
  <c r="B4"/>
  <c r="B3"/>
  <c r="C49" i="21"/>
  <c r="B3" s="1"/>
  <c r="B2" s="1"/>
  <c r="C48"/>
  <c r="C8" i="83" s="1"/>
  <c r="C10" s="1"/>
  <c r="C6" s="1"/>
  <c r="C36" i="72"/>
  <c r="C38" s="1"/>
  <c r="B2" i="12"/>
  <c r="N70" i="77"/>
  <c r="N72" s="1"/>
  <c r="M72"/>
  <c r="J59" i="15"/>
  <c r="J60" s="1"/>
  <c r="Q49" s="1"/>
  <c r="J35"/>
  <c r="J14"/>
  <c r="J13" s="1"/>
  <c r="J23" s="1"/>
  <c r="C55"/>
  <c r="C64" s="1"/>
  <c r="J19"/>
  <c r="J17" s="1"/>
  <c r="Q71"/>
  <c r="Q50"/>
  <c r="C33"/>
  <c r="C31" s="1"/>
  <c r="C36"/>
  <c r="C56"/>
  <c r="C60" s="1"/>
  <c r="C58" s="1"/>
  <c r="J21" i="44"/>
  <c r="J19" s="1"/>
  <c r="C15"/>
  <c r="Q72" s="1"/>
  <c r="C38"/>
  <c r="Q51"/>
  <c r="C35"/>
  <c r="C33" s="1"/>
  <c r="J15"/>
  <c r="J25" s="1"/>
  <c r="E53" i="39"/>
  <c r="F53" s="1"/>
  <c r="E54"/>
  <c r="F54" s="1"/>
  <c r="C50"/>
  <c r="C49"/>
  <c r="C8" i="74" s="1"/>
  <c r="D6" i="59"/>
  <c r="C5"/>
  <c r="C21" i="73"/>
  <c r="C20"/>
  <c r="D19" i="9"/>
  <c r="B3" i="12"/>
  <c r="B4"/>
  <c r="AB9" i="40" l="1"/>
  <c r="T44" s="1"/>
  <c r="G44" s="1"/>
  <c r="U9"/>
  <c r="AC9"/>
  <c r="V44" s="1"/>
  <c r="I44" s="1"/>
  <c r="I48" s="1"/>
  <c r="J48" s="1"/>
  <c r="W9"/>
  <c r="R45"/>
  <c r="E44"/>
  <c r="J9" i="90"/>
  <c r="H9"/>
  <c r="F9"/>
  <c r="B2" i="89"/>
  <c r="C24" i="83"/>
  <c r="C29"/>
  <c r="C7" i="74"/>
  <c r="C13" s="1"/>
  <c r="B2" i="72"/>
  <c r="G19" i="9"/>
  <c r="N43" s="1"/>
  <c r="L44"/>
  <c r="D22"/>
  <c r="C14" i="74"/>
  <c r="C17"/>
  <c r="C23"/>
  <c r="F9" i="77"/>
  <c r="J9"/>
  <c r="H9"/>
  <c r="J22" i="15"/>
  <c r="J16" s="1"/>
  <c r="J25" s="1"/>
  <c r="C63"/>
  <c r="C57" s="1"/>
  <c r="C66" s="1"/>
  <c r="C67" s="1"/>
  <c r="C70" s="1"/>
  <c r="C30"/>
  <c r="C39" s="1"/>
  <c r="C40" s="1"/>
  <c r="C43" s="1"/>
  <c r="L46"/>
  <c r="C39" i="44"/>
  <c r="C32" s="1"/>
  <c r="C42" s="1"/>
  <c r="Q71" s="1"/>
  <c r="Q70" s="1"/>
  <c r="C43"/>
  <c r="J18"/>
  <c r="J27" s="1"/>
  <c r="B66" i="39"/>
  <c r="F66" s="1"/>
  <c r="B67"/>
  <c r="F67" s="1"/>
  <c r="B65"/>
  <c r="F65" s="1"/>
  <c r="B64"/>
  <c r="F64" s="1"/>
  <c r="B61"/>
  <c r="F61" s="1"/>
  <c r="B59"/>
  <c r="F59" s="1"/>
  <c r="B60"/>
  <c r="F60" s="1"/>
  <c r="B63"/>
  <c r="F63" s="1"/>
  <c r="B58"/>
  <c r="F58" s="1"/>
  <c r="B62"/>
  <c r="F62" s="1"/>
  <c r="D5" i="59"/>
  <c r="M20" i="46"/>
  <c r="D19" i="73"/>
  <c r="B4" i="89"/>
  <c r="D21" i="9"/>
  <c r="B3" i="89"/>
  <c r="B5" i="12"/>
  <c r="B5" i="72"/>
  <c r="B5" i="89"/>
  <c r="D20" i="9"/>
  <c r="B4" i="72"/>
  <c r="AA9" i="90" l="1"/>
  <c r="R49" s="1"/>
  <c r="S9"/>
  <c r="C44" i="40"/>
  <c r="C45"/>
  <c r="G49"/>
  <c r="H49" s="1"/>
  <c r="G48"/>
  <c r="H48" s="1"/>
  <c r="I49"/>
  <c r="J49" s="1"/>
  <c r="E49"/>
  <c r="F49" s="1"/>
  <c r="E48"/>
  <c r="F48" s="1"/>
  <c r="C32" i="74"/>
  <c r="W9" i="90"/>
  <c r="AC9"/>
  <c r="V49" s="1"/>
  <c r="I49" s="1"/>
  <c r="I53" s="1"/>
  <c r="J53" s="1"/>
  <c r="AB9"/>
  <c r="T49" s="1"/>
  <c r="G49" s="1"/>
  <c r="U9"/>
  <c r="G21" i="9"/>
  <c r="G20"/>
  <c r="C35" i="83"/>
  <c r="C33" s="1"/>
  <c r="C28"/>
  <c r="C26" s="1"/>
  <c r="C31" s="1"/>
  <c r="C30" s="1"/>
  <c r="E12" i="74"/>
  <c r="D42" s="1"/>
  <c r="C16"/>
  <c r="E15" s="1"/>
  <c r="C22"/>
  <c r="E21" s="1"/>
  <c r="D22" i="73"/>
  <c r="L44"/>
  <c r="G19"/>
  <c r="C32" s="1"/>
  <c r="O43" s="1"/>
  <c r="E5" i="74"/>
  <c r="F5" s="1"/>
  <c r="C32" i="9"/>
  <c r="O43" s="1"/>
  <c r="G22"/>
  <c r="W9" i="77"/>
  <c r="AC9"/>
  <c r="V49" s="1"/>
  <c r="I49" s="1"/>
  <c r="I53" s="1"/>
  <c r="J53" s="1"/>
  <c r="AB9"/>
  <c r="T49" s="1"/>
  <c r="G49" s="1"/>
  <c r="U9"/>
  <c r="S9"/>
  <c r="AA9"/>
  <c r="R49" s="1"/>
  <c r="F68" i="39"/>
  <c r="B2" s="1"/>
  <c r="B4" s="1"/>
  <c r="J39" i="15"/>
  <c r="J40" s="1"/>
  <c r="Q70"/>
  <c r="Q69" s="1"/>
  <c r="C44" i="44"/>
  <c r="C45" s="1"/>
  <c r="L52" s="1"/>
  <c r="Q48" i="15"/>
  <c r="Q54" s="1"/>
  <c r="Q57"/>
  <c r="C46"/>
  <c r="Q66"/>
  <c r="J42"/>
  <c r="J43" s="1"/>
  <c r="B2"/>
  <c r="B3" s="1"/>
  <c r="D21" i="73"/>
  <c r="L51" i="15"/>
  <c r="B3" i="72"/>
  <c r="G54" i="90" l="1"/>
  <c r="H54" s="1"/>
  <c r="G53"/>
  <c r="H53" s="1"/>
  <c r="R50"/>
  <c r="E49"/>
  <c r="B57" i="40"/>
  <c r="F57" s="1"/>
  <c r="B54"/>
  <c r="F54" s="1"/>
  <c r="B53"/>
  <c r="F53" s="1"/>
  <c r="B55"/>
  <c r="F55" s="1"/>
  <c r="B58"/>
  <c r="F58" s="1"/>
  <c r="B59"/>
  <c r="F59" s="1"/>
  <c r="B61"/>
  <c r="F61" s="1"/>
  <c r="F63"/>
  <c r="B2" s="1"/>
  <c r="B62"/>
  <c r="F62" s="1"/>
  <c r="B56"/>
  <c r="F56" s="1"/>
  <c r="B60"/>
  <c r="F60" s="1"/>
  <c r="C31" i="74"/>
  <c r="E30" s="1"/>
  <c r="F30" s="1"/>
  <c r="E42"/>
  <c r="L42"/>
  <c r="C36" i="83"/>
  <c r="C10" i="74"/>
  <c r="C25" s="1"/>
  <c r="G21" i="73"/>
  <c r="C34"/>
  <c r="M38" s="1"/>
  <c r="K27" s="1"/>
  <c r="F21" i="74"/>
  <c r="C34" i="9"/>
  <c r="M38" s="1"/>
  <c r="K27" s="1"/>
  <c r="C33" i="73"/>
  <c r="D42" s="1"/>
  <c r="F15" i="74"/>
  <c r="G22" i="73"/>
  <c r="C35"/>
  <c r="F42" s="1"/>
  <c r="C42" i="9"/>
  <c r="D63" s="1"/>
  <c r="D71" s="1"/>
  <c r="D66" s="1"/>
  <c r="N72" s="1"/>
  <c r="C42" i="73"/>
  <c r="N43"/>
  <c r="O38"/>
  <c r="K26" s="1"/>
  <c r="C35" i="9"/>
  <c r="F42" s="1"/>
  <c r="C33"/>
  <c r="D42" s="1"/>
  <c r="Q5" i="54" s="1"/>
  <c r="B47" i="63" s="1"/>
  <c r="O38" i="9"/>
  <c r="K26" s="1"/>
  <c r="K25" i="73"/>
  <c r="B5" i="39"/>
  <c r="G54" i="77"/>
  <c r="H54" s="1"/>
  <c r="G53"/>
  <c r="H53" s="1"/>
  <c r="E49"/>
  <c r="R50"/>
  <c r="Q68" i="15"/>
  <c r="L57"/>
  <c r="L60" s="1"/>
  <c r="Q67" s="1"/>
  <c r="Q76" s="1"/>
  <c r="F12" i="74"/>
  <c r="B3" i="39"/>
  <c r="B2" i="44"/>
  <c r="B4" s="1"/>
  <c r="L58"/>
  <c r="L61" s="1"/>
  <c r="Q69"/>
  <c r="D20" i="73"/>
  <c r="C50" i="90" l="1"/>
  <c r="C49"/>
  <c r="B4" i="40"/>
  <c r="B3"/>
  <c r="B5"/>
  <c r="I54" i="90"/>
  <c r="J54" s="1"/>
  <c r="E53"/>
  <c r="F53" s="1"/>
  <c r="E54"/>
  <c r="F54" s="1"/>
  <c r="M42" i="74"/>
  <c r="E60"/>
  <c r="B2" i="83"/>
  <c r="C38"/>
  <c r="G20" i="73"/>
  <c r="N38"/>
  <c r="K28" s="1"/>
  <c r="E42"/>
  <c r="R5" i="54"/>
  <c r="B48" i="63" s="1"/>
  <c r="C90" i="9"/>
  <c r="C82"/>
  <c r="C81" s="1"/>
  <c r="C85" s="1"/>
  <c r="C86" s="1"/>
  <c r="D72" s="1"/>
  <c r="C103"/>
  <c r="D73"/>
  <c r="N73" s="1"/>
  <c r="N68"/>
  <c r="E42"/>
  <c r="P5" i="54" s="1"/>
  <c r="B46" i="63" s="1"/>
  <c r="D70" i="9"/>
  <c r="C96"/>
  <c r="C91" s="1"/>
  <c r="C111"/>
  <c r="C104" s="1"/>
  <c r="K25"/>
  <c r="D14" i="66"/>
  <c r="F14" s="1"/>
  <c r="N38" i="9"/>
  <c r="K28" s="1"/>
  <c r="N68" i="73"/>
  <c r="D63"/>
  <c r="C49" i="77"/>
  <c r="C11" i="74" s="1"/>
  <c r="C26" s="1"/>
  <c r="C50" i="77"/>
  <c r="I54"/>
  <c r="J54" s="1"/>
  <c r="E54"/>
  <c r="F54" s="1"/>
  <c r="E53"/>
  <c r="F53" s="1"/>
  <c r="Q58" i="15"/>
  <c r="Q63" s="1"/>
  <c r="B3" i="44"/>
  <c r="B5"/>
  <c r="Q59"/>
  <c r="Q64" s="1"/>
  <c r="Q68"/>
  <c r="Q77" s="1"/>
  <c r="B3" i="83"/>
  <c r="B4"/>
  <c r="B5"/>
  <c r="B66" i="90" l="1"/>
  <c r="F66" s="1"/>
  <c r="B63"/>
  <c r="F63" s="1"/>
  <c r="B58"/>
  <c r="F58" s="1"/>
  <c r="B65"/>
  <c r="F65" s="1"/>
  <c r="B60"/>
  <c r="F60" s="1"/>
  <c r="B67"/>
  <c r="F67" s="1"/>
  <c r="B59"/>
  <c r="F59" s="1"/>
  <c r="B62"/>
  <c r="F62" s="1"/>
  <c r="B64"/>
  <c r="F64" s="1"/>
  <c r="B61"/>
  <c r="F61" s="1"/>
  <c r="F60" i="74"/>
  <c r="C3"/>
  <c r="C113" i="9"/>
  <c r="C114" s="1"/>
  <c r="E114" s="1"/>
  <c r="E115" s="1"/>
  <c r="B5" i="66"/>
  <c r="D5" s="1"/>
  <c r="C97" i="9"/>
  <c r="C98" s="1"/>
  <c r="E98" s="1"/>
  <c r="E99" s="1"/>
  <c r="E14" i="66"/>
  <c r="D70" i="73"/>
  <c r="C90"/>
  <c r="D73"/>
  <c r="N73" s="1"/>
  <c r="C111"/>
  <c r="C104" s="1"/>
  <c r="C96"/>
  <c r="C91" s="1"/>
  <c r="C82"/>
  <c r="C81" s="1"/>
  <c r="C85" s="1"/>
  <c r="C86" s="1"/>
  <c r="D72" s="1"/>
  <c r="C103"/>
  <c r="D71"/>
  <c r="B60" i="77"/>
  <c r="F60" s="1"/>
  <c r="B67"/>
  <c r="F67" s="1"/>
  <c r="B63"/>
  <c r="F63" s="1"/>
  <c r="B59"/>
  <c r="F59" s="1"/>
  <c r="B64"/>
  <c r="F64" s="1"/>
  <c r="B62"/>
  <c r="F62" s="1"/>
  <c r="B58"/>
  <c r="F58" s="1"/>
  <c r="B65"/>
  <c r="F65" s="1"/>
  <c r="B61"/>
  <c r="F61" s="1"/>
  <c r="B66"/>
  <c r="F66" s="1"/>
  <c r="F68" i="90" l="1"/>
  <c r="B2" s="1"/>
  <c r="C28" i="74"/>
  <c r="E27" s="1"/>
  <c r="D45" s="1"/>
  <c r="E2"/>
  <c r="C19"/>
  <c r="E18" s="1"/>
  <c r="D44" s="1"/>
  <c r="C99" i="9"/>
  <c r="C5" i="66"/>
  <c r="C97" i="73"/>
  <c r="C98" s="1"/>
  <c r="E98" s="1"/>
  <c r="E99" s="1"/>
  <c r="C113"/>
  <c r="C114" s="1"/>
  <c r="E114" s="1"/>
  <c r="E115" s="1"/>
  <c r="F68" i="77"/>
  <c r="B2" s="1"/>
  <c r="B4" s="1"/>
  <c r="E24" i="74"/>
  <c r="D40" s="1"/>
  <c r="E9"/>
  <c r="D38" s="1"/>
  <c r="D56" s="1"/>
  <c r="F56" s="1"/>
  <c r="C115" i="9"/>
  <c r="D76" s="1"/>
  <c r="D74" s="1"/>
  <c r="N74" s="1"/>
  <c r="O77" s="1"/>
  <c r="O79" s="1"/>
  <c r="B3" i="90" l="1"/>
  <c r="B5"/>
  <c r="B4"/>
  <c r="E44" i="74"/>
  <c r="L44"/>
  <c r="E45"/>
  <c r="L45"/>
  <c r="E63" s="1"/>
  <c r="F63" s="1"/>
  <c r="E40"/>
  <c r="L40"/>
  <c r="E38"/>
  <c r="L38"/>
  <c r="M38" s="1"/>
  <c r="F2"/>
  <c r="G3"/>
  <c r="F18"/>
  <c r="C99" i="73"/>
  <c r="C115"/>
  <c r="D76" s="1"/>
  <c r="D74" s="1"/>
  <c r="N74" s="1"/>
  <c r="O77" s="1"/>
  <c r="O78" s="1"/>
  <c r="B5" i="77"/>
  <c r="B3"/>
  <c r="F27" i="74"/>
  <c r="F9"/>
  <c r="F24"/>
  <c r="Q77" i="9"/>
  <c r="O78"/>
  <c r="O81"/>
  <c r="O80"/>
  <c r="E46" i="74" l="1"/>
  <c r="M44"/>
  <c r="E62"/>
  <c r="F62" s="1"/>
  <c r="M40"/>
  <c r="E58"/>
  <c r="O79" i="73"/>
  <c r="O81" s="1"/>
  <c r="Q77"/>
  <c r="F58" i="74" l="1"/>
  <c r="E47"/>
  <c r="O80" i="73"/>
  <c r="F64" i="74" l="1"/>
  <c r="F65" s="1"/>
  <c r="M45"/>
  <c r="M47" l="1"/>
  <c r="M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<sst xmlns="http://schemas.openxmlformats.org/spreadsheetml/2006/main" count="10472" uniqueCount="3856">
  <si>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</si>
  <si>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</si>
  <si>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</si>
  <si>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</si>
  <si>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</si>
  <si>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</si>
  <si>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</si>
  <si>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</si>
  <si>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</si>
  <si>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</si>
  <si>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</si>
  <si>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</si>
  <si>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</si>
  <si>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</si>
  <si>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</si>
  <si>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</si>
  <si>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</si>
  <si>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</si>
  <si>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</si>
  <si>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</si>
  <si>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</si>
  <si>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</si>
  <si>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</si>
  <si>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</si>
  <si>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</si>
  <si>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</si>
  <si>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</si>
  <si>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</si>
  <si>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</si>
  <si>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</si>
  <si>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</si>
  <si>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</si>
  <si>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</si>
  <si>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</si>
  <si>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</si>
  <si>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</si>
  <si>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</si>
  <si>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</si>
  <si>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</si>
  <si>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</si>
  <si>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</si>
  <si>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</si>
  <si>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</si>
  <si>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</si>
  <si>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</si>
  <si>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</si>
  <si>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</si>
  <si>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</si>
  <si>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</si>
  <si>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</si>
  <si>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</si>
  <si>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</si>
  <si>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</si>
  <si>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</si>
  <si>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</si>
  <si>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</si>
  <si>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</si>
  <si>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</si>
  <si>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</si>
  <si>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</si>
  <si>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</si>
  <si>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</si>
  <si>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</si>
  <si>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</si>
  <si>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</si>
  <si>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</si>
  <si>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</si>
  <si>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</si>
  <si>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</si>
  <si>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</si>
  <si>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</si>
  <si>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</si>
  <si>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</si>
  <si>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</si>
  <si>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</si>
  <si>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</si>
  <si>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</si>
  <si>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</si>
  <si>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</si>
  <si>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</si>
  <si>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</si>
  <si>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</si>
  <si>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</si>
  <si>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</si>
  <si>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</si>
  <si>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</si>
  <si>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</si>
  <si>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</si>
  <si>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</si>
  <si>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</si>
  <si>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</si>
  <si>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</si>
  <si>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</si>
  <si>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</si>
  <si>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</si>
  <si>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</si>
  <si>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</si>
  <si>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</si>
  <si>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</si>
  <si>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</si>
  <si>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</si>
  <si>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</si>
  <si>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</si>
  <si>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</si>
  <si>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</si>
  <si>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</si>
  <si>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</si>
  <si>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</si>
  <si>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</si>
  <si>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</si>
  <si>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</si>
  <si>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</si>
  <si>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</si>
  <si>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</si>
  <si>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</si>
  <si>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</si>
  <si>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</si>
  <si>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</si>
  <si>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</si>
  <si>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</si>
  <si>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</si>
  <si>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</si>
  <si>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</si>
  <si>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</si>
  <si>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</si>
  <si>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</si>
  <si>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</si>
  <si>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</si>
  <si>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</si>
  <si>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</si>
  <si>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</si>
  <si>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</si>
  <si>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</si>
  <si>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</si>
  <si>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</si>
  <si>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</si>
  <si>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</si>
  <si>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</si>
  <si>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</si>
  <si>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</si>
  <si>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</si>
  <si>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</si>
  <si>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</si>
  <si>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</si>
  <si>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</si>
  <si>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</si>
  <si>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</si>
  <si>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</si>
  <si>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</si>
  <si>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</si>
  <si>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</si>
  <si>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</si>
  <si>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</si>
  <si>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</si>
  <si>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</si>
  <si>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</si>
  <si>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</si>
  <si>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</si>
  <si>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</si>
  <si>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</si>
  <si>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</si>
  <si>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</si>
  <si>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</si>
  <si>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</si>
  <si>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</si>
  <si>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</si>
  <si>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</si>
  <si>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</si>
  <si>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</si>
  <si>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</si>
  <si>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</si>
  <si>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</si>
  <si>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</si>
  <si>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</si>
  <si>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</si>
  <si>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</si>
  <si>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</si>
  <si>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</si>
  <si>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</si>
  <si>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</si>
  <si>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</si>
  <si>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</si>
  <si>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</si>
  <si>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</si>
  <si>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</si>
  <si>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</si>
  <si>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</si>
  <si>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</si>
  <si>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</si>
  <si>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</si>
  <si>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</si>
  <si>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</si>
  <si>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</si>
  <si>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</si>
  <si>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</si>
  <si>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</si>
  <si>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</si>
  <si>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</si>
  <si>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</si>
  <si>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</si>
  <si>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</si>
  <si>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</si>
  <si>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</si>
  <si>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</si>
  <si>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</si>
  <si>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</si>
  <si>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</si>
  <si>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</si>
  <si>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</si>
  <si>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</si>
  <si>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</si>
  <si>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</si>
  <si>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</si>
  <si>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</si>
  <si>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</si>
  <si>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</si>
  <si>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</si>
  <si>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</si>
  <si>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</si>
  <si>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</si>
  <si>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</si>
  <si>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</si>
  <si>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</si>
  <si>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</si>
  <si>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</si>
  <si>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</si>
  <si>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</si>
  <si>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</si>
  <si>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</si>
  <si>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</si>
  <si>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</si>
  <si>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</si>
  <si>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</si>
  <si>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</si>
  <si>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</si>
  <si>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</si>
  <si>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</si>
  <si>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</si>
  <si>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</si>
  <si>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</si>
  <si>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</si>
  <si>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</si>
  <si>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</si>
  <si>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</si>
  <si>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</si>
  <si>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</si>
  <si>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</si>
  <si>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</si>
  <si>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</si>
  <si>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</si>
  <si>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</si>
  <si>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</si>
  <si>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</si>
  <si>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</si>
  <si>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</si>
  <si>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</si>
  <si>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</si>
  <si>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</si>
  <si>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</si>
  <si>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</si>
  <si>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</si>
  <si>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</si>
  <si>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</si>
  <si>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</si>
  <si>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</si>
  <si>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</si>
  <si>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</si>
  <si>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</si>
  <si>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</si>
  <si>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</si>
  <si>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</si>
  <si>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</si>
  <si>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</si>
  <si>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</si>
  <si>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</si>
  <si>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</si>
  <si>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</si>
  <si>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</si>
  <si>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</si>
  <si>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</si>
  <si>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</si>
  <si>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</si>
  <si>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</si>
  <si>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</si>
  <si>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</si>
  <si>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</si>
  <si>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</si>
  <si>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</si>
  <si>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</si>
  <si>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</si>
  <si>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</si>
  <si>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</si>
  <si>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</si>
  <si>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</si>
  <si>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</si>
  <si>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</si>
  <si>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</si>
  <si>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</si>
  <si>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</si>
  <si>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</si>
  <si>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</si>
  <si>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</si>
  <si>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</si>
  <si>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</si>
  <si>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</si>
  <si>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</si>
  <si>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</si>
  <si>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</si>
  <si>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</si>
  <si>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</si>
  <si>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</si>
  <si>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</si>
  <si>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</si>
  <si>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</si>
  <si>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</si>
  <si>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</si>
  <si>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</si>
  <si>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</si>
  <si>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</si>
  <si>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</si>
  <si>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</si>
  <si>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</si>
  <si>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</si>
  <si>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</si>
  <si>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</si>
  <si>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</si>
  <si>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</si>
  <si>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</si>
  <si>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</si>
  <si>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</si>
  <si>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</si>
  <si>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</si>
  <si>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</si>
  <si>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</si>
  <si>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</si>
  <si>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</si>
  <si>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</si>
  <si>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</si>
  <si>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</si>
  <si>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</si>
  <si>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</si>
  <si>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</si>
  <si>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</si>
  <si>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</si>
  <si>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</si>
  <si>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</si>
  <si>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</si>
  <si>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</si>
  <si>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</si>
  <si>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</si>
  <si>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</si>
  <si>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</si>
  <si>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</si>
  <si>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</si>
  <si>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</si>
  <si>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</si>
  <si>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</si>
  <si>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</si>
  <si>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</si>
  <si>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</si>
  <si>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</si>
  <si>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</si>
  <si>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</si>
  <si>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</si>
  <si>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</si>
  <si>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</si>
  <si>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</si>
  <si>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</si>
  <si>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</si>
  <si>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</si>
  <si>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</si>
  <si>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</si>
  <si>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</si>
  <si>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</si>
  <si>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</si>
  <si>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</si>
  <si>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</si>
  <si>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</si>
  <si>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</si>
  <si>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</si>
  <si>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</si>
  <si>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</si>
  <si>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</si>
  <si>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</si>
  <si>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</si>
  <si>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</si>
  <si>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</si>
  <si>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</si>
  <si>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</si>
  <si>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</si>
  <si>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</si>
  <si>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</si>
  <si>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</si>
  <si>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</si>
  <si>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</si>
  <si>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</si>
  <si>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</si>
  <si>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</si>
  <si>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</si>
  <si>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</si>
  <si>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</si>
  <si>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</si>
  <si>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</si>
  <si>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</si>
  <si>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</si>
  <si>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</si>
  <si>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</si>
  <si>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</si>
  <si>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</si>
  <si>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</si>
  <si>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</si>
  <si>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</si>
  <si>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</si>
  <si>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</si>
  <si>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</si>
  <si>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</si>
  <si>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</si>
  <si>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</si>
  <si>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</si>
  <si>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</si>
  <si>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</si>
  <si>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</si>
  <si>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</si>
  <si>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</si>
  <si>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</si>
  <si>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</si>
  <si>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</si>
  <si>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</si>
  <si>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</si>
  <si>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</si>
  <si>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</si>
  <si>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</si>
  <si>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</si>
  <si>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</si>
  <si>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</si>
  <si>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</si>
  <si>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</si>
  <si>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</si>
  <si>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</si>
  <si>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</si>
  <si>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</si>
  <si>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</si>
  <si>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</si>
  <si>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</si>
  <si>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</si>
  <si>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</si>
  <si>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</si>
  <si>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</si>
  <si>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</si>
  <si>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</si>
  <si>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</si>
  <si>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</si>
  <si>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</si>
  <si>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</si>
  <si>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</si>
  <si>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</si>
  <si>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</si>
  <si>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</si>
  <si>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</si>
  <si>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</si>
  <si>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</si>
  <si>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</si>
  <si>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</si>
  <si>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</si>
  <si>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</si>
  <si>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</si>
  <si>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</si>
  <si>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</si>
  <si>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</si>
  <si>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</si>
  <si>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</si>
  <si>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</si>
  <si>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</si>
  <si>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</si>
  <si>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</si>
  <si>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</si>
  <si>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</si>
  <si>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</si>
  <si>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</si>
  <si>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</si>
  <si>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</si>
  <si>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</si>
  <si>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</si>
  <si>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</si>
  <si>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</si>
  <si>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</si>
  <si>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</si>
  <si>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</si>
  <si>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</si>
  <si>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</si>
  <si>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</si>
  <si>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</si>
  <si>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</si>
  <si>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</si>
  <si>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</si>
  <si>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</si>
  <si>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</si>
  <si>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</si>
  <si>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</si>
  <si>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</si>
  <si>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</si>
  <si>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</si>
  <si>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</si>
  <si>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</si>
  <si>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</si>
  <si>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</si>
  <si>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</si>
  <si>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</si>
  <si>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</si>
  <si>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</si>
  <si>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</si>
  <si>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</si>
  <si>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</si>
  <si>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</si>
  <si>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</si>
  <si>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</si>
  <si>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</si>
  <si>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</si>
  <si>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</si>
  <si>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</si>
  <si>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</si>
  <si>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</si>
  <si>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</si>
  <si>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</si>
  <si>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</si>
  <si>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</si>
  <si>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</si>
  <si>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</si>
  <si>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</si>
  <si>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</si>
  <si>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</si>
  <si>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</si>
  <si>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</si>
  <si>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</si>
  <si>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</si>
  <si>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</si>
  <si>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</si>
  <si>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</si>
  <si>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</si>
  <si>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</si>
  <si>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</si>
  <si>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</si>
  <si>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</si>
  <si>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</si>
  <si>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</si>
  <si>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</si>
  <si>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</si>
  <si>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</si>
  <si>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</si>
  <si>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</si>
  <si>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</si>
  <si>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</si>
  <si>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</si>
  <si>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</si>
  <si>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</si>
  <si>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</si>
  <si>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</si>
  <si>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</si>
  <si>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</si>
  <si>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</si>
  <si>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</si>
  <si>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</si>
  <si>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</si>
  <si>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</si>
  <si>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</si>
  <si>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</si>
  <si>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</si>
  <si>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</si>
  <si>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</si>
  <si>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</si>
  <si>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</si>
  <si>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</si>
  <si>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</si>
  <si>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</si>
  <si>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</si>
  <si>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</si>
  <si>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</si>
  <si>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</si>
  <si>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</si>
  <si>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</si>
  <si>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</si>
  <si>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</si>
  <si>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</si>
  <si>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</si>
  <si>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</si>
  <si>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</si>
  <si>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</si>
  <si>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</si>
  <si>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</si>
  <si>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</si>
  <si>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</si>
  <si>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</si>
  <si>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</si>
  <si>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</si>
  <si>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</si>
  <si>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</si>
  <si>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</si>
  <si>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</si>
  <si>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</si>
  <si>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</si>
  <si>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</si>
  <si>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</si>
  <si>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</si>
  <si>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</si>
  <si>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</si>
  <si>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</si>
  <si>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</si>
  <si>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</si>
  <si>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</si>
  <si>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</si>
  <si>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</si>
  <si>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</si>
  <si>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</si>
  <si>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</si>
  <si>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</si>
  <si>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</si>
  <si>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</si>
  <si>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</si>
  <si>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</si>
  <si>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</si>
  <si>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</si>
  <si>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</si>
  <si>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</si>
  <si>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</si>
  <si>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</si>
  <si>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</si>
  <si>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</si>
  <si>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</si>
  <si>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</si>
  <si>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</si>
  <si>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</si>
  <si>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</si>
  <si>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</si>
  <si>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</si>
  <si>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</si>
  <si>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</si>
  <si>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</si>
  <si>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</si>
  <si>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</si>
  <si>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</si>
  <si>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</si>
  <si>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</si>
  <si>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</si>
  <si>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</si>
  <si>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</si>
  <si>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</si>
  <si>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</si>
  <si>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</si>
  <si>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</si>
  <si>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</si>
  <si>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</si>
  <si>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</si>
  <si>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</si>
  <si>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</si>
  <si>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</si>
  <si>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</si>
  <si>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</si>
  <si>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</si>
  <si>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</si>
  <si>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</si>
  <si>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</si>
  <si>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</si>
  <si>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</si>
  <si>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</si>
  <si>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</si>
  <si>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</si>
  <si>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</si>
  <si>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</si>
  <si>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</si>
  <si>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</si>
  <si>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</si>
  <si>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</si>
  <si>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</si>
  <si>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</si>
  <si>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</si>
  <si>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</si>
  <si>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</si>
  <si>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</si>
  <si>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</si>
  <si>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</si>
  <si>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</si>
  <si>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</si>
  <si>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</si>
  <si>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</si>
  <si>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</si>
  <si>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</si>
  <si>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</si>
  <si>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</si>
  <si>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</si>
  <si>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</si>
  <si>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</si>
  <si>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</si>
  <si>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</si>
  <si>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</si>
  <si>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</si>
  <si>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</si>
  <si>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</si>
  <si>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</si>
  <si>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</si>
  <si>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</si>
  <si>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</si>
  <si>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</si>
  <si>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</si>
  <si>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</si>
  <si>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</si>
  <si>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</si>
  <si>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</si>
  <si>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</si>
  <si>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</si>
  <si>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</si>
  <si>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</si>
  <si>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</si>
  <si>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</si>
  <si>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</si>
  <si>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</si>
  <si>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</si>
  <si>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</si>
  <si>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</si>
  <si>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</si>
  <si>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</si>
  <si>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</si>
  <si>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</si>
  <si>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</si>
  <si>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</si>
  <si>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</si>
  <si>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</si>
  <si>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</si>
  <si>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</si>
  <si>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</si>
  <si>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</si>
  <si>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</si>
  <si>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</si>
  <si>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</si>
  <si>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</si>
  <si>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</si>
  <si>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</si>
  <si>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</si>
  <si>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</si>
  <si>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</si>
  <si>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</si>
  <si>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</si>
  <si>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</si>
  <si>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</si>
  <si>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</si>
  <si>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</si>
  <si>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</si>
  <si>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</si>
  <si>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</si>
  <si>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</si>
  <si>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</si>
  <si>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</si>
  <si>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</si>
  <si>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</si>
  <si>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</si>
  <si>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</si>
  <si>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</si>
  <si>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</si>
  <si>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</si>
  <si>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</si>
  <si>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</si>
  <si>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</si>
  <si>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</si>
  <si>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</si>
  <si>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</si>
  <si>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</si>
  <si>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</si>
  <si>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</si>
  <si>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</si>
  <si>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</si>
  <si>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</si>
  <si>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</si>
  <si>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</si>
  <si>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</si>
  <si>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</si>
  <si>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</si>
  <si>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</si>
  <si>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</si>
  <si>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</si>
  <si>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</si>
  <si>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</si>
  <si>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</si>
  <si>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</si>
  <si>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</si>
  <si>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</si>
  <si>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</si>
  <si>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</si>
  <si>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</si>
  <si>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</si>
  <si>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</si>
  <si>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</si>
  <si>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</si>
  <si>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</si>
  <si>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</si>
  <si>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</si>
  <si>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</si>
  <si>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</si>
  <si>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</si>
  <si>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</si>
  <si>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</si>
  <si>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</si>
  <si>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</si>
  <si>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</si>
  <si>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</si>
  <si>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</si>
  <si>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</si>
  <si>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</si>
  <si>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</si>
  <si>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</si>
  <si>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</si>
  <si>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</si>
  <si>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</si>
  <si>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</si>
  <si>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</si>
  <si>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</si>
  <si>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</si>
  <si>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</si>
  <si>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</si>
  <si>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</si>
  <si>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</si>
  <si>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</si>
  <si>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</si>
  <si>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</si>
  <si>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</si>
  <si>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</si>
  <si>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</si>
  <si>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</si>
  <si>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</si>
  <si>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</si>
  <si>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</si>
  <si>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</si>
  <si>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</si>
  <si>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</si>
  <si>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</si>
  <si>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</si>
  <si>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</si>
  <si>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</si>
  <si>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</si>
  <si>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</si>
  <si>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</si>
  <si>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</si>
  <si>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</si>
  <si>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</si>
  <si>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</si>
  <si>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</si>
  <si>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</si>
  <si>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</si>
  <si>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</si>
  <si>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</si>
  <si>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</si>
  <si>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</si>
  <si>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</si>
  <si>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</si>
  <si>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</si>
  <si>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</si>
  <si>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</si>
  <si>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</si>
  <si>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</si>
  <si>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</si>
  <si>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</si>
  <si>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</si>
  <si>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</si>
  <si>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</si>
  <si>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</si>
  <si>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</si>
  <si>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</si>
  <si>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</si>
  <si>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</si>
  <si>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</si>
  <si>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</si>
  <si>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</si>
  <si>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</si>
  <si>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</si>
  <si>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</si>
  <si>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</si>
  <si>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</si>
  <si>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</si>
  <si>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</si>
  <si>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</si>
  <si>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</si>
  <si>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</si>
  <si>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</si>
  <si>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</si>
  <si>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</si>
  <si>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</si>
  <si>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</si>
  <si>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</si>
  <si>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</si>
  <si>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</si>
  <si>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</si>
  <si>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</si>
  <si>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</si>
  <si>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</si>
  <si>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</si>
  <si>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</si>
  <si>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</si>
  <si>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</si>
  <si>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</si>
  <si>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</si>
  <si>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</si>
  <si>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</si>
  <si>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</si>
  <si>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</si>
  <si>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</si>
  <si>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</si>
  <si>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</si>
  <si>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</si>
  <si>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</si>
  <si>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</si>
  <si>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</si>
  <si>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</si>
  <si>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</si>
  <si>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</si>
  <si>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</si>
  <si>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</si>
  <si>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</si>
  <si>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</si>
  <si>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</si>
  <si>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</si>
  <si>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</si>
  <si>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</si>
  <si>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</si>
  <si>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</si>
  <si>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</si>
  <si>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</si>
  <si>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</si>
  <si>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</si>
  <si>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</si>
  <si>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</si>
  <si>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</si>
  <si>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</si>
  <si>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</si>
  <si>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</si>
  <si>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</si>
  <si>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</si>
  <si>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</si>
  <si>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</si>
  <si>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</si>
  <si>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</si>
  <si>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</si>
  <si>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</si>
  <si>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</si>
  <si>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</si>
  <si>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</si>
  <si>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</si>
  <si>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</si>
  <si>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</si>
  <si>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</si>
  <si>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</si>
  <si>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</si>
  <si>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</si>
  <si>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</si>
  <si>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</si>
  <si>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</si>
  <si>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</si>
  <si>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</si>
  <si>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</si>
  <si>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</si>
  <si>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</si>
  <si>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</si>
  <si>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</si>
  <si>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</si>
  <si>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</si>
  <si>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</si>
  <si>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</si>
  <si>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</si>
  <si>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</si>
  <si>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</si>
  <si>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</si>
  <si>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</si>
  <si>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</si>
  <si>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</si>
  <si>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</si>
  <si>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</si>
  <si>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</si>
  <si>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</si>
  <si>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</si>
  <si>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</si>
  <si>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</si>
  <si>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</si>
  <si>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</si>
  <si>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</si>
  <si>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</si>
  <si>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</si>
  <si>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</si>
  <si>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</si>
  <si>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</si>
  <si>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</si>
  <si>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</si>
  <si>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</si>
  <si>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</si>
  <si>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</si>
  <si>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</si>
  <si>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</si>
  <si>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</si>
  <si>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</si>
  <si>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</si>
  <si>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</si>
  <si>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</si>
  <si>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</si>
  <si>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</si>
  <si>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</si>
  <si>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</si>
  <si>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</si>
  <si>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</si>
  <si>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</si>
  <si>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</si>
  <si>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</si>
  <si>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</si>
  <si>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</si>
  <si>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</si>
  <si>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</si>
  <si>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</si>
  <si>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</si>
  <si>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</si>
  <si>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</si>
  <si>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</si>
  <si>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</si>
  <si>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</si>
  <si>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</si>
  <si>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</si>
  <si>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</si>
  <si>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</si>
  <si>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</si>
  <si>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</si>
  <si>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</si>
  <si>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</si>
  <si>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</si>
  <si>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</si>
  <si>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</si>
  <si>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</si>
  <si>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</si>
  <si>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</si>
  <si>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</si>
  <si>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</si>
  <si>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</si>
  <si>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</si>
  <si>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</si>
  <si>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</si>
  <si>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</si>
  <si>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</si>
  <si>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</si>
  <si>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</si>
  <si>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</si>
  <si>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</si>
  <si>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</si>
  <si>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</si>
  <si>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</si>
  <si>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</si>
  <si>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</si>
  <si>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</si>
  <si>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</si>
  <si>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</si>
  <si>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</si>
  <si>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</si>
  <si>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</si>
  <si>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</si>
  <si>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</si>
  <si>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</si>
  <si>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</si>
  <si>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</si>
  <si>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</si>
  <si>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</si>
  <si>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</si>
  <si>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</si>
  <si>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</si>
  <si>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</si>
  <si>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</si>
  <si>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</si>
  <si>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</si>
  <si>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</si>
  <si>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</si>
  <si>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</si>
  <si>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</si>
  <si>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</si>
  <si>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</si>
  <si>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</si>
  <si>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</si>
  <si>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</si>
  <si>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</si>
  <si>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</si>
  <si>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</si>
  <si>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</si>
  <si>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</si>
  <si>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</si>
  <si>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</si>
  <si>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</si>
  <si>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</si>
  <si>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</si>
  <si>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</si>
  <si>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</si>
  <si>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</si>
  <si>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</si>
  <si>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</si>
  <si>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</si>
  <si>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</si>
  <si>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</si>
  <si>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</si>
  <si>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</si>
  <si>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</si>
  <si>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</si>
  <si>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</si>
  <si>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</si>
  <si>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</si>
  <si>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</si>
  <si>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</si>
  <si>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</si>
  <si>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</si>
  <si>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</si>
  <si>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</si>
  <si>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</si>
  <si>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</si>
  <si>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</si>
  <si>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</si>
  <si>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</si>
  <si>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</si>
  <si>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</si>
  <si>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</si>
  <si>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</si>
  <si>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</si>
  <si>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</si>
  <si>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</si>
  <si>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</si>
  <si>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</si>
  <si>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</si>
  <si>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</si>
  <si>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</si>
  <si>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</si>
  <si>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</si>
  <si>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</si>
  <si>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</si>
  <si>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</si>
  <si>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</si>
  <si>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</si>
  <si>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</si>
  <si>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</si>
  <si>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</si>
  <si>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</si>
  <si>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</si>
  <si>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</si>
  <si>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</si>
  <si>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</si>
  <si>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</si>
  <si>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</si>
  <si>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</si>
  <si>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</si>
  <si>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</si>
  <si>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</si>
  <si>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</si>
  <si>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</si>
  <si>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</si>
  <si>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</si>
  <si>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</si>
  <si>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</si>
  <si>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</si>
  <si>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</si>
  <si>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</si>
  <si>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</si>
  <si>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</si>
  <si>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</si>
  <si>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</si>
  <si>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</si>
  <si>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</si>
  <si>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</si>
  <si>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</si>
  <si>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</si>
  <si>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</si>
  <si>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</si>
  <si>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</si>
  <si>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</si>
  <si>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</si>
  <si>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</si>
  <si>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</si>
  <si>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</si>
  <si>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</si>
  <si>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</si>
  <si>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</si>
  <si>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</si>
  <si>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</si>
  <si>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</si>
  <si>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</si>
  <si>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</si>
  <si>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</si>
  <si>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</si>
  <si>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</si>
  <si>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</si>
  <si>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</si>
  <si>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</si>
  <si>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</si>
  <si>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</si>
  <si>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</si>
  <si>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</si>
  <si>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</si>
  <si>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</si>
  <si>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</si>
  <si>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</si>
  <si>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</si>
  <si>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</si>
  <si>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</si>
  <si>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</si>
  <si>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</si>
  <si>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</si>
  <si>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</si>
  <si>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</si>
  <si>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</si>
  <si>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</si>
  <si>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</si>
  <si>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</si>
  <si>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</si>
  <si>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</si>
  <si>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</si>
  <si>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</si>
  <si>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</si>
  <si>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</si>
  <si>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</si>
  <si>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</si>
  <si>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</si>
  <si>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</si>
  <si>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</si>
  <si>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</si>
  <si>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</si>
  <si>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</si>
  <si>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</si>
  <si>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</si>
  <si>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</si>
  <si>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</si>
  <si>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</si>
  <si>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</si>
  <si>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</si>
  <si>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</si>
  <si>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</si>
  <si>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</si>
  <si>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</si>
  <si>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</si>
  <si>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</si>
  <si>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</si>
  <si>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</si>
  <si>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</si>
  <si>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</si>
  <si>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</si>
  <si>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</si>
  <si>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</si>
  <si>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</si>
  <si>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</si>
  <si>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</si>
  <si>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</si>
  <si>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</si>
  <si>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</si>
  <si>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</si>
  <si>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</si>
  <si>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</si>
  <si>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</si>
  <si>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</si>
  <si>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</si>
  <si>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</si>
  <si>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</si>
  <si>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</si>
  <si>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</si>
  <si>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</si>
  <si>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</si>
  <si>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</si>
  <si>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</si>
  <si>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</si>
  <si>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</si>
  <si>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</si>
  <si>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</si>
  <si>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</si>
  <si>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</si>
  <si>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</si>
  <si>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</si>
  <si>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</si>
  <si>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</si>
  <si>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</si>
  <si>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</si>
  <si>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</si>
  <si>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</si>
  <si>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</si>
  <si>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</si>
  <si>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</si>
  <si>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</si>
  <si>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</si>
  <si>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</si>
  <si>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</si>
  <si>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</si>
  <si>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</si>
  <si>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</si>
  <si>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</si>
  <si>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</si>
  <si>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</si>
  <si>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</si>
  <si>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</si>
  <si>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</si>
  <si>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</si>
  <si>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</si>
  <si>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</si>
  <si>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</si>
  <si>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</si>
  <si>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</si>
  <si>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</si>
  <si>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</si>
  <si>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</si>
  <si>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</si>
  <si>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</si>
  <si>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</si>
  <si>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</si>
  <si>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</si>
  <si>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</si>
  <si>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</si>
  <si>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</si>
  <si>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</si>
  <si>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</si>
  <si>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</si>
  <si>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</si>
  <si>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</si>
  <si>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</si>
  <si>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</si>
  <si>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</si>
  <si>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</si>
  <si>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</si>
  <si>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</si>
  <si>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</si>
  <si>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</si>
  <si>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</si>
  <si>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</si>
  <si>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</si>
  <si>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</si>
  <si>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</si>
  <si>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</si>
  <si>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</si>
  <si>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</si>
  <si>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</si>
  <si>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</si>
  <si>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</si>
  <si>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</si>
  <si>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</si>
  <si>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</si>
  <si>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</si>
  <si>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</si>
  <si>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</si>
  <si>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</si>
  <si>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</si>
  <si>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</si>
  <si>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</si>
  <si>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</si>
  <si>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</si>
  <si>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</si>
  <si>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</si>
  <si>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</si>
  <si>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</si>
  <si>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</si>
  <si>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</si>
  <si>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</si>
  <si>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</si>
  <si>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</si>
  <si>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</si>
  <si>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</si>
  <si>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</si>
  <si>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</si>
  <si>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</si>
  <si>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</si>
  <si>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</si>
  <si>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</si>
  <si>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</si>
  <si>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</si>
  <si>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</si>
  <si>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</si>
  <si>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</si>
  <si>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</si>
  <si>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</si>
  <si>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</si>
  <si>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</si>
  <si>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</si>
  <si>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</si>
  <si>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</si>
  <si>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</si>
  <si>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</si>
  <si>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</si>
  <si>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</si>
  <si>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</si>
  <si>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</si>
  <si>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</si>
  <si>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</si>
  <si>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</si>
  <si>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</si>
  <si>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</si>
  <si>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</si>
  <si>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</si>
  <si>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</si>
  <si>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</si>
  <si>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</si>
  <si>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</si>
  <si>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</si>
  <si>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</si>
  <si>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</si>
  <si>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</si>
  <si>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</si>
  <si>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</si>
  <si>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</si>
  <si>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</si>
  <si>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</si>
  <si>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</si>
  <si>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</si>
  <si>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</si>
  <si>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</si>
  <si>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</si>
  <si>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</si>
  <si>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</si>
  <si>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</si>
  <si>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</si>
  <si>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</si>
  <si>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</si>
  <si>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</si>
  <si>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</si>
  <si>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</si>
  <si>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</si>
  <si>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</si>
  <si>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</si>
  <si>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</si>
  <si>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</si>
  <si>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</si>
  <si>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</si>
  <si>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</si>
  <si>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</si>
  <si>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</si>
  <si>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</si>
  <si>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</si>
  <si>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</si>
  <si>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</si>
  <si>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</si>
  <si>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</si>
  <si>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</si>
  <si>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</si>
  <si>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</si>
  <si>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</si>
  <si>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</si>
  <si>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</si>
  <si>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</si>
  <si>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</si>
  <si>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</si>
  <si>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</si>
  <si>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</si>
  <si>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</si>
  <si>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</si>
  <si>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</si>
  <si>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</si>
  <si>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</si>
  <si>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</si>
  <si>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</si>
  <si>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</si>
  <si>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</si>
  <si>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</si>
  <si>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</si>
  <si>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</si>
  <si>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</si>
  <si>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</si>
  <si>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</si>
  <si>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</si>
  <si>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</si>
  <si>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</si>
  <si>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</si>
  <si>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</si>
  <si>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</si>
  <si>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</si>
  <si>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</si>
  <si>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</si>
  <si>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</si>
  <si>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</si>
  <si>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</si>
  <si>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</si>
  <si>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</si>
  <si>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</si>
  <si>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</si>
  <si>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</si>
  <si>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</si>
  <si>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</si>
  <si>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</si>
  <si>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</si>
  <si>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</si>
  <si>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</si>
  <si>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</si>
  <si>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</si>
  <si>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</si>
  <si>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</si>
  <si>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</si>
  <si>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</si>
  <si>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</si>
  <si>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</si>
  <si>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</si>
  <si>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</si>
  <si>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</si>
  <si>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</si>
  <si>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</si>
  <si>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</si>
  <si>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</si>
  <si>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</si>
  <si>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</si>
  <si>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</si>
  <si>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</si>
  <si>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</si>
  <si>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</si>
  <si>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</si>
  <si>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</si>
  <si>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</si>
  <si>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</si>
  <si>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</si>
  <si>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</si>
  <si>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</si>
  <si>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</si>
  <si>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</si>
  <si>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</si>
  <si>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</si>
  <si>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</si>
  <si>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</si>
  <si>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</si>
  <si>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</si>
  <si>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</si>
  <si>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</si>
  <si>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</si>
  <si>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</si>
  <si>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</si>
  <si>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</si>
  <si>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</si>
  <si>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</si>
  <si>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</si>
  <si>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</si>
  <si>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</si>
  <si>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</si>
  <si>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</si>
  <si>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</si>
  <si>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</si>
  <si>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</si>
  <si>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</si>
  <si>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</si>
  <si>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</si>
  <si>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</si>
  <si>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</si>
  <si>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</si>
  <si>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</si>
  <si>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</si>
  <si>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</si>
  <si>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</si>
  <si>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</si>
  <si>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</si>
  <si>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</si>
  <si>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</si>
  <si>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</si>
  <si>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</si>
  <si>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</si>
  <si>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</si>
  <si>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</si>
  <si>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</si>
  <si>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</si>
  <si>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</si>
  <si>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</si>
  <si>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</si>
  <si>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</si>
  <si>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</si>
  <si>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</si>
  <si>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</si>
  <si>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</si>
  <si>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</si>
  <si>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</si>
  <si>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</si>
  <si>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</si>
  <si>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</si>
  <si>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</si>
  <si>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</si>
  <si>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</si>
  <si>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</si>
  <si>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</si>
  <si>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</si>
  <si>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</si>
  <si>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</si>
  <si>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</si>
  <si>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</si>
  <si>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</si>
  <si>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</si>
  <si>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</si>
  <si>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</si>
  <si>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</si>
  <si>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</si>
  <si>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</si>
  <si>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</si>
  <si>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</si>
  <si>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</si>
  <si>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</si>
  <si>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</si>
  <si>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</si>
  <si>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</si>
  <si>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</si>
  <si>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</si>
  <si>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</si>
  <si>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</si>
  <si>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</si>
  <si>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</si>
  <si>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</si>
  <si>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</si>
  <si>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</si>
  <si>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</si>
  <si>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</si>
  <si>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</si>
  <si>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</si>
  <si>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</si>
  <si>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</si>
  <si>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</si>
  <si>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</si>
  <si>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</si>
  <si>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</si>
  <si>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</si>
  <si>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</si>
  <si>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</si>
  <si>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</si>
  <si>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</si>
  <si>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</si>
  <si>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</si>
  <si>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</si>
  <si>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</si>
  <si>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</si>
  <si>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</si>
  <si>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</si>
  <si>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</si>
  <si>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</si>
  <si>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</si>
  <si>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</si>
  <si>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</si>
  <si>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</si>
  <si>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</si>
  <si>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</si>
  <si>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</si>
  <si>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</si>
  <si>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</si>
  <si>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</si>
  <si>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</si>
  <si>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</si>
  <si>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</si>
  <si>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</si>
  <si>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</si>
  <si>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</si>
  <si>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</si>
  <si>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</si>
  <si>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</si>
  <si>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</si>
  <si>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</si>
  <si>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</si>
  <si>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</si>
  <si>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</si>
  <si>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</si>
  <si>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</si>
  <si>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</si>
  <si>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</si>
  <si>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</si>
  <si>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</si>
  <si>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</si>
  <si>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</si>
  <si>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</si>
  <si>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</si>
  <si>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</si>
  <si>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</si>
  <si>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</si>
  <si>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</si>
  <si>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</si>
  <si>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</si>
  <si>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</si>
  <si>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</si>
  <si>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</si>
  <si>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</si>
  <si>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</si>
  <si>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</si>
  <si>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</si>
  <si>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</si>
  <si>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</si>
  <si>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</si>
  <si>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</si>
  <si>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</si>
  <si>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</si>
  <si>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</si>
  <si>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</si>
  <si>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</si>
  <si>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</si>
  <si>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</si>
  <si>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</si>
  <si>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</si>
  <si>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</si>
  <si>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</si>
  <si>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</si>
  <si>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</si>
  <si>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</si>
  <si>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</si>
  <si>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</si>
  <si>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</si>
  <si>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</si>
  <si>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</si>
  <si>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</si>
  <si>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</si>
  <si>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</si>
  <si>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</si>
  <si>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</si>
  <si>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</si>
  <si>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</si>
  <si>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</si>
  <si>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</si>
  <si>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</si>
  <si>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</si>
  <si>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</si>
  <si>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</si>
  <si>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</si>
  <si>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</si>
  <si>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</si>
  <si>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</si>
  <si>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</si>
  <si>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</si>
  <si>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</si>
  <si>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</si>
  <si>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</si>
  <si>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</si>
  <si>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</si>
  <si>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</si>
  <si>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</si>
  <si>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</si>
  <si>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</si>
  <si>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</si>
  <si>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</si>
  <si>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</si>
  <si>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</si>
  <si>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</si>
  <si>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</si>
  <si>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</si>
  <si>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</si>
  <si>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</si>
  <si>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</si>
  <si>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</si>
  <si>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</si>
  <si>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</si>
  <si>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</si>
  <si>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</si>
  <si>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</si>
  <si>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</si>
  <si>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</si>
  <si>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</si>
  <si>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</si>
  <si>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</si>
  <si>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</si>
  <si>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</si>
  <si>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</si>
  <si>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</si>
  <si>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</si>
  <si>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</si>
  <si>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</si>
  <si>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</si>
  <si>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</si>
  <si>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</si>
  <si>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</si>
  <si>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</si>
  <si>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</si>
  <si>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</si>
  <si>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</si>
  <si>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</si>
  <si>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</si>
  <si>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</si>
  <si>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</si>
  <si>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</si>
  <si>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</si>
  <si>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</si>
  <si>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</si>
  <si>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</si>
  <si>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</si>
  <si>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</si>
  <si>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</si>
  <si>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</si>
  <si>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</si>
  <si>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</si>
  <si>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</si>
  <si>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</si>
  <si>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</si>
  <si>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</si>
  <si>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</si>
  <si>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</si>
  <si>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</si>
  <si>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</si>
  <si>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</si>
  <si>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</si>
  <si>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</si>
  <si>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</si>
  <si>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</si>
  <si>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</si>
  <si>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</si>
  <si>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</si>
  <si>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</si>
  <si>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</si>
  <si>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</si>
  <si>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</si>
  <si>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</si>
  <si>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</si>
  <si>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</si>
  <si>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</si>
  <si>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</si>
  <si>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</si>
  <si>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</si>
  <si>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</si>
  <si>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</si>
  <si>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</si>
  <si>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</si>
  <si>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</si>
  <si>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</si>
  <si>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</si>
  <si>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</si>
  <si>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</si>
  <si>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</si>
  <si>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</si>
  <si>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</si>
  <si>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</si>
  <si>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</si>
  <si>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</si>
  <si>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</si>
  <si>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</si>
  <si>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</si>
  <si>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</si>
  <si>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</si>
  <si>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</si>
  <si>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</si>
  <si>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</si>
  <si>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</si>
  <si>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</si>
  <si>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</si>
  <si>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</si>
  <si>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</si>
  <si>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</si>
  <si>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</si>
  <si>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</si>
  <si>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</si>
  <si>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</si>
  <si>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</si>
  <si>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</si>
  <si>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</si>
  <si>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</si>
  <si>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</si>
  <si>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</si>
  <si>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</si>
  <si>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</si>
  <si>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</si>
  <si>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</si>
  <si>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</si>
  <si>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</si>
  <si>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</si>
  <si>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</si>
  <si>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</si>
  <si>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</si>
  <si>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</si>
  <si>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</si>
  <si>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</si>
  <si>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</si>
  <si>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</si>
  <si>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</si>
  <si>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</si>
  <si>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</si>
  <si>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</si>
  <si>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</si>
  <si>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</si>
  <si>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</si>
  <si>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</si>
  <si>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</si>
  <si>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</si>
  <si>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</si>
  <si>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</si>
  <si>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</si>
  <si>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</si>
  <si>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</si>
  <si>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</si>
  <si>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</si>
  <si>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</si>
  <si>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</si>
  <si>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</si>
  <si>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</si>
  <si>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</si>
  <si>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</si>
  <si>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</si>
  <si>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</si>
  <si>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</si>
  <si>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</si>
  <si>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</si>
  <si>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</si>
  <si>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</si>
  <si>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</si>
  <si>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</si>
  <si>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</si>
  <si>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</si>
  <si>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</si>
  <si>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</si>
  <si>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</si>
  <si>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</si>
  <si>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</si>
  <si>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</si>
  <si>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</si>
  <si>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</si>
  <si>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</si>
  <si>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</si>
  <si>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</si>
  <si>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</si>
  <si>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</si>
  <si>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</si>
  <si>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</si>
  <si>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</si>
  <si>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</si>
  <si>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</si>
  <si>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</si>
  <si>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</si>
  <si>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</si>
  <si>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</si>
  <si>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</si>
  <si>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</si>
  <si>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</si>
  <si>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</si>
  <si>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</si>
  <si>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</si>
  <si>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</si>
  <si>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</si>
  <si>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</si>
  <si>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</si>
  <si>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</si>
  <si>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</si>
  <si>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</si>
  <si>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</si>
  <si>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</si>
  <si>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</si>
  <si>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</si>
  <si>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</si>
  <si>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</si>
  <si>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</si>
  <si>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</si>
  <si>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</si>
  <si>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</si>
  <si>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</si>
  <si>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</si>
  <si>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</si>
  <si>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</si>
  <si>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</si>
  <si>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</si>
  <si>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</si>
  <si>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</si>
  <si>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</si>
  <si>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</si>
  <si>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</si>
  <si>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</si>
  <si>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</si>
  <si>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</si>
  <si>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</si>
  <si>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</si>
  <si>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</si>
  <si>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</si>
  <si>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</si>
  <si>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</si>
  <si>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</si>
  <si>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</si>
  <si>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</si>
  <si>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</si>
  <si>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</si>
  <si>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</si>
  <si>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</si>
  <si>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</si>
  <si>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</si>
  <si>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</si>
  <si>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</si>
  <si>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</si>
  <si>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</si>
  <si>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</si>
  <si>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</si>
  <si>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</si>
  <si>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</si>
  <si>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</si>
  <si>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</si>
  <si>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</si>
  <si>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</si>
  <si>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</si>
  <si>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</si>
  <si>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</si>
  <si>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</si>
  <si>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</si>
  <si>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</si>
  <si>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</si>
  <si>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</si>
  <si>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</si>
  <si>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</si>
  <si>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</si>
  <si>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</si>
  <si>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</si>
  <si>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</si>
  <si>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</si>
  <si>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</si>
  <si>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</si>
  <si>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</si>
  <si>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</si>
  <si>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</si>
  <si>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</si>
  <si>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</si>
  <si>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</si>
  <si>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</si>
  <si>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</si>
  <si>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</si>
  <si>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</si>
  <si>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</si>
  <si>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</si>
  <si>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</si>
  <si>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</si>
  <si>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</si>
  <si>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</si>
  <si>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</si>
  <si>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</si>
  <si>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</si>
  <si>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</si>
  <si>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</si>
  <si>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</si>
  <si>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</si>
  <si>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</si>
  <si>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</si>
  <si>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</si>
  <si>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</si>
  <si>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</si>
  <si>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</si>
  <si>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</si>
  <si>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</si>
  <si>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</si>
  <si>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</si>
  <si>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</si>
  <si>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</si>
  <si>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</si>
  <si>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</si>
  <si>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</si>
  <si>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</si>
  <si>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</si>
  <si>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</si>
  <si>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</si>
  <si>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</si>
  <si>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</si>
  <si>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</si>
  <si>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</si>
  <si>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</si>
  <si>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</si>
  <si>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</si>
  <si>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</si>
  <si>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</si>
  <si>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</si>
  <si>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</si>
  <si>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</si>
  <si>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</si>
  <si>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</si>
  <si>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</si>
  <si>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</si>
  <si>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</si>
  <si>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</si>
  <si>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</si>
  <si>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</si>
  <si>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</si>
  <si>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</si>
  <si>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</si>
  <si>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</si>
  <si>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</si>
  <si>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</si>
  <si>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</si>
  <si>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</si>
  <si>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</si>
  <si>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</si>
  <si>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</si>
  <si>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</si>
  <si>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</si>
  <si>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</si>
  <si>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</si>
  <si>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</si>
  <si>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</si>
  <si>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</si>
  <si>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</si>
  <si>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</si>
  <si>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</si>
  <si>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</si>
  <si>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</si>
  <si>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</si>
  <si>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</si>
  <si>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</si>
  <si>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</si>
  <si>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</si>
  <si>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</si>
  <si>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</si>
  <si>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</si>
  <si>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</si>
  <si>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</si>
  <si>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</si>
  <si>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</si>
  <si>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</si>
  <si>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</si>
  <si>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</si>
  <si>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</si>
  <si>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</si>
  <si>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</si>
  <si>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</si>
  <si>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</si>
  <si>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</si>
  <si>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</si>
  <si>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</si>
  <si>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</si>
  <si>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</si>
  <si>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</si>
  <si>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</si>
  <si>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</si>
  <si>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</si>
  <si>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</si>
  <si>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</si>
  <si>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</si>
  <si>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</si>
  <si>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</si>
  <si>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</si>
  <si>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</si>
  <si>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</si>
  <si>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</si>
  <si>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</si>
  <si>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</si>
  <si>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</si>
  <si>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</si>
  <si>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</si>
  <si>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</si>
  <si>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</si>
  <si>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</si>
  <si>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</si>
  <si>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</si>
  <si>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</si>
  <si>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</si>
  <si>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</si>
  <si>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</si>
  <si>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</si>
  <si>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</si>
  <si>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</si>
  <si>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</si>
  <si>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</si>
  <si>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</si>
  <si>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</si>
  <si>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</si>
  <si>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</si>
  <si>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</si>
  <si>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</si>
  <si>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</si>
  <si>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</si>
  <si>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</si>
  <si>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</si>
  <si>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</si>
  <si>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</si>
  <si>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</si>
  <si>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</si>
  <si>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</si>
  <si>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</si>
  <si>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</si>
  <si>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</si>
  <si>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</si>
  <si>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</si>
  <si>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</si>
  <si>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</si>
  <si>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</si>
  <si>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</si>
  <si>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</si>
  <si>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</si>
  <si>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</si>
  <si>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</si>
  <si>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</si>
  <si>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</si>
  <si>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</si>
  <si>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</si>
  <si>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</si>
  <si>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</si>
  <si>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</si>
  <si>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</si>
  <si>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</si>
  <si>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</si>
  <si>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</si>
  <si>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</si>
  <si>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</si>
  <si>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</si>
  <si>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</si>
  <si>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</si>
  <si>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</si>
  <si>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</si>
  <si>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</si>
  <si>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</si>
  <si>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</si>
  <si>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</si>
  <si>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</si>
  <si>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</si>
  <si>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</si>
  <si>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</si>
  <si>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</si>
  <si>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</si>
  <si>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</si>
  <si>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</si>
  <si>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</si>
  <si>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</si>
  <si>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</si>
  <si>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</si>
  <si>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</si>
  <si>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</si>
  <si>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</si>
  <si>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</si>
  <si>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</si>
  <si>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</si>
  <si>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</si>
  <si>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</si>
  <si>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</si>
  <si>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</si>
  <si>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</si>
  <si>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</si>
  <si>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</si>
  <si>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</si>
  <si>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</si>
  <si>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</si>
  <si>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</si>
  <si>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</si>
  <si>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</si>
  <si>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</si>
  <si>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</si>
  <si>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</si>
  <si>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</si>
  <si>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</si>
  <si>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</si>
  <si>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</si>
  <si>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</si>
  <si>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</si>
  <si>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</si>
  <si>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</si>
  <si>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</si>
  <si>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</si>
  <si>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</si>
  <si>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</si>
  <si>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</si>
  <si>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</si>
  <si>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</si>
  <si>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</si>
  <si>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</si>
  <si>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</si>
  <si>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</si>
  <si>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</si>
  <si>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</si>
  <si>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</si>
  <si>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</si>
  <si>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</si>
  <si>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</si>
  <si>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</si>
  <si>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</si>
  <si>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</si>
  <si>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</si>
  <si>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</si>
  <si>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</si>
  <si>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</si>
  <si>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</si>
  <si>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</si>
  <si>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</si>
  <si>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</si>
  <si>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</si>
  <si>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</si>
  <si>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</si>
  <si>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</si>
  <si>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</si>
  <si>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</si>
  <si>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</si>
  <si>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</si>
  <si>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</si>
  <si>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</si>
  <si>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</si>
  <si>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</si>
  <si>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</si>
  <si>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</si>
  <si>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</si>
  <si>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</si>
  <si>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</si>
  <si>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</si>
  <si>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</si>
  <si>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</si>
  <si>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</si>
  <si>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</si>
  <si>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</si>
  <si>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</si>
  <si>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</si>
  <si>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</si>
  <si>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</si>
  <si>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</si>
  <si>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</si>
  <si>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</si>
  <si>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</si>
  <si>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</si>
  <si>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</si>
  <si>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</si>
  <si>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</si>
  <si>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</si>
  <si>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</si>
  <si>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</si>
  <si>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</si>
  <si>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</si>
  <si>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</si>
  <si>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</si>
  <si>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</si>
  <si>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</si>
  <si>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</si>
  <si>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</si>
  <si>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</si>
  <si>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</si>
  <si>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</si>
  <si>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</si>
  <si>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</si>
  <si>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</si>
  <si>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</si>
  <si>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</si>
  <si>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</si>
  <si>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</si>
  <si>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</si>
  <si>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</si>
  <si>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</si>
  <si>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</si>
  <si>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</si>
  <si>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</si>
  <si>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</si>
  <si>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</si>
  <si>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</si>
  <si>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</si>
  <si>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</si>
  <si>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</si>
  <si>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</si>
  <si>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</si>
  <si>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</si>
  <si>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</si>
  <si>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</si>
  <si>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</si>
  <si>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</si>
  <si>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</si>
  <si>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</si>
  <si>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</si>
  <si>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</si>
  <si>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</si>
  <si>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</si>
  <si>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</si>
  <si>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</si>
  <si>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</si>
  <si>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</si>
  <si>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</si>
  <si>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</si>
  <si>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</si>
  <si>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</si>
  <si>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</si>
  <si>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</si>
  <si>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</si>
  <si>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</si>
  <si>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</si>
  <si>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</si>
  <si>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</si>
  <si>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</si>
  <si>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</si>
  <si>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</si>
  <si>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</si>
  <si>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</si>
  <si>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</si>
  <si>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</si>
  <si>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</si>
  <si>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</si>
  <si>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</si>
  <si>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</si>
  <si>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</si>
  <si>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</si>
  <si>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</si>
  <si>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</si>
  <si>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</si>
  <si>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</si>
  <si>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</si>
  <si>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</si>
  <si>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</si>
  <si>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</si>
  <si>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</si>
  <si>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</si>
  <si>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</si>
  <si>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</si>
  <si>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</si>
  <si>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</si>
  <si>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</si>
  <si>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</si>
  <si>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</si>
  <si>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</si>
  <si>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</si>
  <si>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</si>
  <si>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</si>
  <si>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</si>
  <si>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</si>
  <si>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</si>
  <si>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</si>
  <si>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</si>
  <si>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</si>
  <si>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</si>
  <si>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</si>
  <si>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</si>
  <si>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</si>
  <si>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</si>
  <si>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</si>
  <si>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</si>
  <si>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</si>
  <si>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</si>
  <si>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</si>
  <si>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</si>
  <si>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</si>
  <si>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</si>
  <si>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</si>
  <si>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</si>
  <si>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</si>
  <si>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</si>
  <si>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</si>
  <si>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</si>
  <si>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</si>
  <si>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</si>
  <si>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</si>
  <si>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</si>
  <si>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</si>
  <si>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</si>
  <si>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</si>
  <si>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</si>
  <si>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</si>
  <si>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</si>
  <si>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</si>
  <si>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</si>
  <si>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</si>
  <si>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</si>
  <si>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</si>
  <si>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</si>
  <si>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</si>
  <si>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</si>
  <si>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</si>
  <si>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</si>
  <si>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</si>
  <si>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</si>
  <si>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</si>
  <si>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</si>
  <si>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</si>
  <si>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</si>
  <si>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</si>
  <si>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</si>
  <si>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</si>
  <si>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</si>
  <si>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</si>
  <si>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</si>
  <si>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</si>
  <si>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</si>
  <si>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</si>
  <si>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</si>
  <si>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</si>
  <si>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</si>
  <si>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</si>
  <si>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</si>
  <si>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</si>
  <si>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</si>
  <si>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</si>
  <si>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</si>
  <si>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</si>
  <si>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</si>
  <si>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</si>
  <si>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</si>
  <si>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</si>
  <si>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</si>
  <si>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</si>
  <si>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</si>
  <si>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</si>
  <si>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</si>
  <si>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</si>
  <si>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</si>
  <si>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</si>
  <si>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</si>
  <si>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</si>
  <si>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</si>
  <si>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</si>
  <si>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</si>
  <si>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</si>
  <si>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</si>
  <si>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</si>
  <si>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</si>
  <si>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</si>
  <si>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</si>
  <si>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</si>
  <si>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</si>
  <si>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</si>
  <si>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</si>
  <si>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</si>
  <si>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</si>
  <si>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</si>
  <si>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</si>
  <si>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</si>
  <si>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</si>
  <si>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</si>
  <si>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</si>
  <si>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</si>
  <si>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</si>
  <si>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</si>
  <si>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</si>
  <si>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</si>
  <si>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</si>
  <si>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</si>
  <si>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</si>
  <si>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</si>
  <si>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</si>
  <si>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</si>
  <si>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</si>
  <si>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</si>
  <si>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</si>
  <si>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</si>
  <si>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</si>
  <si>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</si>
  <si>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</si>
  <si>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</si>
  <si>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</si>
  <si>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</si>
  <si>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</si>
  <si>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</si>
  <si>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</si>
  <si>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</si>
  <si>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</si>
  <si>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</si>
  <si>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</si>
  <si>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</si>
  <si>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</si>
  <si>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</si>
  <si>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</si>
  <si>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</si>
  <si>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</si>
  <si>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</si>
  <si>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</si>
  <si>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</si>
  <si>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</si>
  <si>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</si>
  <si>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</si>
  <si>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</si>
  <si>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</si>
  <si>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</si>
  <si>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</si>
  <si>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</si>
  <si>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</si>
  <si>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</si>
  <si>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</si>
  <si>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</si>
  <si>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</si>
  <si>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</si>
  <si>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</si>
  <si>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</si>
  <si>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</si>
  <si>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</si>
  <si>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</si>
  <si>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</si>
  <si>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</si>
  <si>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</si>
  <si>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</si>
  <si>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</si>
  <si>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</si>
  <si>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</si>
  <si>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</si>
  <si>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</si>
  <si>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</si>
  <si>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</si>
  <si>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</si>
  <si>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</si>
  <si>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</si>
  <si>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</si>
  <si>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</si>
  <si>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</si>
  <si>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</si>
  <si>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</si>
  <si>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</si>
  <si>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</si>
  <si>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</si>
  <si>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</si>
  <si>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</si>
  <si>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</si>
  <si>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</si>
  <si>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</si>
  <si>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</si>
  <si>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</si>
  <si>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</si>
  <si>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</si>
  <si>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</si>
  <si>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</si>
  <si>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</si>
  <si>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</si>
  <si>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</si>
  <si>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</si>
  <si>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</si>
  <si>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</si>
  <si>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</si>
  <si>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</si>
  <si>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</si>
  <si>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</si>
  <si>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</si>
  <si>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</si>
  <si>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</si>
  <si>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</si>
  <si>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</si>
  <si>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</si>
  <si>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</si>
  <si>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</si>
  <si>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</si>
  <si>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</si>
  <si>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</si>
  <si>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</si>
  <si>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</si>
  <si>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</si>
  <si>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</si>
  <si>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</si>
  <si>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</si>
  <si>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</si>
  <si>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</si>
  <si>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</si>
  <si>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</si>
  <si>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</si>
  <si>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</si>
  <si>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</si>
  <si>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</si>
  <si>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</si>
  <si>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</si>
  <si>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</si>
  <si>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</si>
  <si>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</si>
  <si>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</si>
  <si>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</si>
  <si>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</si>
  <si>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</si>
  <si>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</si>
  <si>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</si>
  <si>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</si>
  <si>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</si>
  <si>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</si>
  <si>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</si>
  <si>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</si>
  <si>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</si>
  <si>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</si>
  <si>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</si>
  <si>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</si>
  <si>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</si>
  <si>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</si>
  <si>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</si>
  <si>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</si>
  <si>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</si>
  <si>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</si>
  <si>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</si>
  <si>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</si>
  <si>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</si>
  <si>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</si>
  <si>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</si>
  <si>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</si>
  <si>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</si>
  <si>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</si>
  <si>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</si>
  <si>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</si>
  <si>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</si>
  <si>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</si>
  <si>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</si>
  <si>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</si>
  <si>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</si>
  <si>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</si>
  <si>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</si>
  <si>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</si>
  <si>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</si>
  <si>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</si>
  <si>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</si>
  <si>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</si>
  <si>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</si>
  <si>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</si>
  <si>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</si>
  <si>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</si>
  <si>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</si>
  <si>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</si>
  <si>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</si>
  <si>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</si>
  <si>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</si>
  <si>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</si>
  <si>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</si>
  <si>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</si>
  <si>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</si>
  <si>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</si>
  <si>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</si>
  <si>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</si>
  <si>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</si>
  <si>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</si>
  <si>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</si>
  <si>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</si>
  <si>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</si>
  <si>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</si>
  <si>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</si>
  <si>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</si>
  <si>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</si>
  <si>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</si>
  <si>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</si>
  <si>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</si>
  <si>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</si>
  <si>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</si>
  <si>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</si>
  <si>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</si>
  <si>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</si>
  <si>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</si>
  <si>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</si>
  <si>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</si>
  <si>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</si>
  <si>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</si>
  <si>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</si>
  <si>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</si>
  <si>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</si>
  <si>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</si>
  <si>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</si>
  <si>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</si>
  <si>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</si>
  <si>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</si>
  <si>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</si>
  <si>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</si>
  <si>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</si>
  <si>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</si>
  <si>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</si>
  <si>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</si>
  <si>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</si>
  <si>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</si>
  <si>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</si>
  <si>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</si>
  <si>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</si>
  <si>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</si>
  <si>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</si>
  <si>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</si>
  <si>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</si>
  <si>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</si>
  <si>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</si>
  <si>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</si>
  <si>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</si>
  <si>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</si>
  <si>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</si>
  <si>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</si>
  <si>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</si>
  <si>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</si>
  <si>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</si>
  <si>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</si>
  <si>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</si>
  <si>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</si>
  <si>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</si>
  <si>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</si>
  <si>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</si>
  <si>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</si>
  <si>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</si>
  <si>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</si>
  <si>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</si>
  <si>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</si>
  <si>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</si>
  <si>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</si>
  <si>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</si>
  <si>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</si>
  <si>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</si>
  <si>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</si>
  <si>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</si>
  <si>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</si>
  <si>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</si>
  <si>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</si>
  <si>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</si>
  <si>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</si>
  <si>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</si>
  <si>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</si>
  <si>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</si>
  <si>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</si>
  <si>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</si>
  <si>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</si>
  <si>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</si>
  <si>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</si>
  <si>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</si>
  <si>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</si>
  <si>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</si>
  <si>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</si>
  <si>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</si>
  <si>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</si>
  <si>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</si>
  <si>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</si>
  <si>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</si>
  <si>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</si>
  <si>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</si>
  <si>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</si>
  <si>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</si>
  <si>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</si>
  <si>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</si>
  <si>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</si>
  <si>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</si>
  <si>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</si>
  <si>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</si>
  <si>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</si>
  <si>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</si>
  <si>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</si>
  <si>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</si>
  <si>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</si>
  <si>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</si>
  <si>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</si>
  <si>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</si>
  <si>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</si>
  <si>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</si>
  <si>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</si>
  <si>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</si>
  <si>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</si>
  <si>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</si>
  <si>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</si>
  <si>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</si>
  <si>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</si>
  <si>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</si>
  <si>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</si>
  <si>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</si>
  <si>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</si>
  <si>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</si>
  <si>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</si>
  <si>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</si>
  <si>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</si>
  <si>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</si>
  <si>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</si>
  <si>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</si>
  <si>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</si>
  <si>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</si>
  <si>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</si>
  <si>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</si>
  <si>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</si>
  <si>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</si>
  <si>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</si>
  <si>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</si>
  <si>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</si>
  <si>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</si>
  <si>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</si>
  <si>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</si>
  <si>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</si>
  <si>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</si>
  <si>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</si>
  <si>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</si>
  <si>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</si>
  <si>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</si>
  <si>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</si>
  <si>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</si>
  <si>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</si>
  <si>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</si>
  <si>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</si>
  <si>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</si>
  <si>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</si>
  <si>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</si>
  <si>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</si>
  <si>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</si>
  <si>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</si>
  <si>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</si>
  <si>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</si>
  <si>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</si>
  <si>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</si>
  <si>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</si>
  <si>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</si>
  <si>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</si>
  <si>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</si>
  <si>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</si>
  <si>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</si>
  <si>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</si>
  <si>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</si>
  <si>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</si>
  <si>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</si>
  <si>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</si>
  <si>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</si>
  <si>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</si>
  <si>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</si>
  <si>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</si>
  <si>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</si>
  <si>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</si>
  <si>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</si>
  <si>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</si>
  <si>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</si>
  <si>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</si>
  <si>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</si>
  <si>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</si>
  <si>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</si>
  <si>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</si>
  <si>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</si>
  <si>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</si>
  <si>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</si>
  <si>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</si>
  <si>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</si>
  <si>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</si>
  <si>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</si>
  <si>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</si>
  <si>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</si>
  <si>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</si>
  <si>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</si>
  <si>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</si>
  <si>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</si>
  <si>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</si>
  <si>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</si>
  <si>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</si>
  <si>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</si>
  <si>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</si>
  <si>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</si>
  <si>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</si>
  <si>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</si>
  <si>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</si>
  <si>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</si>
  <si>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</si>
  <si>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</si>
  <si>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</si>
  <si>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</si>
  <si>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</si>
  <si>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</si>
  <si>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</si>
  <si>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</si>
  <si>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</si>
  <si>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</si>
  <si>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</si>
  <si>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</si>
  <si>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</si>
  <si>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</si>
  <si>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</si>
  <si>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</si>
  <si>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</si>
  <si>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</si>
  <si>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</si>
  <si>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</si>
  <si>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</si>
  <si>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</si>
  <si>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</si>
  <si>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</si>
  <si>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</si>
  <si>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</si>
  <si>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</si>
  <si>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</si>
  <si>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</si>
  <si>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</si>
  <si>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</si>
  <si>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</si>
  <si>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</si>
  <si>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</si>
  <si>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</si>
  <si>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</si>
  <si>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</si>
  <si>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</si>
  <si>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</si>
  <si>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</si>
  <si>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</si>
  <si>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</si>
  <si>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</si>
  <si>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</si>
  <si>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</si>
  <si>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</si>
  <si>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</si>
  <si>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</si>
  <si>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</si>
  <si>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</si>
  <si>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</si>
  <si>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</si>
  <si>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</si>
  <si>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</si>
  <si>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</si>
  <si>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</si>
  <si>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</si>
  <si>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</si>
  <si>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</si>
  <si>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</si>
  <si>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</si>
  <si>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</si>
  <si>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</si>
  <si>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</si>
  <si>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</si>
  <si>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</si>
  <si>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</si>
  <si>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</si>
  <si>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</si>
  <si>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</si>
  <si>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</si>
  <si>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</si>
  <si>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</si>
  <si>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</si>
  <si>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</si>
  <si>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</si>
  <si>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</si>
  <si>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</si>
  <si>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</si>
  <si>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</si>
  <si>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</si>
  <si>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</si>
  <si>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</si>
  <si>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</si>
  <si>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</si>
  <si>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</si>
  <si>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</si>
  <si>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</si>
  <si>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</si>
  <si>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</si>
  <si>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</si>
  <si>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</si>
  <si>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</si>
  <si>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</si>
  <si>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</si>
  <si>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</si>
  <si>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</si>
  <si>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</si>
  <si>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</si>
  <si>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</si>
  <si>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</si>
  <si>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</si>
  <si>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</si>
  <si>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</si>
  <si>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</si>
  <si>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</si>
  <si>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</si>
  <si>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</si>
  <si>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</si>
  <si>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地上</t>
  </si>
  <si>
    <t>地下</t>
  </si>
  <si>
    <t>商业</t>
  </si>
  <si>
    <t>车库</t>
  </si>
  <si>
    <t>办公配套用房</t>
  </si>
  <si>
    <t>商务办公</t>
  </si>
  <si>
    <t>出让</t>
  </si>
  <si>
    <t>市场价格</t>
  </si>
  <si>
    <t>企业</t>
  </si>
  <si>
    <t>一致</t>
  </si>
  <si>
    <t>地上商业</t>
  </si>
  <si>
    <t>地上办公</t>
  </si>
  <si>
    <t>基准地价（商业）</t>
  </si>
  <si>
    <t>基准地价（商业）</t>
    <phoneticPr fontId="14" type="noConversion"/>
  </si>
  <si>
    <r>
      <rPr>
        <sz val="11"/>
        <color theme="1"/>
        <rFont val="宋体"/>
        <family val="2"/>
        <charset val="134"/>
      </rPr>
      <t>基准地价</t>
    </r>
    <r>
      <rPr>
        <sz val="11"/>
        <color theme="1"/>
        <rFont val="Arial"/>
        <family val="2"/>
      </rPr>
      <t xml:space="preserve"> (</t>
    </r>
    <r>
      <rPr>
        <sz val="11"/>
        <color theme="1"/>
        <rFont val="宋体"/>
        <family val="2"/>
        <charset val="134"/>
      </rPr>
      <t>办公</t>
    </r>
    <r>
      <rPr>
        <sz val="11"/>
        <color theme="1"/>
        <rFont val="Arial"/>
        <family val="2"/>
      </rPr>
      <t>)</t>
    </r>
    <phoneticPr fontId="14" type="noConversion"/>
  </si>
  <si>
    <t>综合项目（商业、办公）</t>
  </si>
  <si>
    <t>平整</t>
  </si>
  <si>
    <t>通路</t>
  </si>
  <si>
    <t>通电</t>
  </si>
  <si>
    <t>通讯</t>
  </si>
  <si>
    <t>通上水</t>
  </si>
  <si>
    <t>通下水</t>
  </si>
  <si>
    <t>通热</t>
  </si>
  <si>
    <t>燃气</t>
  </si>
  <si>
    <t>商业、办公、地下商业、地下办公、地下车库</t>
    <phoneticPr fontId="6" type="noConversion"/>
  </si>
  <si>
    <t>综合体</t>
  </si>
  <si>
    <t>综合体</t>
    <phoneticPr fontId="14" type="noConversion"/>
  </si>
  <si>
    <t>商务办公</t>
    <phoneticPr fontId="14" type="noConversion"/>
  </si>
  <si>
    <t>商务金融用地（办公类）</t>
  </si>
  <si>
    <t>商务金融用地（商业类）</t>
  </si>
  <si>
    <t>不临58条商业街</t>
  </si>
  <si>
    <t>七通</t>
  </si>
  <si>
    <t>紧邻地铁16号线（西北旺站），周边有333路、384路、438路、570路、575路、623路、902路、908路、909路、快速直达专线152路、专143路等多条公交线路，交通便捷度好</t>
    <phoneticPr fontId="3" type="noConversion"/>
  </si>
  <si>
    <t>安泰购购物中心 1.2，商业繁华度一般</t>
    <phoneticPr fontId="3" type="noConversion"/>
  </si>
  <si>
    <t>与级别开发程度不一致</t>
  </si>
  <si>
    <t>按公示增长率计算</t>
  </si>
  <si>
    <t>否</t>
  </si>
  <si>
    <t>地上商业</t>
    <phoneticPr fontId="3" type="noConversion"/>
  </si>
  <si>
    <t>地上办公</t>
    <phoneticPr fontId="3" type="noConversion"/>
  </si>
  <si>
    <t>地下办公配套用房</t>
    <phoneticPr fontId="3" type="noConversion"/>
  </si>
  <si>
    <t>地下车库</t>
    <phoneticPr fontId="3" type="noConversion"/>
  </si>
  <si>
    <t>非经营性用途</t>
    <phoneticPr fontId="3" type="noConversion"/>
  </si>
  <si>
    <t>容积率修正</t>
  </si>
  <si>
    <r>
      <rPr>
        <sz val="11"/>
        <color theme="9" tint="-0.249977111117893"/>
        <rFont val="仿宋_GB2312"/>
        <family val="3"/>
        <charset val="134"/>
      </rPr>
      <t>区域自然环境：</t>
    </r>
    <r>
      <rPr>
        <sz val="11"/>
        <color theme="9" tint="-0.249977111117893"/>
        <rFont val="宋体"/>
        <family val="3"/>
        <charset val="134"/>
      </rPr>
      <t>百望山、药用植物园、百旺公园、首师大附中口袋公园、中关村公园、小关村公园、京密引水渠等</t>
    </r>
    <r>
      <rPr>
        <sz val="11"/>
        <color theme="9" tint="-0.249977111117893"/>
        <rFont val="仿宋_GB2312"/>
        <family val="3"/>
        <charset val="134"/>
      </rPr>
      <t>；人文环境</t>
    </r>
    <r>
      <rPr>
        <sz val="11"/>
        <color theme="9" tint="-0.249977111117893"/>
        <rFont val="Microsoft YaHei UI"/>
        <family val="3"/>
        <charset val="134"/>
      </rPr>
      <t>：西北旺镇政府</t>
    </r>
    <r>
      <rPr>
        <sz val="11"/>
        <color theme="9" tint="-0.249977111117893"/>
        <rFont val="仿宋_GB2312"/>
        <family val="3"/>
        <charset val="134"/>
      </rPr>
      <t>；综合评价环境状况</t>
    </r>
    <r>
      <rPr>
        <sz val="11"/>
        <color theme="9" tint="-0.249977111117893"/>
        <rFont val="Microsoft YaHei UI"/>
        <family val="3"/>
        <charset val="134"/>
      </rPr>
      <t>较好</t>
    </r>
    <phoneticPr fontId="3" type="noConversion"/>
  </si>
  <si>
    <t>一般</t>
  </si>
  <si>
    <t>好</t>
  </si>
  <si>
    <t>较好</t>
  </si>
  <si>
    <r>
      <rPr>
        <sz val="11"/>
        <color theme="9" tint="-0.249977111117893"/>
        <rFont val="Microsoft YaHei UI"/>
        <family val="3"/>
        <charset val="134"/>
      </rPr>
      <t>购物场所（华联生活超市（景和园店）、永辉超市（永丰路店）学校（首师大附中北校区、中关村第二小学（百旺校区）、海淀区海育幼儿园），医院（北京市上地医院</t>
    </r>
    <r>
      <rPr>
        <sz val="11"/>
        <color theme="9" tint="-0.249977111117893"/>
        <rFont val="Arial"/>
        <family val="3"/>
      </rPr>
      <t xml:space="preserve"> 4.3</t>
    </r>
    <r>
      <rPr>
        <sz val="11"/>
        <color theme="9" tint="-0.249977111117893"/>
        <rFont val="Microsoft YaHei UI"/>
        <family val="3"/>
        <charset val="134"/>
      </rPr>
      <t>、北京北旺门诊部），银行（北京银行（永丰支行）、工商银行（百旺新城支行）、北京农商银行（西北旺支行））</t>
    </r>
    <r>
      <rPr>
        <sz val="11"/>
        <color theme="9" tint="-0.249977111117893"/>
        <rFont val="宋体"/>
        <family val="3"/>
        <charset val="134"/>
      </rPr>
      <t>，公共配套设施齐备程度较好</t>
    </r>
    <phoneticPr fontId="3" type="noConversion"/>
  </si>
  <si>
    <t>西北旺</t>
    <phoneticPr fontId="3" type="noConversion"/>
  </si>
  <si>
    <t>办公</t>
    <phoneticPr fontId="27" type="noConversion"/>
  </si>
  <si>
    <t>30-40（含）</t>
  </si>
  <si>
    <t>https://office.fang.com/shou/3_453028820.html?channel=2,32</t>
    <phoneticPr fontId="228" type="noConversion"/>
  </si>
  <si>
    <t>https://office.fang.com/shou/3_453740741.html?channel=1,32</t>
    <phoneticPr fontId="228" type="noConversion"/>
  </si>
  <si>
    <t>https://office.fang.com/shou/3_448791204.html?channel=1,32</t>
    <phoneticPr fontId="228" type="noConversion"/>
  </si>
  <si>
    <t>中关村壹号</t>
    <phoneticPr fontId="3" type="noConversion"/>
  </si>
  <si>
    <t>海淀绿地中央广场</t>
    <phoneticPr fontId="3" type="noConversion"/>
  </si>
  <si>
    <t>盈创动力大厦</t>
    <phoneticPr fontId="3" type="noConversion"/>
  </si>
  <si>
    <t>正常</t>
  </si>
  <si>
    <t>距地铁16号线永丰站约880米</t>
    <phoneticPr fontId="27" type="noConversion"/>
  </si>
  <si>
    <r>
      <rPr>
        <sz val="11"/>
        <rFont val="宋体"/>
        <family val="2"/>
        <charset val="134"/>
      </rPr>
      <t>永辉超市（永丰路店）、物美（航天城店）、清华大学附属中学永丰学校、北京市永丰中学、北部新区实验幼儿园</t>
    </r>
    <r>
      <rPr>
        <sz val="11"/>
        <rFont val="Arial"/>
        <family val="2"/>
      </rPr>
      <t>(</t>
    </r>
    <r>
      <rPr>
        <sz val="11"/>
        <rFont val="宋体"/>
        <family val="2"/>
        <charset val="134"/>
      </rPr>
      <t>天阅园</t>
    </r>
    <r>
      <rPr>
        <sz val="11"/>
        <rFont val="Arial"/>
        <family val="2"/>
      </rPr>
      <t>)</t>
    </r>
    <r>
      <rPr>
        <sz val="11"/>
        <rFont val="宋体"/>
        <family val="2"/>
        <charset val="134"/>
      </rPr>
      <t>、中国建设银行</t>
    </r>
    <r>
      <rPr>
        <sz val="11"/>
        <rFont val="Arial"/>
        <family val="2"/>
      </rPr>
      <t>(</t>
    </r>
    <r>
      <rPr>
        <sz val="11"/>
        <rFont val="宋体"/>
        <family val="2"/>
        <charset val="134"/>
      </rPr>
      <t>北京永丰路支行</t>
    </r>
    <r>
      <rPr>
        <sz val="11"/>
        <rFont val="Arial"/>
        <family val="2"/>
      </rPr>
      <t>)</t>
    </r>
    <r>
      <rPr>
        <sz val="11"/>
        <rFont val="宋体"/>
        <family val="2"/>
        <charset val="134"/>
      </rPr>
      <t>、中国农业银行</t>
    </r>
    <r>
      <rPr>
        <sz val="11"/>
        <rFont val="Arial"/>
        <family val="2"/>
      </rPr>
      <t>(</t>
    </r>
    <r>
      <rPr>
        <sz val="11"/>
        <rFont val="宋体"/>
        <family val="2"/>
        <charset val="134"/>
      </rPr>
      <t>北京永丰路支行</t>
    </r>
    <r>
      <rPr>
        <sz val="11"/>
        <rFont val="Arial"/>
        <family val="2"/>
      </rPr>
      <t>)</t>
    </r>
    <r>
      <rPr>
        <sz val="11"/>
        <rFont val="宋体"/>
        <family val="2"/>
        <charset val="134"/>
      </rPr>
      <t>；西北旺镇社区卫生服务中心、中国人民解放军总医院京北医疗区；</t>
    </r>
    <phoneticPr fontId="27" type="noConversion"/>
  </si>
  <si>
    <t>七通</t>
    <phoneticPr fontId="27" type="noConversion"/>
  </si>
  <si>
    <r>
      <rPr>
        <sz val="11"/>
        <rFont val="宋体"/>
        <family val="2"/>
        <charset val="134"/>
      </rPr>
      <t>丰滢公园、航天湖公园、永丰公园；北京城市学院</t>
    </r>
    <r>
      <rPr>
        <sz val="11"/>
        <rFont val="Arial"/>
        <family val="2"/>
      </rPr>
      <t>(</t>
    </r>
    <r>
      <rPr>
        <sz val="11"/>
        <rFont val="宋体"/>
        <family val="2"/>
        <charset val="134"/>
      </rPr>
      <t>航天城校区</t>
    </r>
    <r>
      <rPr>
        <sz val="11"/>
        <rFont val="Arial"/>
        <family val="2"/>
      </rPr>
      <t>)</t>
    </r>
    <phoneticPr fontId="27" type="noConversion"/>
  </si>
  <si>
    <r>
      <rPr>
        <sz val="11"/>
        <rFont val="宋体"/>
        <family val="2"/>
        <charset val="134"/>
      </rPr>
      <t>城市主干道</t>
    </r>
    <r>
      <rPr>
        <sz val="11"/>
        <rFont val="Arial"/>
        <family val="2"/>
      </rPr>
      <t>-</t>
    </r>
    <r>
      <rPr>
        <sz val="11"/>
        <rFont val="宋体"/>
        <family val="2"/>
        <charset val="134"/>
      </rPr>
      <t>北清路</t>
    </r>
    <phoneticPr fontId="27" type="noConversion"/>
  </si>
  <si>
    <r>
      <rPr>
        <sz val="11"/>
        <rFont val="宋体"/>
        <family val="2"/>
        <charset val="134"/>
      </rPr>
      <t>距地铁</t>
    </r>
    <r>
      <rPr>
        <sz val="11"/>
        <rFont val="Arial"/>
        <family val="2"/>
      </rPr>
      <t>16</t>
    </r>
    <r>
      <rPr>
        <sz val="11"/>
        <rFont val="宋体"/>
        <family val="2"/>
        <charset val="134"/>
      </rPr>
      <t>号线稻香湖路站约460米</t>
    </r>
    <phoneticPr fontId="27" type="noConversion"/>
  </si>
  <si>
    <r>
      <rPr>
        <sz val="11"/>
        <rFont val="宋体"/>
        <family val="2"/>
        <charset val="134"/>
      </rPr>
      <t>西大桥超市；人大附中北大附小联合实验学校、永丰实验学校、明珠幼儿园；中国民生银行</t>
    </r>
    <r>
      <rPr>
        <sz val="11"/>
        <rFont val="Arial"/>
        <family val="2"/>
      </rPr>
      <t>(</t>
    </r>
    <r>
      <rPr>
        <sz val="11"/>
        <rFont val="宋体"/>
        <family val="2"/>
        <charset val="134"/>
      </rPr>
      <t>环保园支行</t>
    </r>
    <r>
      <rPr>
        <sz val="11"/>
        <rFont val="Arial"/>
        <family val="2"/>
      </rPr>
      <t>)</t>
    </r>
    <r>
      <rPr>
        <sz val="11"/>
        <rFont val="宋体"/>
        <family val="2"/>
        <charset val="134"/>
      </rPr>
      <t>、国家开发银行数据中心；北京市海淀区西北旺镇屯佃村卫生室</t>
    </r>
    <phoneticPr fontId="27" type="noConversion"/>
  </si>
  <si>
    <t>东埠头沟公园、齐物潭</t>
    <phoneticPr fontId="27" type="noConversion"/>
  </si>
  <si>
    <t>位于永丰产业园，办公集聚程度较好</t>
    <phoneticPr fontId="27" type="noConversion"/>
  </si>
  <si>
    <t>对象周边有知识理性大厦、华为北京研究所、荣耀北京研究所、联动天翼大楼、中国人寿研发中心，办公集聚程度较好</t>
    <phoneticPr fontId="27" type="noConversion"/>
  </si>
  <si>
    <t>距地铁13号线西二旗站（换乘站）约350米</t>
    <phoneticPr fontId="27" type="noConversion"/>
  </si>
  <si>
    <r>
      <rPr>
        <sz val="11"/>
        <rFont val="宋体"/>
        <family val="2"/>
        <charset val="134"/>
      </rPr>
      <t>昌发展万科广场、华联生活超市</t>
    </r>
    <r>
      <rPr>
        <sz val="11"/>
        <rFont val="Arial"/>
        <family val="2"/>
      </rPr>
      <t>(</t>
    </r>
    <r>
      <rPr>
        <sz val="11"/>
        <rFont val="宋体"/>
        <family val="2"/>
        <charset val="134"/>
      </rPr>
      <t>西二旗大街店</t>
    </r>
    <r>
      <rPr>
        <sz val="11"/>
        <rFont val="Arial"/>
        <family val="2"/>
      </rPr>
      <t>)</t>
    </r>
    <r>
      <rPr>
        <sz val="11"/>
        <rFont val="宋体"/>
        <family val="2"/>
        <charset val="134"/>
      </rPr>
      <t>；西二旗小学、北京外国语大学附属外国语学校、首都师范大学附属回龙观幼儿园；中国银行</t>
    </r>
    <r>
      <rPr>
        <sz val="11"/>
        <rFont val="Arial"/>
        <family val="2"/>
      </rPr>
      <t>(</t>
    </r>
    <r>
      <rPr>
        <sz val="11"/>
        <rFont val="宋体"/>
        <family val="2"/>
        <charset val="134"/>
      </rPr>
      <t>上地支行</t>
    </r>
    <r>
      <rPr>
        <sz val="11"/>
        <rFont val="Arial"/>
        <family val="2"/>
      </rPr>
      <t>)</t>
    </r>
    <r>
      <rPr>
        <sz val="11"/>
        <rFont val="宋体"/>
        <family val="2"/>
        <charset val="134"/>
      </rPr>
      <t>、招商银行</t>
    </r>
    <r>
      <rPr>
        <sz val="11"/>
        <rFont val="Arial"/>
        <family val="2"/>
      </rPr>
      <t>(</t>
    </r>
    <r>
      <rPr>
        <sz val="11"/>
        <rFont val="宋体"/>
        <family val="2"/>
        <charset val="134"/>
      </rPr>
      <t>西二旗支行</t>
    </r>
    <r>
      <rPr>
        <sz val="11"/>
        <rFont val="Arial"/>
        <family val="2"/>
      </rPr>
      <t>)</t>
    </r>
    <r>
      <rPr>
        <sz val="11"/>
        <rFont val="宋体"/>
        <family val="2"/>
        <charset val="134"/>
      </rPr>
      <t>；北京市昌平区回龙观社区卫生服务中心回龙观村社区卫生服务站、瑞泰口腔医院</t>
    </r>
    <r>
      <rPr>
        <sz val="11"/>
        <rFont val="Arial"/>
        <family val="2"/>
      </rPr>
      <t>(</t>
    </r>
    <r>
      <rPr>
        <sz val="11"/>
        <rFont val="宋体"/>
        <family val="2"/>
        <charset val="134"/>
      </rPr>
      <t>上地分院店</t>
    </r>
    <r>
      <rPr>
        <sz val="11"/>
        <rFont val="Arial"/>
        <family val="2"/>
      </rPr>
      <t>)</t>
    </r>
    <phoneticPr fontId="27" type="noConversion"/>
  </si>
  <si>
    <t>中关村公园；北京八维研修学院</t>
    <phoneticPr fontId="27" type="noConversion"/>
  </si>
  <si>
    <r>
      <rPr>
        <sz val="11"/>
        <rFont val="宋体"/>
        <family val="2"/>
        <charset val="134"/>
      </rPr>
      <t>城市高速路</t>
    </r>
    <r>
      <rPr>
        <sz val="11"/>
        <rFont val="Arial"/>
        <family val="2"/>
      </rPr>
      <t>-</t>
    </r>
    <r>
      <rPr>
        <sz val="11"/>
        <rFont val="宋体"/>
        <family val="2"/>
        <charset val="134"/>
      </rPr>
      <t>京新高速</t>
    </r>
    <phoneticPr fontId="27" type="noConversion"/>
  </si>
  <si>
    <t>主干道</t>
  </si>
  <si>
    <t>主干道</t>
    <phoneticPr fontId="27" type="noConversion"/>
  </si>
  <si>
    <t>高速路</t>
  </si>
  <si>
    <t>高速路</t>
    <phoneticPr fontId="27" type="noConversion"/>
  </si>
  <si>
    <t>钢混</t>
  </si>
  <si>
    <t>钢混</t>
    <phoneticPr fontId="27" type="noConversion"/>
  </si>
  <si>
    <t>普通装修</t>
  </si>
  <si>
    <t>普通装修</t>
    <phoneticPr fontId="27" type="noConversion"/>
  </si>
  <si>
    <t>甲级</t>
  </si>
  <si>
    <t>甲级</t>
    <phoneticPr fontId="27" type="noConversion"/>
  </si>
  <si>
    <t>乙级</t>
    <phoneticPr fontId="27" type="noConversion"/>
  </si>
  <si>
    <t>物业公司管理</t>
  </si>
  <si>
    <t>物业公司管理</t>
    <phoneticPr fontId="27" type="noConversion"/>
  </si>
  <si>
    <t>六通</t>
  </si>
  <si>
    <t>六通</t>
    <phoneticPr fontId="27" type="noConversion"/>
  </si>
  <si>
    <t>精装修</t>
  </si>
  <si>
    <t>精装修</t>
    <phoneticPr fontId="27" type="noConversion"/>
  </si>
  <si>
    <t>简单装修</t>
  </si>
  <si>
    <t>简单装修</t>
    <phoneticPr fontId="27" type="noConversion"/>
  </si>
  <si>
    <t>综合体</t>
    <phoneticPr fontId="27" type="noConversion"/>
  </si>
  <si>
    <t>写字楼</t>
  </si>
  <si>
    <t>写字楼</t>
    <phoneticPr fontId="27" type="noConversion"/>
  </si>
  <si>
    <t>卫生大厦、新浪总部大厦、百度科技园、网易大厦、腾讯北京总部大楼、联想总部等，办公集聚程度较好</t>
    <phoneticPr fontId="3" type="noConversion"/>
  </si>
  <si>
    <t>毛坯</t>
  </si>
  <si>
    <t>毛坯</t>
    <phoneticPr fontId="27" type="noConversion"/>
  </si>
  <si>
    <t>独栋</t>
    <phoneticPr fontId="27" type="noConversion"/>
  </si>
  <si>
    <t>售价</t>
  </si>
  <si>
    <t>楼层</t>
    <phoneticPr fontId="27" type="noConversion"/>
  </si>
  <si>
    <r>
      <t>高层</t>
    </r>
    <r>
      <rPr>
        <sz val="11"/>
        <color indexed="8"/>
        <rFont val="Arial"/>
        <family val="2"/>
      </rPr>
      <t>/10</t>
    </r>
    <r>
      <rPr>
        <sz val="11"/>
        <color indexed="8"/>
        <rFont val="宋体"/>
        <family val="3"/>
        <charset val="134"/>
      </rPr>
      <t>层</t>
    </r>
  </si>
  <si>
    <r>
      <t xml:space="preserve"> </t>
    </r>
    <r>
      <rPr>
        <sz val="11"/>
        <color rgb="FF000000"/>
        <rFont val="宋体"/>
        <family val="2"/>
        <charset val="134"/>
      </rPr>
      <t>中层</t>
    </r>
    <r>
      <rPr>
        <sz val="11"/>
        <color indexed="8"/>
        <rFont val="Arial"/>
        <family val="2"/>
      </rPr>
      <t>/9</t>
    </r>
    <r>
      <rPr>
        <sz val="11"/>
        <color rgb="FF000000"/>
        <rFont val="宋体"/>
        <family val="2"/>
        <charset val="134"/>
      </rPr>
      <t>层</t>
    </r>
    <phoneticPr fontId="27" type="noConversion"/>
  </si>
  <si>
    <t>标准层高</t>
  </si>
  <si>
    <t>标准层高</t>
    <phoneticPr fontId="27" type="noConversion"/>
  </si>
  <si>
    <t>https://bj.58.com/shangpu/45485642236430x.shtml?PGTID=0d006b31-0000-0266-bbe0-9735e09e3d18&amp;ClickID=49</t>
  </si>
  <si>
    <t>较大</t>
  </si>
  <si>
    <t>较大</t>
    <phoneticPr fontId="26" type="noConversion"/>
  </si>
  <si>
    <t>一般</t>
    <phoneticPr fontId="26" type="noConversion"/>
  </si>
  <si>
    <t>辉煌国际</t>
    <phoneticPr fontId="3" type="noConversion"/>
  </si>
  <si>
    <t>海淀软件园</t>
    <phoneticPr fontId="3" type="noConversion"/>
  </si>
  <si>
    <t>20-30（含）</t>
  </si>
  <si>
    <t>多面临街</t>
  </si>
  <si>
    <t>多面临街</t>
    <phoneticPr fontId="26" type="noConversion"/>
  </si>
  <si>
    <t>双面临街</t>
    <phoneticPr fontId="26" type="noConversion"/>
  </si>
  <si>
    <t>单面临街</t>
    <phoneticPr fontId="26" type="noConversion"/>
  </si>
  <si>
    <t>好</t>
    <phoneticPr fontId="26" type="noConversion"/>
  </si>
  <si>
    <t>较好</t>
    <phoneticPr fontId="26" type="noConversion"/>
  </si>
  <si>
    <t>综合体</t>
    <phoneticPr fontId="26" type="noConversion"/>
  </si>
  <si>
    <t>写字楼配套</t>
  </si>
  <si>
    <t>写字楼配套</t>
    <phoneticPr fontId="26" type="noConversion"/>
  </si>
  <si>
    <t>钢混</t>
    <phoneticPr fontId="26" type="noConversion"/>
  </si>
  <si>
    <t>普通装修</t>
    <phoneticPr fontId="26" type="noConversion"/>
  </si>
  <si>
    <t>精装修</t>
    <phoneticPr fontId="26" type="noConversion"/>
  </si>
  <si>
    <t>简单装修</t>
    <phoneticPr fontId="26" type="noConversion"/>
  </si>
  <si>
    <t>毛坯</t>
    <phoneticPr fontId="26" type="noConversion"/>
  </si>
  <si>
    <t>商业街店铺</t>
  </si>
  <si>
    <t>商业街店铺</t>
    <phoneticPr fontId="26" type="noConversion"/>
  </si>
  <si>
    <t>标准层高</t>
    <phoneticPr fontId="26" type="noConversion"/>
  </si>
  <si>
    <t>7m</t>
  </si>
  <si>
    <t>7m</t>
    <phoneticPr fontId="26" type="noConversion"/>
  </si>
  <si>
    <t>用途</t>
  </si>
  <si>
    <t>方法</t>
  </si>
  <si>
    <t>楼面熟地单价</t>
  </si>
  <si>
    <t>权重</t>
  </si>
  <si>
    <t>权重楼面熟地单价</t>
  </si>
  <si>
    <t>政府土地收益</t>
  </si>
  <si>
    <t>基准地价法</t>
  </si>
  <si>
    <t>剩余法</t>
  </si>
  <si>
    <t>基准地价 (办公)</t>
  </si>
  <si>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Arial"/>
        <family val="2"/>
      </rPr>
      <t xml:space="preserve"> (</t>
    </r>
    <r>
      <rPr>
        <sz val="11"/>
        <color theme="1"/>
        <rFont val="宋体"/>
        <family val="2"/>
        <charset val="134"/>
      </rPr>
      <t>办公</t>
    </r>
    <r>
      <rPr>
        <sz val="11"/>
        <color theme="1"/>
        <rFont val="Arial"/>
        <family val="2"/>
      </rPr>
      <t>)</t>
    </r>
    <phoneticPr fontId="14" type="noConversion"/>
  </si>
  <si>
    <t>土地</t>
  </si>
  <si>
    <t>项目局部</t>
  </si>
  <si>
    <t>剩余法-待开发 (办公)</t>
  </si>
  <si>
    <r>
      <rPr>
        <sz val="11"/>
        <color theme="1"/>
        <rFont val="宋体"/>
        <family val="2"/>
        <charset val="134"/>
      </rPr>
      <t>剩余法</t>
    </r>
    <r>
      <rPr>
        <sz val="11"/>
        <color theme="1"/>
        <rFont val="Arial"/>
        <family val="2"/>
      </rPr>
      <t>-</t>
    </r>
    <r>
      <rPr>
        <sz val="11"/>
        <color theme="1"/>
        <rFont val="宋体"/>
        <family val="2"/>
        <charset val="134"/>
      </rPr>
      <t>待开发（商业）</t>
    </r>
    <phoneticPr fontId="14" type="noConversion"/>
  </si>
  <si>
    <t>剩余法-待开发（商业）</t>
  </si>
  <si>
    <t>周边有快手总部、百度大厦、上帝科技大厦、环洋大厦、烽火科技大厦等，办公集聚程度较好</t>
    <phoneticPr fontId="27" type="noConversion"/>
  </si>
  <si>
    <t>好</t>
    <phoneticPr fontId="26" type="noConversion"/>
  </si>
  <si>
    <t>较好</t>
    <phoneticPr fontId="26" type="noConversion"/>
  </si>
  <si>
    <r>
      <rPr>
        <b/>
        <sz val="14"/>
        <color indexed="8"/>
        <rFont val="Wingdings 2"/>
        <family val="1"/>
        <charset val="2"/>
      </rPr>
      <t>Ã</t>
    </r>
    <r>
      <rPr>
        <b/>
        <sz val="14"/>
        <color indexed="8"/>
        <rFont val="仿宋_GB2312"/>
        <family val="3"/>
        <charset val="134"/>
      </rPr>
      <t>熟地价</t>
    </r>
  </si>
  <si>
    <t>部位</t>
  </si>
  <si>
    <t>出让建筑</t>
  </si>
  <si>
    <t>楼面熟地</t>
  </si>
  <si>
    <t>熟地总价</t>
  </si>
  <si>
    <t>面积</t>
  </si>
  <si>
    <t>单价</t>
  </si>
  <si>
    <t>(万元）</t>
  </si>
  <si>
    <r>
      <rPr>
        <b/>
        <sz val="14"/>
        <color indexed="8"/>
        <rFont val="Wingdings 2"/>
        <family val="1"/>
        <charset val="2"/>
      </rPr>
      <t>Ã</t>
    </r>
    <r>
      <rPr>
        <b/>
        <sz val="14"/>
        <color indexed="8"/>
        <rFont val="仿宋_GB2312"/>
        <family val="3"/>
        <charset val="134"/>
      </rPr>
      <t>政府土地出让收益</t>
    </r>
  </si>
  <si>
    <t>比较法</t>
  </si>
  <si>
    <t>比较法</t>
    <phoneticPr fontId="228" type="noConversion"/>
  </si>
  <si>
    <t>项目名称</t>
  </si>
  <si>
    <t>宗地位置</t>
  </si>
  <si>
    <t>项目情况简介</t>
  </si>
  <si>
    <t>土地用途</t>
  </si>
  <si>
    <t>土地面积
(平方米)</t>
  </si>
  <si>
    <t>地上建筑面积
(平方米)</t>
  </si>
  <si>
    <t>总建筑面积
(平方米)</t>
  </si>
  <si>
    <t>地上容            积率</t>
  </si>
  <si>
    <t>基准地价(元/平方米)</t>
  </si>
  <si>
    <t>最终评估结果
(元/平方米)</t>
  </si>
  <si>
    <t>楼面一级开发补偿费
(元/平方米)</t>
  </si>
  <si>
    <t>委主任办审定
楼面地价
(元/平方米)</t>
  </si>
  <si>
    <t>级别平均容积率</t>
  </si>
  <si>
    <t>区片编号</t>
  </si>
  <si>
    <t>区片价格</t>
  </si>
  <si>
    <t>级别地价</t>
  </si>
  <si>
    <t>楼面熟地价</t>
  </si>
  <si>
    <t>海淀区永丰西滨河路</t>
  </si>
  <si>
    <t>集体产业</t>
  </si>
  <si>
    <t>集体产业（商业）
集体产业（办公）</t>
  </si>
  <si>
    <r>
      <t>291606（其中商业</t>
    </r>
    <r>
      <rPr>
        <sz val="14"/>
        <color indexed="8"/>
        <rFont val="宋体"/>
        <family val="3"/>
        <charset val="134"/>
      </rPr>
      <t>158320，办公133286</t>
    </r>
    <r>
      <rPr>
        <sz val="14"/>
        <color indexed="8"/>
        <rFont val="宋体"/>
        <family val="3"/>
        <charset val="134"/>
      </rPr>
      <t>）</t>
    </r>
  </si>
  <si>
    <t>商业Ⅶ-01
办公Ⅶ-01</t>
  </si>
  <si>
    <t>商业8170
办公8140</t>
  </si>
  <si>
    <t>商业5940-8900
办公5880-8820</t>
  </si>
  <si>
    <t>集体产业（商业）12136
集体产业（办公）11541</t>
  </si>
  <si>
    <t>集体产业（商业）3034
集体产业（办公）2885</t>
  </si>
  <si>
    <t>集体产业（商业）12136
集体产业（办公）11541
政府土地收益：
集体产业（商业）3034
集体产业（办公）2885</t>
  </si>
  <si>
    <t>办公Ⅵ-02</t>
  </si>
  <si>
    <t>8060-12080</t>
  </si>
  <si>
    <t>上庄家园N28、N34地块三定三限项目</t>
    <phoneticPr fontId="3" type="noConversion"/>
  </si>
  <si>
    <t>海淀区上庄家园N28、N34地块</t>
    <phoneticPr fontId="3" type="noConversion"/>
  </si>
  <si>
    <t>三定三限</t>
  </si>
  <si>
    <t>住宅
商业（配套）
办公（公共服务设施）
地下车库</t>
    <phoneticPr fontId="3" type="noConversion"/>
  </si>
  <si>
    <t>90362.7（住宅83552.05，商业（配套）3288.55办公（公共服务设施）3522.1）</t>
  </si>
  <si>
    <t>103495.62（其中地下车库2795.4）</t>
  </si>
  <si>
    <t>N28 2.51
N34 1.07</t>
  </si>
  <si>
    <t>居住Ⅶ-01
商业Ⅶ-01
办公Ⅶ-01</t>
    <phoneticPr fontId="3" type="noConversion"/>
  </si>
  <si>
    <t>居住8590
商业8170
办公8140</t>
  </si>
  <si>
    <t>居住5840-8760
商业5940-8900
办公5880-8820</t>
  </si>
  <si>
    <r>
      <t>住宅19622</t>
    </r>
    <r>
      <rPr>
        <sz val="14"/>
        <color indexed="8"/>
        <rFont val="宋体"/>
        <family val="3"/>
        <charset val="134"/>
      </rPr>
      <t xml:space="preserve">
商业（配套）</t>
    </r>
    <r>
      <rPr>
        <sz val="14"/>
        <color indexed="8"/>
        <rFont val="宋体"/>
        <family val="3"/>
        <charset val="134"/>
      </rPr>
      <t>13155</t>
    </r>
    <r>
      <rPr>
        <sz val="14"/>
        <color indexed="8"/>
        <rFont val="宋体"/>
        <family val="3"/>
        <charset val="134"/>
      </rPr>
      <t xml:space="preserve">
办公（公共服务设施）</t>
    </r>
    <r>
      <rPr>
        <sz val="14"/>
        <color indexed="8"/>
        <rFont val="宋体"/>
        <family val="3"/>
        <charset val="134"/>
      </rPr>
      <t>12550</t>
    </r>
    <r>
      <rPr>
        <sz val="14"/>
        <color indexed="8"/>
        <rFont val="宋体"/>
        <family val="3"/>
        <charset val="134"/>
      </rPr>
      <t xml:space="preserve">
地下车库</t>
    </r>
    <r>
      <rPr>
        <sz val="14"/>
        <color indexed="8"/>
        <rFont val="宋体"/>
        <family val="3"/>
        <charset val="134"/>
      </rPr>
      <t>3750</t>
    </r>
  </si>
  <si>
    <t>住宅4906
商业（配套）3289
办公（公共服务设施）3138
地下车库938</t>
  </si>
  <si>
    <t xml:space="preserve">3915.65
</t>
  </si>
  <si>
    <t>备注</t>
  </si>
  <si>
    <t>评审办建议
楼面地价
(元/平方米)</t>
  </si>
  <si>
    <t>评委会审核
楼面地价
(元/平方米)</t>
  </si>
  <si>
    <r>
      <t>政府土地收益
(元/平方米)</t>
    </r>
    <r>
      <rPr>
        <b/>
        <sz val="14"/>
        <color indexed="8"/>
        <rFont val="宋体"/>
        <family val="3"/>
        <charset val="134"/>
      </rPr>
      <t xml:space="preserve">
</t>
    </r>
    <r>
      <rPr>
        <b/>
        <sz val="14"/>
        <color indexed="12"/>
        <rFont val="宋体"/>
        <family val="3"/>
        <charset val="134"/>
      </rPr>
      <t>剩余年限</t>
    </r>
  </si>
  <si>
    <t>海淀区西三旗建材城规划变更项目</t>
    <phoneticPr fontId="3" type="noConversion"/>
  </si>
  <si>
    <t>海淀区西三旗建材城</t>
    <phoneticPr fontId="3" type="noConversion"/>
  </si>
  <si>
    <t xml:space="preserve">新增土地用途 </t>
    <phoneticPr fontId="3" type="noConversion"/>
  </si>
  <si>
    <t xml:space="preserve">
地下研发设计
地下车库
地下仓储</t>
    <phoneticPr fontId="3" type="noConversion"/>
  </si>
  <si>
    <t>14828.51（分摊）</t>
    <phoneticPr fontId="3" type="noConversion"/>
  </si>
  <si>
    <t>总4.54</t>
    <phoneticPr fontId="3" type="noConversion"/>
  </si>
  <si>
    <t>办公Ⅵ-01</t>
    <phoneticPr fontId="3" type="noConversion"/>
  </si>
  <si>
    <t>8060-12080</t>
    <phoneticPr fontId="3" type="noConversion"/>
  </si>
  <si>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</si>
  <si>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</si>
  <si>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</si>
  <si>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</si>
  <si>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海淀区永丰北清路海淀北部4-2街区HD00-0402-0084地块</t>
    <phoneticPr fontId="3" type="noConversion"/>
  </si>
  <si>
    <t>海淀区永丰北清路海淀北部4-2街区</t>
    <phoneticPr fontId="3" type="noConversion"/>
  </si>
  <si>
    <t>违法处罚后补办</t>
    <phoneticPr fontId="3" type="noConversion"/>
  </si>
  <si>
    <t>教育科研设计
地下车库</t>
    <phoneticPr fontId="3" type="noConversion"/>
  </si>
  <si>
    <t>52796.15（地下教育科研设计3530、地下车库8357.95、设备用房900）</t>
    <phoneticPr fontId="3" type="noConversion"/>
  </si>
  <si>
    <t>办公Ⅵ-02</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</si>
  <si>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</si>
  <si>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</si>
  <si>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</si>
  <si>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</si>
  <si>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刘旸</t>
    <phoneticPr fontId="3" type="noConversion"/>
  </si>
  <si>
    <t>海淀区西北旺镇永丰产业基地（新）C4、C5地块公租房项目</t>
  </si>
  <si>
    <t>海淀区西北旺镇</t>
  </si>
  <si>
    <t>保障房配套</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</si>
  <si>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</si>
  <si>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</si>
  <si>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</si>
  <si>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</si>
  <si>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</si>
  <si>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</si>
  <si>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</si>
  <si>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</si>
  <si>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</si>
  <si>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商业（配套）13640
办公（公共服务设施）13576
地下车库3473
地下仓储4342</t>
  </si>
  <si>
    <t>商业（配套）3410
办公（公共服务设施）3394
地下车库869
地下仓储1085</t>
    <phoneticPr fontId="228" type="noConversion"/>
  </si>
  <si>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</si>
  <si>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</si>
  <si>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</si>
  <si>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新增土地用途</t>
  </si>
  <si>
    <t>地下教育科研设计</t>
  </si>
  <si>
    <t>1267.37（分摊）</t>
  </si>
  <si>
    <t>总3.18</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</si>
  <si>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</si>
  <si>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</si>
  <si>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</si>
  <si>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</si>
  <si>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</si>
  <si>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带地价报市政府</t>
  </si>
  <si>
    <t>研发设计</t>
  </si>
  <si>
    <t>办公Ⅵ-01</t>
  </si>
  <si>
    <t>建设项目规划条件-2018规土（海）条授字0003号</t>
  </si>
  <si>
    <t>12048
政府土地收益：
3012</t>
  </si>
  <si>
    <t>备注：海淀分局办理</t>
    <phoneticPr fontId="3" type="noConversion"/>
  </si>
  <si>
    <t>城市高速路</t>
    <phoneticPr fontId="26" type="noConversion"/>
  </si>
  <si>
    <t>城市主干道</t>
  </si>
  <si>
    <t>城市主干道</t>
    <phoneticPr fontId="26" type="noConversion"/>
  </si>
  <si>
    <t>城市次干道</t>
    <phoneticPr fontId="26" type="noConversion"/>
  </si>
  <si>
    <t>城市支路</t>
    <phoneticPr fontId="26" type="noConversion"/>
  </si>
  <si>
    <t>城市快速路</t>
    <phoneticPr fontId="26" type="noConversion"/>
  </si>
  <si>
    <t>七级</t>
    <phoneticPr fontId="26" type="noConversion"/>
  </si>
  <si>
    <t>四级</t>
    <phoneticPr fontId="26" type="noConversion"/>
  </si>
  <si>
    <t>五级</t>
    <phoneticPr fontId="26" type="noConversion"/>
  </si>
  <si>
    <t>六级</t>
    <phoneticPr fontId="26" type="noConversion"/>
  </si>
  <si>
    <t>八级</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</si>
  <si>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</si>
  <si>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</si>
  <si>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</si>
  <si>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</si>
  <si>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</si>
  <si>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商业</t>
    <phoneticPr fontId="228" type="noConversion"/>
  </si>
  <si>
    <t>地下办公3526
地下仓储3526
地下车库2820
政府土地收益：
地下办公882
地下仓储882
地下车库705</t>
    <phoneticPr fontId="3" type="noConversion"/>
  </si>
  <si>
    <t>办公</t>
    <phoneticPr fontId="26" type="noConversion"/>
  </si>
  <si>
    <t>工业</t>
    <phoneticPr fontId="26" type="noConversion"/>
  </si>
  <si>
    <t>与级别开发程度一致</t>
  </si>
  <si>
    <t>海淀区西北旺镇X2地块集体产业用地项目</t>
    <phoneticPr fontId="228" type="noConversion"/>
  </si>
  <si>
    <t>项目核准的批复-京发改（核）【2016】125号，项目核准延期的批复-京发改（核）【2018】180号；规划审查意见复函-2017规复函字0058号；土地权属审查告知书-海权属审（2017）字第1017号（延）、第1018号（延）；土地成本的函-海政函【2018】141号</t>
    <phoneticPr fontId="228" type="noConversion"/>
  </si>
  <si>
    <t>住宅19622
商业（配套）13155
办公（公共服务设施）12550
地下车库3750
政府土地收益：
住宅6201
商业（配套）4322
办公（公共服务设施）4261
地下车库938</t>
    <phoneticPr fontId="228" type="noConversion"/>
  </si>
  <si>
    <t>永丰公园、科技绿心公园</t>
    <phoneticPr fontId="26" type="noConversion"/>
  </si>
  <si>
    <t>规整</t>
  </si>
  <si>
    <t>规整</t>
    <phoneticPr fontId="26" type="noConversion"/>
  </si>
  <si>
    <t>七通</t>
    <phoneticPr fontId="26" type="noConversion"/>
  </si>
  <si>
    <t>楼面地价</t>
  </si>
  <si>
    <t>中关村生命园智云体育公园、北京城市学院（航天城校区）、中国地质科学院</t>
    <phoneticPr fontId="26" type="noConversion"/>
  </si>
  <si>
    <t>否</t>
    <phoneticPr fontId="26" type="noConversion"/>
  </si>
  <si>
    <t>是</t>
    <phoneticPr fontId="26" type="noConversion"/>
  </si>
  <si>
    <t>办公</t>
    <phoneticPr fontId="228" type="noConversion"/>
  </si>
  <si>
    <t>规整</t>
    <phoneticPr fontId="26" type="noConversion"/>
  </si>
  <si>
    <t>七通</t>
    <phoneticPr fontId="26" type="noConversion"/>
  </si>
  <si>
    <t>东马坊村法治公园、东马坊健身公园、北京北大资源研修学院、南沙河</t>
    <phoneticPr fontId="26" type="noConversion"/>
  </si>
  <si>
    <t>40-50（含）</t>
  </si>
  <si>
    <r>
      <t>40</t>
    </r>
    <r>
      <rPr>
        <sz val="11"/>
        <color indexed="8"/>
        <rFont val="宋体"/>
        <family val="3"/>
        <charset val="134"/>
      </rPr>
      <t>年</t>
    </r>
    <phoneticPr fontId="26" type="noConversion"/>
  </si>
  <si>
    <r>
      <t>50</t>
    </r>
    <r>
      <rPr>
        <sz val="11"/>
        <color indexed="8"/>
        <rFont val="宋体"/>
        <family val="3"/>
        <charset val="134"/>
      </rPr>
      <t>年</t>
    </r>
    <phoneticPr fontId="228" type="noConversion"/>
  </si>
  <si>
    <t>亿城中关村软件园项目</t>
    <phoneticPr fontId="3" type="noConversion"/>
  </si>
  <si>
    <t>https://shop.fang.com/shou/3_454056934.html?channel=1,16</t>
    <phoneticPr fontId="228" type="noConversion"/>
  </si>
  <si>
    <t>https://bj.58.com/shangpu/45317667043989x.shtml?PGTID=0d006b31-0000-0266-bbe0-9735e09e3d18&amp;ClickID=44</t>
    <phoneticPr fontId="228" type="noConversion"/>
  </si>
  <si>
    <t>商业</t>
    <phoneticPr fontId="228" type="noConversion"/>
  </si>
  <si>
    <t>办公</t>
    <phoneticPr fontId="228" type="noConversion"/>
  </si>
  <si>
    <t>2020年</t>
    <phoneticPr fontId="228" type="noConversion"/>
  </si>
  <si>
    <t>2019年</t>
    <phoneticPr fontId="228" type="noConversion"/>
  </si>
  <si>
    <t>基准地价</t>
    <phoneticPr fontId="228" type="noConversion"/>
  </si>
  <si>
    <t>地价</t>
    <phoneticPr fontId="228" type="noConversion"/>
  </si>
  <si>
    <t>2020年</t>
    <phoneticPr fontId="228" type="noConversion"/>
  </si>
  <si>
    <t>平均</t>
    <phoneticPr fontId="228" type="noConversion"/>
  </si>
  <si>
    <t>基准地价</t>
    <phoneticPr fontId="228" type="noConversion"/>
  </si>
  <si>
    <t>招拍挂出让</t>
    <phoneticPr fontId="228" type="noConversion"/>
  </si>
  <si>
    <t>西北旺新村A3地块评估结果</t>
    <phoneticPr fontId="228" type="noConversion"/>
  </si>
  <si>
    <t>协议出让</t>
    <phoneticPr fontId="228" type="noConversion"/>
  </si>
  <si>
    <t>2018年</t>
    <phoneticPr fontId="228" type="noConversion"/>
  </si>
  <si>
    <t>2019年</t>
    <phoneticPr fontId="228" type="noConversion"/>
  </si>
  <si>
    <t>2020年</t>
    <phoneticPr fontId="228" type="noConversion"/>
  </si>
  <si>
    <t>平均</t>
    <phoneticPr fontId="228" type="noConversion"/>
  </si>
  <si>
    <t>用地单位</t>
    <phoneticPr fontId="3" type="noConversion"/>
  </si>
  <si>
    <t>项目情况简介</t>
    <phoneticPr fontId="3" type="noConversion"/>
  </si>
  <si>
    <t>评估         机构</t>
  </si>
  <si>
    <t>用地位置描述</t>
  </si>
  <si>
    <t>土地面积
(平方米)</t>
    <phoneticPr fontId="3" type="noConversion"/>
  </si>
  <si>
    <t>地上建筑面积
(平方米)</t>
    <phoneticPr fontId="3" type="noConversion"/>
  </si>
  <si>
    <t>总建筑面积
(平方米)</t>
    <phoneticPr fontId="3" type="noConversion"/>
  </si>
  <si>
    <t>基准地价法评估结果
(元/平方米)</t>
  </si>
  <si>
    <t>其他方法评估结果
(元/平方米)</t>
    <phoneticPr fontId="3" type="noConversion"/>
  </si>
  <si>
    <t>楼面一级开发补偿费
(元/平方米)</t>
    <phoneticPr fontId="3" type="noConversion"/>
  </si>
  <si>
    <t>备注</t>
    <phoneticPr fontId="3" type="noConversion"/>
  </si>
  <si>
    <t>评审办建议
楼面地价
(元/平方米)</t>
    <phoneticPr fontId="3" type="noConversion"/>
  </si>
  <si>
    <t>评委会审核
楼面地价
(元/平方米)</t>
    <phoneticPr fontId="3" type="noConversion"/>
  </si>
  <si>
    <t>委主任办审定
楼面地价
(元/平方米)</t>
    <phoneticPr fontId="3" type="noConversion"/>
  </si>
  <si>
    <t>审定日期</t>
    <phoneticPr fontId="3" type="noConversion"/>
  </si>
  <si>
    <t>区片编号</t>
    <phoneticPr fontId="3" type="noConversion"/>
  </si>
  <si>
    <t>级别平均容积率</t>
    <phoneticPr fontId="3" type="noConversion"/>
  </si>
  <si>
    <t>级别地价</t>
    <phoneticPr fontId="3" type="noConversion"/>
  </si>
  <si>
    <t>区片价格</t>
    <phoneticPr fontId="3" type="noConversion"/>
  </si>
  <si>
    <t>楼面熟地价</t>
    <phoneticPr fontId="3" type="noConversion"/>
  </si>
  <si>
    <t>政府土地收益</t>
    <phoneticPr fontId="3" type="noConversion"/>
  </si>
  <si>
    <t>安宁庄东路23号现状工业用地</t>
    <phoneticPr fontId="3" type="noConversion"/>
  </si>
  <si>
    <t>海淀区安宁庄东路23号</t>
    <phoneticPr fontId="3" type="noConversion"/>
  </si>
  <si>
    <t>北京银燕实业有限公司</t>
    <phoneticPr fontId="3" type="noConversion"/>
  </si>
  <si>
    <t>现状补办</t>
    <phoneticPr fontId="3" type="noConversion"/>
  </si>
  <si>
    <t>岳华中天</t>
    <phoneticPr fontId="3" type="noConversion"/>
  </si>
  <si>
    <t>五环外</t>
    <phoneticPr fontId="3" type="noConversion"/>
  </si>
  <si>
    <t>工业
地下工业</t>
    <phoneticPr fontId="3" type="noConversion"/>
  </si>
  <si>
    <t>8484.3（地下工业648）</t>
    <phoneticPr fontId="3" type="noConversion"/>
  </si>
  <si>
    <t>工业Ⅴ-01</t>
    <phoneticPr fontId="3" type="noConversion"/>
  </si>
  <si>
    <r>
      <t>2</t>
    </r>
    <r>
      <rPr>
        <sz val="14"/>
        <color indexed="8"/>
        <rFont val="宋体"/>
        <family val="3"/>
        <charset val="134"/>
      </rPr>
      <t>140-3200</t>
    </r>
    <phoneticPr fontId="3" type="noConversion"/>
  </si>
  <si>
    <t>3713
地下928</t>
    <phoneticPr fontId="3" type="noConversion"/>
  </si>
  <si>
    <t>557
地下139</t>
    <phoneticPr fontId="3" type="noConversion"/>
  </si>
  <si>
    <t>3745
地下936</t>
    <phoneticPr fontId="3" type="noConversion"/>
  </si>
  <si>
    <t>562
地下140</t>
    <phoneticPr fontId="3" type="noConversion"/>
  </si>
  <si>
    <t>3729
地下932</t>
    <phoneticPr fontId="3" type="noConversion"/>
  </si>
  <si>
    <t>559
地下140</t>
    <phoneticPr fontId="3" type="noConversion"/>
  </si>
  <si>
    <t>3729
地下932
政府土地收益：
559
地下140</t>
    <phoneticPr fontId="3" type="noConversion"/>
  </si>
  <si>
    <t>中关村生命医疗园新增土地用途项目</t>
    <phoneticPr fontId="3" type="noConversion"/>
  </si>
  <si>
    <t>海淀区中关村生命医疗园</t>
    <phoneticPr fontId="3" type="noConversion"/>
  </si>
  <si>
    <t>北京博晖创新光电技术股份有限公司</t>
    <phoneticPr fontId="3" type="noConversion"/>
  </si>
  <si>
    <t xml:space="preserve">新增土地用途 </t>
    <phoneticPr fontId="3" type="noConversion"/>
  </si>
  <si>
    <t>中坤</t>
    <phoneticPr fontId="3" type="noConversion"/>
  </si>
  <si>
    <t>地下车库</t>
    <phoneticPr fontId="3" type="noConversion"/>
  </si>
  <si>
    <t>3281.87（分摊）</t>
    <phoneticPr fontId="3" type="noConversion"/>
  </si>
  <si>
    <t>总1.64</t>
    <phoneticPr fontId="3" type="noConversion"/>
  </si>
  <si>
    <t>办公Ⅶ-01</t>
    <phoneticPr fontId="3" type="noConversion"/>
  </si>
  <si>
    <t>5880-8820</t>
    <phoneticPr fontId="3" type="noConversion"/>
  </si>
  <si>
    <t>2551
政府土地收益：
638</t>
    <phoneticPr fontId="3" type="noConversion"/>
  </si>
  <si>
    <t>海淀区买卖街54号1幢现状城镇住宅用地</t>
    <phoneticPr fontId="3" type="noConversion"/>
  </si>
  <si>
    <t>海淀区买卖街54号</t>
    <phoneticPr fontId="3" type="noConversion"/>
  </si>
  <si>
    <t>王金莉</t>
    <phoneticPr fontId="3" type="noConversion"/>
  </si>
  <si>
    <t>中同华</t>
    <phoneticPr fontId="3" type="noConversion"/>
  </si>
  <si>
    <t>二环内</t>
    <phoneticPr fontId="3" type="noConversion"/>
  </si>
  <si>
    <t>城镇住宅</t>
    <phoneticPr fontId="3" type="noConversion"/>
  </si>
  <si>
    <t>居住Ⅶ-02</t>
    <phoneticPr fontId="3" type="noConversion"/>
  </si>
  <si>
    <t>5840～8760</t>
    <phoneticPr fontId="3" type="noConversion"/>
  </si>
  <si>
    <t>28015/收益法7970</t>
    <phoneticPr fontId="3" type="noConversion"/>
  </si>
  <si>
    <t>7004/1993</t>
    <phoneticPr fontId="3" type="noConversion"/>
  </si>
  <si>
    <t>20120
政府土地收益：
5030</t>
    <phoneticPr fontId="3" type="noConversion"/>
  </si>
  <si>
    <t>中关村软件园二期（西区）C1\L2地块研发设计项目</t>
    <phoneticPr fontId="3" type="noConversion"/>
  </si>
  <si>
    <t>海淀区中关村软件园二期（西区）C1\L2地块</t>
    <phoneticPr fontId="3" type="noConversion"/>
  </si>
  <si>
    <t>百度在线网络技术（北京）有限公司</t>
    <phoneticPr fontId="3" type="noConversion"/>
  </si>
  <si>
    <t>违法补办</t>
    <phoneticPr fontId="3" type="noConversion"/>
  </si>
  <si>
    <t>华天通</t>
    <phoneticPr fontId="3" type="noConversion"/>
  </si>
  <si>
    <t>研发设计
地下研发设计
地下仓储
地下车库</t>
    <phoneticPr fontId="3" type="noConversion"/>
  </si>
  <si>
    <t>277467.32（地下研发设计33110、地下仓储7276.81、地下车库47119.99）</t>
    <phoneticPr fontId="3" type="noConversion"/>
  </si>
  <si>
    <t>办公Ⅵ-02</t>
    <phoneticPr fontId="3" type="noConversion"/>
  </si>
  <si>
    <t>8060-12080</t>
    <phoneticPr fontId="3" type="noConversion"/>
  </si>
  <si>
    <t>15213
地下研发设计4079
地下仓储4079
地下车库3263</t>
    <phoneticPr fontId="3" type="noConversion"/>
  </si>
  <si>
    <t>3803
地下研发设计1020
地下仓储1020
地下车库816</t>
    <phoneticPr fontId="3" type="noConversion"/>
  </si>
  <si>
    <t>14593
地下研发设计3648
地下仓储3648
地下车库2919</t>
    <phoneticPr fontId="3" type="noConversion"/>
  </si>
  <si>
    <t>3648
地下研发设计912
地下仓储912
地下车库730</t>
    <phoneticPr fontId="3" type="noConversion"/>
  </si>
  <si>
    <t>14965
地下研发设计3907
地下仓储3907
地下车库3125</t>
    <phoneticPr fontId="3" type="noConversion"/>
  </si>
  <si>
    <t>3741
地下研发设计977
地下仓储977
地下车库782</t>
    <phoneticPr fontId="3" type="noConversion"/>
  </si>
  <si>
    <t>15213
地下研发设计4079
地下仓储4079
地下车库3263
政府土地收益：
12313
地下研发设计1020
地下仓储1020
地下车库816</t>
    <phoneticPr fontId="3" type="noConversion"/>
  </si>
  <si>
    <t>中关村软件园二期（西区）A-1\B-1地块研发设计项目</t>
    <phoneticPr fontId="3" type="noConversion"/>
  </si>
  <si>
    <t>海淀区中关村软件园二期（西区）A-1\B-1地块</t>
    <phoneticPr fontId="3" type="noConversion"/>
  </si>
  <si>
    <t>联想（北京）有限公司</t>
    <phoneticPr fontId="3" type="noConversion"/>
  </si>
  <si>
    <t>仲量联行</t>
    <phoneticPr fontId="3" type="noConversion"/>
  </si>
  <si>
    <t>研发设计
地下研发设计
地下车库</t>
    <phoneticPr fontId="3" type="noConversion"/>
  </si>
  <si>
    <t>339229.1（地下研发设计50096、地下车库51583.8）</t>
    <phoneticPr fontId="3" type="noConversion"/>
  </si>
  <si>
    <t>16773
地下研发设计4082
地下车库3265</t>
    <phoneticPr fontId="3" type="noConversion"/>
  </si>
  <si>
    <t>4193
地下研发设计1021
地下车库816</t>
    <phoneticPr fontId="3" type="noConversion"/>
  </si>
  <si>
    <t>14452
地下研发设计3613
地下车库2890</t>
    <phoneticPr fontId="3" type="noConversion"/>
  </si>
  <si>
    <t>3613
地下研发设计903
地下车库723</t>
    <phoneticPr fontId="3" type="noConversion"/>
  </si>
  <si>
    <t>15613
地下研发设计3848
地下车库3078</t>
    <phoneticPr fontId="3" type="noConversion"/>
  </si>
  <si>
    <t>3903
地下研发设计962
地下车库770</t>
    <phoneticPr fontId="3" type="noConversion"/>
  </si>
  <si>
    <t>16773
地下研发设计4082
地下车库3265
政府土地收益：
13873
地下研发设计1021
地下车库816</t>
    <phoneticPr fontId="3" type="noConversion"/>
  </si>
  <si>
    <t>海淀北部燃气热电冷联供项目配套调峰热源和热网工程（能源中心尖峰锅炉房）项目</t>
    <phoneticPr fontId="3" type="noConversion"/>
  </si>
  <si>
    <t>海淀区上庄镇西马坊村</t>
    <phoneticPr fontId="3" type="noConversion"/>
  </si>
  <si>
    <t>北京上庄燃气热电有限公司</t>
    <phoneticPr fontId="3" type="noConversion"/>
  </si>
  <si>
    <t>康正宏基</t>
    <phoneticPr fontId="3" type="noConversion"/>
  </si>
  <si>
    <t>公共设施用地</t>
    <phoneticPr fontId="3" type="noConversion"/>
  </si>
  <si>
    <t>工业Ⅶ-01</t>
    <phoneticPr fontId="3" type="noConversion"/>
  </si>
  <si>
    <t>1060-1600</t>
    <phoneticPr fontId="3" type="noConversion"/>
  </si>
  <si>
    <t>2955
政府土地收益：
443</t>
    <phoneticPr fontId="3" type="noConversion"/>
  </si>
  <si>
    <t>实创医谷产业园3-2-045、048、066、072地块</t>
    <phoneticPr fontId="3" type="noConversion"/>
  </si>
  <si>
    <t>海淀区中关村翠湖科技园</t>
    <phoneticPr fontId="3" type="noConversion"/>
  </si>
  <si>
    <t>北京实创科技园开发建设股份有限公司</t>
    <phoneticPr fontId="3" type="noConversion"/>
  </si>
  <si>
    <t>科研</t>
    <phoneticPr fontId="3" type="noConversion"/>
  </si>
  <si>
    <t>北方亚事</t>
    <phoneticPr fontId="3" type="noConversion"/>
  </si>
  <si>
    <t>研发设计
地下研发设计
地下车库
地下仓储</t>
    <phoneticPr fontId="3" type="noConversion"/>
  </si>
  <si>
    <t>173703.6（地下研发设计3565、地下仓储4524、地下车库35102.6）</t>
    <phoneticPr fontId="3" type="noConversion"/>
  </si>
  <si>
    <t>1.5
1.2</t>
    <phoneticPr fontId="3" type="noConversion"/>
  </si>
  <si>
    <t>办公Ⅶ-1</t>
    <phoneticPr fontId="3" type="noConversion"/>
  </si>
  <si>
    <t>11048
地下研发设计2705
地下车库2164
地下仓储2705</t>
    <phoneticPr fontId="3" type="noConversion"/>
  </si>
  <si>
    <t>2762
地下研发设计676
地下车库541
地下仓储676</t>
    <phoneticPr fontId="3" type="noConversion"/>
  </si>
  <si>
    <t>14122
地下研发设计3531
地下车库2824
地下仓储3531</t>
    <phoneticPr fontId="3" type="noConversion"/>
  </si>
  <si>
    <t>3531
地下研发设计883
地下车库706
地下仓储883</t>
    <phoneticPr fontId="3" type="noConversion"/>
  </si>
  <si>
    <t>13200
地下研发设计3283
地下车库2626
地下仓储3283</t>
    <phoneticPr fontId="3" type="noConversion"/>
  </si>
  <si>
    <t>3300
地下研发设计821
地下车库657
地下仓储821</t>
    <phoneticPr fontId="3" type="noConversion"/>
  </si>
  <si>
    <t>13200
地下研发设计3283
地下车库2626
地下仓储3283
政府土地收益：
3300
地下研发设计821
地下车库657
地下仓储821</t>
    <phoneticPr fontId="3" type="noConversion"/>
  </si>
  <si>
    <t>东北旺西路8号院27号楼新增土地用途项目</t>
    <phoneticPr fontId="3" type="noConversion"/>
  </si>
  <si>
    <t>海淀区东北旺西路8号院27号楼</t>
    <phoneticPr fontId="3" type="noConversion"/>
  </si>
  <si>
    <t>北京黄石科技发展有限公司</t>
    <phoneticPr fontId="3" type="noConversion"/>
  </si>
  <si>
    <t>新增土地用途</t>
    <phoneticPr fontId="3" type="noConversion"/>
  </si>
  <si>
    <t>汇盛信达</t>
    <phoneticPr fontId="3" type="noConversion"/>
  </si>
  <si>
    <t>地下研发、地下车库</t>
    <phoneticPr fontId="3" type="noConversion"/>
  </si>
  <si>
    <r>
      <t>6</t>
    </r>
    <r>
      <rPr>
        <sz val="14"/>
        <color indexed="8"/>
        <rFont val="宋体"/>
        <family val="3"/>
        <charset val="134"/>
      </rPr>
      <t>295.66（分摊）</t>
    </r>
    <phoneticPr fontId="3" type="noConversion"/>
  </si>
  <si>
    <r>
      <t>办公Ⅴ-</t>
    </r>
    <r>
      <rPr>
        <sz val="14"/>
        <color indexed="8"/>
        <rFont val="宋体"/>
        <family val="3"/>
        <charset val="134"/>
      </rPr>
      <t>05</t>
    </r>
    <phoneticPr fontId="3" type="noConversion"/>
  </si>
  <si>
    <r>
      <t>1</t>
    </r>
    <r>
      <rPr>
        <sz val="14"/>
        <color indexed="8"/>
        <rFont val="宋体"/>
        <family val="3"/>
        <charset val="134"/>
      </rPr>
      <t>0310-15470</t>
    </r>
    <phoneticPr fontId="3" type="noConversion"/>
  </si>
  <si>
    <t>地下研发3940
地下车库3152</t>
    <phoneticPr fontId="3" type="noConversion"/>
  </si>
  <si>
    <r>
      <t>地下研发9</t>
    </r>
    <r>
      <rPr>
        <sz val="14"/>
        <color indexed="8"/>
        <rFont val="宋体"/>
        <family val="3"/>
        <charset val="134"/>
      </rPr>
      <t>85
地下车库788</t>
    </r>
    <phoneticPr fontId="3" type="noConversion"/>
  </si>
  <si>
    <t>地下研发3953
地下车库3162</t>
    <phoneticPr fontId="3" type="noConversion"/>
  </si>
  <si>
    <r>
      <t>地下研发9</t>
    </r>
    <r>
      <rPr>
        <sz val="14"/>
        <color indexed="8"/>
        <rFont val="宋体"/>
        <family val="3"/>
        <charset val="134"/>
      </rPr>
      <t>88
地下车库791</t>
    </r>
    <phoneticPr fontId="3" type="noConversion"/>
  </si>
  <si>
    <r>
      <t>地下研发3</t>
    </r>
    <r>
      <rPr>
        <sz val="14"/>
        <color indexed="8"/>
        <rFont val="宋体"/>
        <family val="3"/>
        <charset val="134"/>
      </rPr>
      <t>947
地下车库3157</t>
    </r>
    <phoneticPr fontId="3" type="noConversion"/>
  </si>
  <si>
    <r>
      <t>地下研发9</t>
    </r>
    <r>
      <rPr>
        <sz val="14"/>
        <color indexed="8"/>
        <rFont val="宋体"/>
        <family val="3"/>
        <charset val="134"/>
      </rPr>
      <t>87
地下车库789</t>
    </r>
    <phoneticPr fontId="3" type="noConversion"/>
  </si>
  <si>
    <t>地下研发3947
地下车库3157
政府土地收益：
地下研发987
地下车库789</t>
    <phoneticPr fontId="3" type="noConversion"/>
  </si>
  <si>
    <t>创新园F区3-2-011地块大北农生物农业创新园项目新增土地用途</t>
    <phoneticPr fontId="3" type="noConversion"/>
  </si>
  <si>
    <t>海淀区创新园F区3-2-011地块大北农生物农业创新园</t>
    <phoneticPr fontId="3" type="noConversion"/>
  </si>
  <si>
    <t>北京大北农科技集团股份有限公司</t>
  </si>
  <si>
    <t>中盛行</t>
    <phoneticPr fontId="3" type="noConversion"/>
  </si>
  <si>
    <t>地下研发设计、地下车库、地下仓储</t>
  </si>
  <si>
    <t>21140.72（分摊）</t>
    <phoneticPr fontId="3" type="noConversion"/>
  </si>
  <si>
    <t>61808.41(其中地下研发设计3986.97，地下仓储7316.54，地下车库50504.9)</t>
    <phoneticPr fontId="3" type="noConversion"/>
  </si>
  <si>
    <t>地下研发设计2863
地下车库2290
地下仓储2863</t>
    <phoneticPr fontId="3" type="noConversion"/>
  </si>
  <si>
    <t>地下研发设计716
地下车库573
地下仓储716</t>
    <phoneticPr fontId="3" type="noConversion"/>
  </si>
  <si>
    <t>地下研发设计4124
地下车库3299
地下仓储4124</t>
    <phoneticPr fontId="3" type="noConversion"/>
  </si>
  <si>
    <t>地下研发设计1031
地下车库825
地下仓储1031</t>
    <phoneticPr fontId="3" type="noConversion"/>
  </si>
  <si>
    <t>地下研发设计3746
地下车库2996
地下仓储3746</t>
    <phoneticPr fontId="3" type="noConversion"/>
  </si>
  <si>
    <t>地下研发设计937
地下车库749
地下仓储937</t>
    <phoneticPr fontId="3" type="noConversion"/>
  </si>
  <si>
    <t>地下研发设计3746
地下车库2996
地下仓储3746
政府土地收益：
地下研发设计937
地下车库749
地下仓储937</t>
    <phoneticPr fontId="3" type="noConversion"/>
  </si>
  <si>
    <t>北京海淀北部区域能源中心（燃气热电联产）项目</t>
    <phoneticPr fontId="3" type="noConversion"/>
  </si>
  <si>
    <t>北京市海淀区上庄镇西马坊村</t>
    <phoneticPr fontId="3" type="noConversion"/>
  </si>
  <si>
    <t>国地</t>
    <phoneticPr fontId="3" type="noConversion"/>
  </si>
  <si>
    <t>公共服务设施</t>
    <phoneticPr fontId="3" type="noConversion"/>
  </si>
  <si>
    <t>68135.51（地下3246.21）</t>
    <phoneticPr fontId="3" type="noConversion"/>
  </si>
  <si>
    <t>公共服务设施2627
地下公共服务设施425</t>
    <phoneticPr fontId="3" type="noConversion"/>
  </si>
  <si>
    <t>公共服务设施394
地下公共服务设施64</t>
    <phoneticPr fontId="3" type="noConversion"/>
  </si>
  <si>
    <t>公共服务设施2645
地下公共服务设施529</t>
    <phoneticPr fontId="3" type="noConversion"/>
  </si>
  <si>
    <t>公共服务设施397
地下公共服务设施79</t>
    <phoneticPr fontId="3" type="noConversion"/>
  </si>
  <si>
    <t>公共服务设施2636
地下公共服务设施477</t>
    <phoneticPr fontId="3" type="noConversion"/>
  </si>
  <si>
    <t>公共服务设施395
地下公共服务设施72</t>
    <phoneticPr fontId="3" type="noConversion"/>
  </si>
  <si>
    <t>公共服务设施2636
地下公共服务设施477
政府土地收益：
公共服务设施395
地下公共服务设施72</t>
    <phoneticPr fontId="3" type="noConversion"/>
  </si>
  <si>
    <t>温泉镇杨家庄农民回迁房项目(F-14地块)</t>
  </si>
  <si>
    <t>海淀区温泉镇杨家庄</t>
    <phoneticPr fontId="3" type="noConversion"/>
  </si>
  <si>
    <t>北京兴泉置业开发建设有限公司</t>
    <phoneticPr fontId="3" type="noConversion"/>
  </si>
  <si>
    <t>违法处罚后补办</t>
    <phoneticPr fontId="3" type="noConversion"/>
  </si>
  <si>
    <t>华信</t>
    <phoneticPr fontId="3" type="noConversion"/>
  </si>
  <si>
    <t>六环内</t>
    <phoneticPr fontId="3" type="noConversion"/>
  </si>
  <si>
    <t>住宅
商业(配套)
办公(公共服务设施)
地下仓储</t>
  </si>
  <si>
    <t>居住Ⅶ-01
办公Ⅶ-01
商业Ⅶ-01</t>
    <phoneticPr fontId="3" type="noConversion"/>
  </si>
  <si>
    <t>商2.5
办2.5
居2.5</t>
    <phoneticPr fontId="3" type="noConversion"/>
  </si>
  <si>
    <t>居住5840-8760 
办公5880-8820
商业5940-8900</t>
    <phoneticPr fontId="3" type="noConversion"/>
  </si>
  <si>
    <t>居住8590
办公8140
商业8170</t>
    <phoneticPr fontId="3" type="noConversion"/>
  </si>
  <si>
    <t>住宅18291
商业(配套)15317
办公(公共服务设施)14305
地下仓储3835</t>
    <phoneticPr fontId="3" type="noConversion"/>
  </si>
  <si>
    <t>住宅4573
商业(配套)3829
办公(公共服务设施)3576
地下仓储963</t>
    <phoneticPr fontId="3" type="noConversion"/>
  </si>
  <si>
    <t>剩余法：
住宅24081
商业(配套)23956
办公(公共服务设施)17744
地下仓储6020</t>
    <phoneticPr fontId="3" type="noConversion"/>
  </si>
  <si>
    <t>住宅6020
商业(配套)5989
办公(公共服务设施)4436
地下仓储1505</t>
    <phoneticPr fontId="3" type="noConversion"/>
  </si>
  <si>
    <t>住宅21765
商业(配套)20500
办公(公共服务设施)16368
地下仓储5153</t>
    <phoneticPr fontId="3" type="noConversion"/>
  </si>
  <si>
    <t>住宅5441
商业(配套)5125
办公(公共服务设施)4092
地下仓储1288</t>
    <phoneticPr fontId="3" type="noConversion"/>
  </si>
  <si>
    <t>住宅21765
商业(配套)20500
办公(公共服务设施)16368
地下仓储5153
政府土地收益：
住宅6555
商业(配套)5125
办公(公共服务设施)4092
地下仓储1288</t>
    <phoneticPr fontId="3" type="noConversion"/>
  </si>
  <si>
    <t>中关村西三旗科技园（1813-L02）配套公租房项目经营性配套部分</t>
    <phoneticPr fontId="3" type="noConversion"/>
  </si>
  <si>
    <t>海淀区建材城西路（1813-L02地块）</t>
    <phoneticPr fontId="3" type="noConversion"/>
  </si>
  <si>
    <t>北京金隅程远房地产开发有限公司</t>
    <phoneticPr fontId="3" type="noConversion"/>
  </si>
  <si>
    <t>公租房配套</t>
    <phoneticPr fontId="3" type="noConversion"/>
  </si>
  <si>
    <t>国融兴华</t>
    <phoneticPr fontId="3" type="noConversion"/>
  </si>
  <si>
    <t>五环外</t>
    <phoneticPr fontId="3" type="noConversion"/>
  </si>
  <si>
    <t>办公（公共服务设施）
地下车库</t>
    <phoneticPr fontId="3" type="noConversion"/>
  </si>
  <si>
    <t>3181.10(分摊)</t>
    <phoneticPr fontId="3" type="noConversion"/>
  </si>
  <si>
    <t>12885.43（其中地下车库12584）</t>
    <phoneticPr fontId="3" type="noConversion"/>
  </si>
  <si>
    <t>办公Ⅵ-01
居住Ⅵ-01</t>
    <phoneticPr fontId="3" type="noConversion"/>
  </si>
  <si>
    <t>办公8060-12080
居住8010-12010</t>
    <phoneticPr fontId="3" type="noConversion"/>
  </si>
  <si>
    <t>办公10490
居住10760</t>
    <phoneticPr fontId="3" type="noConversion"/>
  </si>
  <si>
    <t>办公（公共服务设施）14039
地下车库3513</t>
    <phoneticPr fontId="3" type="noConversion"/>
  </si>
  <si>
    <t>办公（公共服务设施）3510
地下车库878</t>
    <phoneticPr fontId="3" type="noConversion"/>
  </si>
  <si>
    <t>剩余法：
办公（公共服13902务设施）
地下车库3794</t>
    <phoneticPr fontId="3" type="noConversion"/>
  </si>
  <si>
    <r>
      <t>办公（公共服务设施）3</t>
    </r>
    <r>
      <rPr>
        <sz val="14"/>
        <color indexed="8"/>
        <rFont val="宋体"/>
        <family val="3"/>
        <charset val="134"/>
      </rPr>
      <t>476</t>
    </r>
    <r>
      <rPr>
        <sz val="14"/>
        <color indexed="8"/>
        <rFont val="宋体"/>
        <family val="3"/>
        <charset val="134"/>
      </rPr>
      <t xml:space="preserve">
地下车库</t>
    </r>
    <r>
      <rPr>
        <sz val="14"/>
        <color indexed="8"/>
        <rFont val="宋体"/>
        <family val="3"/>
        <charset val="134"/>
      </rPr>
      <t>949</t>
    </r>
    <phoneticPr fontId="3" type="noConversion"/>
  </si>
  <si>
    <t>办公（公共服务设施）13971
地下车库3654</t>
    <phoneticPr fontId="3" type="noConversion"/>
  </si>
  <si>
    <t>办公（公共服务设施3493
地下车库914</t>
    <phoneticPr fontId="3" type="noConversion"/>
  </si>
  <si>
    <t>办公（公共服务设施）13971
地下车库3654
政府土地收益：
办公（公共服务设施）5660
地下车库914</t>
    <phoneticPr fontId="3" type="noConversion"/>
  </si>
  <si>
    <t>中关村西三旗科技园（1813-L09）公租房经营性配套部分</t>
    <phoneticPr fontId="3" type="noConversion"/>
  </si>
  <si>
    <t>海淀区建材城西路（1813-L09地块）</t>
    <phoneticPr fontId="3" type="noConversion"/>
  </si>
  <si>
    <t>名洋灏正</t>
    <phoneticPr fontId="3" type="noConversion"/>
  </si>
  <si>
    <t>商业（配套）
办公（公共服务设施）
地下车库</t>
    <phoneticPr fontId="3" type="noConversion"/>
  </si>
  <si>
    <r>
      <t>4698.92</t>
    </r>
    <r>
      <rPr>
        <sz val="14"/>
        <color indexed="8"/>
        <rFont val="宋体"/>
        <family val="3"/>
        <charset val="134"/>
      </rPr>
      <t>(</t>
    </r>
    <r>
      <rPr>
        <sz val="14"/>
        <color indexed="8"/>
        <rFont val="宋体"/>
        <family val="3"/>
        <charset val="134"/>
      </rPr>
      <t>分摊</t>
    </r>
    <r>
      <rPr>
        <sz val="14"/>
        <color indexed="8"/>
        <rFont val="宋体"/>
        <family val="3"/>
        <charset val="134"/>
      </rPr>
      <t>)</t>
    </r>
    <phoneticPr fontId="3" type="noConversion"/>
  </si>
  <si>
    <t>1057.66（其中商业（配套）119，办公（公共服务设施）938.66）</t>
    <phoneticPr fontId="3" type="noConversion"/>
  </si>
  <si>
    <t>14948.66（其中地下车库13891）</t>
    <phoneticPr fontId="3" type="noConversion"/>
  </si>
  <si>
    <t>商业Ⅵ-01
办公Ⅵ-01
居住Ⅵ-01</t>
    <phoneticPr fontId="3" type="noConversion"/>
  </si>
  <si>
    <t>商业8130-12190
办公8060-12080
居住8010-12010</t>
    <phoneticPr fontId="3" type="noConversion"/>
  </si>
  <si>
    <t>商业10520
办公10490
居住10760</t>
    <phoneticPr fontId="3" type="noConversion"/>
  </si>
  <si>
    <t>商业（配套）14002
办公（公共服务设施）14038
地下车库3513</t>
    <phoneticPr fontId="3" type="noConversion"/>
  </si>
  <si>
    <t>商业（配套）3501
办公（公共服务设施）3510
地下车库878</t>
    <phoneticPr fontId="3" type="noConversion"/>
  </si>
  <si>
    <t>剩余法：
商业（配套）16846
办公（公共服务设施）13373
地下车库3764</t>
    <phoneticPr fontId="3" type="noConversion"/>
  </si>
  <si>
    <t>商业（配套）4212
办公（公共服务设施）3343
地下车库941</t>
    <phoneticPr fontId="3" type="noConversion"/>
  </si>
  <si>
    <t>商业（配套）15424
办公（公共服务设施）13706
地下车库3639</t>
    <phoneticPr fontId="3" type="noConversion"/>
  </si>
  <si>
    <t>商业（配套）3856
办公（公共服务设施）3427
地下车库910</t>
    <phoneticPr fontId="3" type="noConversion"/>
  </si>
  <si>
    <t xml:space="preserve">商业（配套）15424
办公（公共服务设施）13971
地下车库3654
政府土地收益：
商业（配套）5694
办公（公共服务设施）5660
地下车库914
</t>
    <phoneticPr fontId="3" type="noConversion"/>
  </si>
  <si>
    <t>北京大学肖家河教工住宅E`地块经营性配套部分</t>
    <phoneticPr fontId="3" type="noConversion"/>
  </si>
  <si>
    <t>海淀区肖家河</t>
    <phoneticPr fontId="3" type="noConversion"/>
  </si>
  <si>
    <t>北京大学</t>
    <phoneticPr fontId="3" type="noConversion"/>
  </si>
  <si>
    <t>保障房配套</t>
    <phoneticPr fontId="3" type="noConversion"/>
  </si>
  <si>
    <t>地下仓储</t>
    <phoneticPr fontId="3" type="noConversion"/>
  </si>
  <si>
    <t>5530.163（分摊）</t>
    <phoneticPr fontId="3" type="noConversion"/>
  </si>
  <si>
    <t>居住Ⅴ-04</t>
    <phoneticPr fontId="3" type="noConversion"/>
  </si>
  <si>
    <t>居住10250-15370</t>
    <phoneticPr fontId="3" type="noConversion"/>
  </si>
  <si>
    <t>居住12350</t>
    <phoneticPr fontId="3" type="noConversion"/>
  </si>
  <si>
    <t>地下仓储5163</t>
    <phoneticPr fontId="3" type="noConversion"/>
  </si>
  <si>
    <t>地下仓储1291</t>
    <phoneticPr fontId="3" type="noConversion"/>
  </si>
  <si>
    <t>剩余法：
地下仓储9797</t>
    <phoneticPr fontId="3" type="noConversion"/>
  </si>
  <si>
    <t>地下仓储2449</t>
    <phoneticPr fontId="3" type="noConversion"/>
  </si>
  <si>
    <t>地下仓储7480</t>
    <phoneticPr fontId="3" type="noConversion"/>
  </si>
  <si>
    <t>地下仓储1870</t>
    <phoneticPr fontId="3" type="noConversion"/>
  </si>
  <si>
    <t>地下仓储7687
政府土地收益：
地下仓储1922</t>
    <phoneticPr fontId="3" type="noConversion"/>
  </si>
  <si>
    <t>北京大学肖家河教工住宅F地块经营性配套部分</t>
    <phoneticPr fontId="3" type="noConversion"/>
  </si>
  <si>
    <t>中鼎联合</t>
    <phoneticPr fontId="3" type="noConversion"/>
  </si>
  <si>
    <t>地下仓储</t>
    <phoneticPr fontId="3" type="noConversion"/>
  </si>
  <si>
    <t>3369.655（分摊）</t>
    <phoneticPr fontId="3" type="noConversion"/>
  </si>
  <si>
    <t>居住Ⅴ-04</t>
    <phoneticPr fontId="3" type="noConversion"/>
  </si>
  <si>
    <t>居住10250-15370</t>
    <phoneticPr fontId="3" type="noConversion"/>
  </si>
  <si>
    <t>居住12350</t>
    <phoneticPr fontId="3" type="noConversion"/>
  </si>
  <si>
    <t>地下仓储5163</t>
    <phoneticPr fontId="3" type="noConversion"/>
  </si>
  <si>
    <t>地下仓储1291</t>
    <phoneticPr fontId="3" type="noConversion"/>
  </si>
  <si>
    <t>剩余法：
地下仓储10210</t>
    <phoneticPr fontId="3" type="noConversion"/>
  </si>
  <si>
    <t>地下仓储2553</t>
    <phoneticPr fontId="3" type="noConversion"/>
  </si>
  <si>
    <t>地下仓储7687</t>
    <phoneticPr fontId="3" type="noConversion"/>
  </si>
  <si>
    <t>地下仓储1922</t>
    <phoneticPr fontId="3" type="noConversion"/>
  </si>
  <si>
    <t>北京大学肖家河教工住宅G地块经营性配套部分</t>
    <phoneticPr fontId="3" type="noConversion"/>
  </si>
  <si>
    <t>仁达</t>
    <phoneticPr fontId="3" type="noConversion"/>
  </si>
  <si>
    <t>商业（配套）
办公（公共服务设施）
地下商业（配套）
地下仓储</t>
    <phoneticPr fontId="3" type="noConversion"/>
  </si>
  <si>
    <t>7624.978（分摊）</t>
    <phoneticPr fontId="3" type="noConversion"/>
  </si>
  <si>
    <t>4696（其中商业（配套）2777，
办公（公共服务设施）1919）</t>
    <phoneticPr fontId="3" type="noConversion"/>
  </si>
  <si>
    <t>20353（地下15657，地下商业（配套）691，地下仓储14966）</t>
    <phoneticPr fontId="3" type="noConversion"/>
  </si>
  <si>
    <t>商业Ⅴ-05
办公Ⅴ-05
居住Ⅴ-04</t>
    <phoneticPr fontId="3" type="noConversion"/>
  </si>
  <si>
    <t>商业10420-15620
办公10310-15470
居住10250-15370</t>
    <phoneticPr fontId="3" type="noConversion"/>
  </si>
  <si>
    <t>商业12450
办公12370
居住12350</t>
    <phoneticPr fontId="3" type="noConversion"/>
  </si>
  <si>
    <r>
      <t>商业（配套）20187</t>
    </r>
    <r>
      <rPr>
        <sz val="14"/>
        <color indexed="8"/>
        <rFont val="宋体"/>
        <family val="3"/>
        <charset val="134"/>
      </rPr>
      <t xml:space="preserve">
办公（公共服务设施）19</t>
    </r>
    <r>
      <rPr>
        <sz val="14"/>
        <color indexed="8"/>
        <rFont val="宋体"/>
        <family val="3"/>
        <charset val="134"/>
      </rPr>
      <t>619</t>
    </r>
    <r>
      <rPr>
        <sz val="14"/>
        <color indexed="8"/>
        <rFont val="宋体"/>
        <family val="3"/>
        <charset val="134"/>
      </rPr>
      <t xml:space="preserve">
地下商业（配套）12</t>
    </r>
    <r>
      <rPr>
        <sz val="14"/>
        <color indexed="8"/>
        <rFont val="宋体"/>
        <family val="3"/>
        <charset val="134"/>
      </rPr>
      <t>400</t>
    </r>
    <r>
      <rPr>
        <sz val="14"/>
        <color indexed="8"/>
        <rFont val="宋体"/>
        <family val="3"/>
        <charset val="134"/>
      </rPr>
      <t xml:space="preserve">
地下仓储</t>
    </r>
    <r>
      <rPr>
        <sz val="14"/>
        <color indexed="8"/>
        <rFont val="宋体"/>
        <family val="3"/>
        <charset val="134"/>
      </rPr>
      <t>5199</t>
    </r>
    <phoneticPr fontId="3" type="noConversion"/>
  </si>
  <si>
    <r>
      <t>商业（配套）5047</t>
    </r>
    <r>
      <rPr>
        <sz val="14"/>
        <color indexed="8"/>
        <rFont val="宋体"/>
        <family val="3"/>
        <charset val="134"/>
      </rPr>
      <t xml:space="preserve">
办公（公共服务设施）</t>
    </r>
    <r>
      <rPr>
        <sz val="14"/>
        <color indexed="8"/>
        <rFont val="宋体"/>
        <family val="3"/>
        <charset val="134"/>
      </rPr>
      <t>4905</t>
    </r>
    <r>
      <rPr>
        <sz val="14"/>
        <color indexed="8"/>
        <rFont val="宋体"/>
        <family val="3"/>
        <charset val="134"/>
      </rPr>
      <t xml:space="preserve">
地下商业（配套）</t>
    </r>
    <r>
      <rPr>
        <sz val="14"/>
        <color indexed="8"/>
        <rFont val="宋体"/>
        <family val="3"/>
        <charset val="134"/>
      </rPr>
      <t>3100</t>
    </r>
    <r>
      <rPr>
        <sz val="14"/>
        <color indexed="8"/>
        <rFont val="宋体"/>
        <family val="3"/>
        <charset val="134"/>
      </rPr>
      <t xml:space="preserve">
地下仓储</t>
    </r>
    <r>
      <rPr>
        <sz val="14"/>
        <color indexed="8"/>
        <rFont val="宋体"/>
        <family val="3"/>
        <charset val="134"/>
      </rPr>
      <t>1300</t>
    </r>
    <phoneticPr fontId="3" type="noConversion"/>
  </si>
  <si>
    <t>剩余法：
商业（配套）22071
办公（公共服务设施）18249
地下商业（配套）15450
地下仓储10123</t>
    <phoneticPr fontId="3" type="noConversion"/>
  </si>
  <si>
    <r>
      <t>商业（配套）5518</t>
    </r>
    <r>
      <rPr>
        <sz val="14"/>
        <color indexed="8"/>
        <rFont val="宋体"/>
        <family val="3"/>
        <charset val="134"/>
      </rPr>
      <t xml:space="preserve">
办公（公共服务设施）</t>
    </r>
    <r>
      <rPr>
        <sz val="14"/>
        <color indexed="8"/>
        <rFont val="宋体"/>
        <family val="3"/>
        <charset val="134"/>
      </rPr>
      <t>4562</t>
    </r>
    <r>
      <rPr>
        <sz val="14"/>
        <color indexed="8"/>
        <rFont val="宋体"/>
        <family val="3"/>
        <charset val="134"/>
      </rPr>
      <t xml:space="preserve">
地下商业（配套）</t>
    </r>
    <r>
      <rPr>
        <sz val="14"/>
        <color indexed="8"/>
        <rFont val="宋体"/>
        <family val="3"/>
        <charset val="134"/>
      </rPr>
      <t>3863</t>
    </r>
    <r>
      <rPr>
        <sz val="14"/>
        <color indexed="8"/>
        <rFont val="宋体"/>
        <family val="3"/>
        <charset val="134"/>
      </rPr>
      <t xml:space="preserve">
地下仓储</t>
    </r>
    <r>
      <rPr>
        <sz val="14"/>
        <color indexed="8"/>
        <rFont val="宋体"/>
        <family val="3"/>
        <charset val="134"/>
      </rPr>
      <t>2531</t>
    </r>
    <phoneticPr fontId="3" type="noConversion"/>
  </si>
  <si>
    <r>
      <t>商业（配套）21127</t>
    </r>
    <r>
      <rPr>
        <sz val="14"/>
        <color indexed="8"/>
        <rFont val="宋体"/>
        <family val="3"/>
        <charset val="134"/>
      </rPr>
      <t xml:space="preserve">
办公（公共服务设施）18934
地下商业（配套）</t>
    </r>
    <r>
      <rPr>
        <sz val="14"/>
        <color indexed="8"/>
        <rFont val="宋体"/>
        <family val="3"/>
        <charset val="134"/>
      </rPr>
      <t>13924</t>
    </r>
    <r>
      <rPr>
        <sz val="14"/>
        <color indexed="8"/>
        <rFont val="宋体"/>
        <family val="3"/>
        <charset val="134"/>
      </rPr>
      <t xml:space="preserve">
地下仓储7661</t>
    </r>
    <phoneticPr fontId="3" type="noConversion"/>
  </si>
  <si>
    <r>
      <t>商业（配套）5282</t>
    </r>
    <r>
      <rPr>
        <sz val="14"/>
        <color indexed="8"/>
        <rFont val="宋体"/>
        <family val="3"/>
        <charset val="134"/>
      </rPr>
      <t xml:space="preserve">
办公（公共服务设施）4734
地下商业（配套）</t>
    </r>
    <r>
      <rPr>
        <sz val="14"/>
        <color indexed="8"/>
        <rFont val="宋体"/>
        <family val="3"/>
        <charset val="134"/>
      </rPr>
      <t>3481</t>
    </r>
    <r>
      <rPr>
        <sz val="14"/>
        <color indexed="8"/>
        <rFont val="宋体"/>
        <family val="3"/>
        <charset val="134"/>
      </rPr>
      <t xml:space="preserve">
地下仓储1915</t>
    </r>
    <phoneticPr fontId="3" type="noConversion"/>
  </si>
  <si>
    <t>商业（配套）21847
办公（公共服务设施）18934
地下商业（配套）13924
地下仓储7687
政府土地收益：
商业（配套）5462
办公（公共服务设施）4734
地下商业（配套）3481
地下仓储1922</t>
    <phoneticPr fontId="3" type="noConversion"/>
  </si>
  <si>
    <t>北京大学肖家河教工住宅H地块经营性配套部分</t>
    <phoneticPr fontId="3" type="noConversion"/>
  </si>
  <si>
    <t>商业（配套）
办公（公共服务设施）
地下仓储</t>
    <phoneticPr fontId="3" type="noConversion"/>
  </si>
  <si>
    <t>2503.534（分摊）</t>
    <phoneticPr fontId="3" type="noConversion"/>
  </si>
  <si>
    <t>1585（其中商业（配套）1143，
办公（公共服务设施）442）</t>
    <phoneticPr fontId="3" type="noConversion"/>
  </si>
  <si>
    <t>6270（地下4685，其中地下仓储4685）</t>
    <phoneticPr fontId="3" type="noConversion"/>
  </si>
  <si>
    <t>商业（配套）20107
办公（公共服务设施）19305
地下仓储5158</t>
    <phoneticPr fontId="3" type="noConversion"/>
  </si>
  <si>
    <t>商业（配套）5027
办公（公共服务设施）4826
地下仓储1290</t>
    <phoneticPr fontId="3" type="noConversion"/>
  </si>
  <si>
    <t>剩余法：
商业（配套）22761
办公（公共服务设施）18398
地下仓储9819</t>
    <phoneticPr fontId="3" type="noConversion"/>
  </si>
  <si>
    <r>
      <t>商业（配套）</t>
    </r>
    <r>
      <rPr>
        <sz val="14"/>
        <color indexed="8"/>
        <rFont val="宋体"/>
        <family val="3"/>
        <charset val="134"/>
      </rPr>
      <t>5690</t>
    </r>
    <r>
      <rPr>
        <sz val="14"/>
        <color indexed="8"/>
        <rFont val="宋体"/>
        <family val="3"/>
        <charset val="134"/>
      </rPr>
      <t xml:space="preserve">
办公（公共服务设施）</t>
    </r>
    <r>
      <rPr>
        <sz val="14"/>
        <color indexed="8"/>
        <rFont val="宋体"/>
        <family val="3"/>
        <charset val="134"/>
      </rPr>
      <t>4</t>
    </r>
    <r>
      <rPr>
        <sz val="14"/>
        <color indexed="8"/>
        <rFont val="宋体"/>
        <family val="3"/>
        <charset val="134"/>
      </rPr>
      <t>600</t>
    </r>
    <r>
      <rPr>
        <sz val="14"/>
        <color indexed="8"/>
        <rFont val="宋体"/>
        <family val="3"/>
        <charset val="134"/>
      </rPr>
      <t xml:space="preserve">
地下仓储</t>
    </r>
    <r>
      <rPr>
        <sz val="14"/>
        <color indexed="8"/>
        <rFont val="宋体"/>
        <family val="3"/>
        <charset val="134"/>
      </rPr>
      <t>24</t>
    </r>
    <r>
      <rPr>
        <sz val="14"/>
        <color indexed="8"/>
        <rFont val="宋体"/>
        <family val="3"/>
        <charset val="134"/>
      </rPr>
      <t>55</t>
    </r>
    <phoneticPr fontId="3" type="noConversion"/>
  </si>
  <si>
    <r>
      <t>商业（配套）</t>
    </r>
    <r>
      <rPr>
        <sz val="14"/>
        <color indexed="8"/>
        <rFont val="宋体"/>
        <family val="3"/>
        <charset val="134"/>
      </rPr>
      <t>21434</t>
    </r>
    <r>
      <rPr>
        <sz val="14"/>
        <color indexed="8"/>
        <rFont val="宋体"/>
        <family val="3"/>
        <charset val="134"/>
      </rPr>
      <t xml:space="preserve">
办公（公共服务设施）18852
地下仓储7489</t>
    </r>
    <phoneticPr fontId="3" type="noConversion"/>
  </si>
  <si>
    <r>
      <t>商业（配套）5</t>
    </r>
    <r>
      <rPr>
        <sz val="14"/>
        <color indexed="8"/>
        <rFont val="宋体"/>
        <family val="3"/>
        <charset val="134"/>
      </rPr>
      <t>359</t>
    </r>
    <r>
      <rPr>
        <sz val="14"/>
        <color indexed="8"/>
        <rFont val="宋体"/>
        <family val="3"/>
        <charset val="134"/>
      </rPr>
      <t xml:space="preserve">
办公（公共服务设施）4713
地下仓储1</t>
    </r>
    <r>
      <rPr>
        <sz val="14"/>
        <color indexed="8"/>
        <rFont val="宋体"/>
        <family val="3"/>
        <charset val="134"/>
      </rPr>
      <t>873</t>
    </r>
    <phoneticPr fontId="3" type="noConversion"/>
  </si>
  <si>
    <t>商业（配套）21847
办公（公共服务设施）18934
地下仓储7687
政府土地收益：
商业（配套）5462
办公（公共服务设施）4734
地下仓储1922</t>
    <phoneticPr fontId="3" type="noConversion"/>
  </si>
  <si>
    <t>北京大学肖家河教工住宅J地块经营性配套部分</t>
    <phoneticPr fontId="3" type="noConversion"/>
  </si>
  <si>
    <t>京港</t>
    <phoneticPr fontId="3" type="noConversion"/>
  </si>
  <si>
    <t>3234.824（分摊）</t>
    <phoneticPr fontId="3" type="noConversion"/>
  </si>
  <si>
    <t>2589（其中商业（配套）1811，
办公（公共服务设施）778）</t>
    <phoneticPr fontId="3" type="noConversion"/>
  </si>
  <si>
    <t>9707（地下7118，其中地下仓储7118）</t>
    <phoneticPr fontId="3" type="noConversion"/>
  </si>
  <si>
    <t>商业（配套）20097
办公（公共服务设施）19512
地下仓储5163</t>
    <phoneticPr fontId="3" type="noConversion"/>
  </si>
  <si>
    <r>
      <t>商业（配套）5</t>
    </r>
    <r>
      <rPr>
        <sz val="14"/>
        <color indexed="8"/>
        <rFont val="宋体"/>
        <family val="3"/>
        <charset val="134"/>
      </rPr>
      <t>024</t>
    </r>
    <r>
      <rPr>
        <sz val="14"/>
        <color indexed="8"/>
        <rFont val="宋体"/>
        <family val="3"/>
        <charset val="134"/>
      </rPr>
      <t xml:space="preserve">
办公（公共服务设施）</t>
    </r>
    <r>
      <rPr>
        <sz val="14"/>
        <color indexed="8"/>
        <rFont val="宋体"/>
        <family val="3"/>
        <charset val="134"/>
      </rPr>
      <t>4878</t>
    </r>
    <r>
      <rPr>
        <sz val="14"/>
        <color indexed="8"/>
        <rFont val="宋体"/>
        <family val="3"/>
        <charset val="134"/>
      </rPr>
      <t xml:space="preserve">
地下仓储</t>
    </r>
    <r>
      <rPr>
        <sz val="14"/>
        <color indexed="8"/>
        <rFont val="宋体"/>
        <family val="3"/>
        <charset val="134"/>
      </rPr>
      <t>1291</t>
    </r>
    <phoneticPr fontId="3" type="noConversion"/>
  </si>
  <si>
    <r>
      <t>剩余法：
商业（配套）23597</t>
    </r>
    <r>
      <rPr>
        <sz val="14"/>
        <color indexed="8"/>
        <rFont val="宋体"/>
        <family val="3"/>
        <charset val="134"/>
      </rPr>
      <t xml:space="preserve">
办公（公共服务设施）</t>
    </r>
    <r>
      <rPr>
        <sz val="14"/>
        <color indexed="8"/>
        <rFont val="宋体"/>
        <family val="3"/>
        <charset val="134"/>
      </rPr>
      <t>18082</t>
    </r>
    <r>
      <rPr>
        <sz val="14"/>
        <color indexed="8"/>
        <rFont val="宋体"/>
        <family val="3"/>
        <charset val="134"/>
      </rPr>
      <t xml:space="preserve">
地下仓储9835</t>
    </r>
    <phoneticPr fontId="3" type="noConversion"/>
  </si>
  <si>
    <r>
      <t>商业（配套）5</t>
    </r>
    <r>
      <rPr>
        <sz val="14"/>
        <color indexed="8"/>
        <rFont val="宋体"/>
        <family val="3"/>
        <charset val="134"/>
      </rPr>
      <t>899</t>
    </r>
    <r>
      <rPr>
        <sz val="14"/>
        <color indexed="8"/>
        <rFont val="宋体"/>
        <family val="3"/>
        <charset val="134"/>
      </rPr>
      <t xml:space="preserve">
办公（公共服务设施）4521
地下仓储2459</t>
    </r>
    <phoneticPr fontId="3" type="noConversion"/>
  </si>
  <si>
    <r>
      <t>商业（配套）2</t>
    </r>
    <r>
      <rPr>
        <sz val="14"/>
        <color indexed="8"/>
        <rFont val="宋体"/>
        <family val="3"/>
        <charset val="134"/>
      </rPr>
      <t>1847</t>
    </r>
    <r>
      <rPr>
        <sz val="14"/>
        <color indexed="8"/>
        <rFont val="宋体"/>
        <family val="3"/>
        <charset val="134"/>
      </rPr>
      <t xml:space="preserve">
办公（公共服务设施）18797
地下仓储7499</t>
    </r>
    <phoneticPr fontId="3" type="noConversion"/>
  </si>
  <si>
    <r>
      <t>商业（配套）5</t>
    </r>
    <r>
      <rPr>
        <sz val="14"/>
        <color indexed="8"/>
        <rFont val="宋体"/>
        <family val="3"/>
        <charset val="134"/>
      </rPr>
      <t>462</t>
    </r>
    <r>
      <rPr>
        <sz val="14"/>
        <color indexed="8"/>
        <rFont val="宋体"/>
        <family val="3"/>
        <charset val="134"/>
      </rPr>
      <t xml:space="preserve">
办公（公共服务设施）4699
地下仓储1875</t>
    </r>
    <phoneticPr fontId="3" type="noConversion"/>
  </si>
  <si>
    <t>交易编号</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</si>
  <si>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</si>
  <si>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</si>
  <si>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</si>
  <si>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</si>
  <si>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</si>
  <si>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</si>
  <si>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</si>
  <si>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</si>
  <si>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</si>
  <si>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</si>
  <si>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</si>
  <si>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</si>
  <si>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phoneticPr fontId="228" type="noConversion"/>
  </si>
  <si>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28"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</si>
  <si>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</si>
  <si>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</si>
  <si>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</si>
  <si>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</si>
  <si>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</si>
  <si>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</si>
  <si>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28" type="noConversion"/>
  </si>
  <si>
    <t>京土整储挂（海）[2020]001号</t>
  </si>
  <si>
    <t>北京市海淀区“海淀北部地区整体开发”西北旺镇HD00-0403-0061、0050、0031、0040、0046地块二类居住、其他类多功能、医院及机构养老设施用地</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</si>
  <si>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</si>
  <si>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</si>
  <si>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</si>
  <si>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</si>
  <si>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</si>
  <si>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</si>
  <si>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</si>
  <si>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</si>
  <si>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</si>
  <si>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</si>
  <si>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</si>
  <si>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</si>
  <si>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</si>
  <si>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</si>
  <si>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</si>
  <si>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</si>
  <si>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28"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</si>
  <si>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</si>
  <si>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</si>
  <si>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</si>
  <si>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28" type="noConversion"/>
  </si>
  <si>
    <t>北京润置商业运营管理有限公司</t>
  </si>
  <si>
    <t>六通一平</t>
  </si>
  <si>
    <t>VI-01</t>
    <phoneticPr fontId="228"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</si>
  <si>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</si>
  <si>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</si>
  <si>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28" type="noConversion"/>
  </si>
  <si>
    <t>北京实创科技园开发建设股份有限公司</t>
  </si>
  <si>
    <t>VI-02</t>
    <phoneticPr fontId="228" type="noConversion"/>
  </si>
  <si>
    <t>地上住宅</t>
  </si>
  <si>
    <t>地上住宅</t>
    <phoneticPr fontId="3" type="noConversion"/>
  </si>
  <si>
    <t>平层住宅</t>
  </si>
  <si>
    <t>位置</t>
    <phoneticPr fontId="310" type="noConversion"/>
  </si>
  <si>
    <t>用途</t>
    <phoneticPr fontId="310" type="noConversion"/>
  </si>
  <si>
    <t>调整前</t>
    <phoneticPr fontId="310" type="noConversion"/>
  </si>
  <si>
    <t>调整后</t>
    <phoneticPr fontId="310" type="noConversion"/>
  </si>
  <si>
    <t>调整规模</t>
    <phoneticPr fontId="310" type="noConversion"/>
  </si>
  <si>
    <t>地上</t>
    <phoneticPr fontId="310" type="noConversion"/>
  </si>
  <si>
    <t>出让</t>
    <phoneticPr fontId="310" type="noConversion"/>
  </si>
  <si>
    <t>住宅</t>
    <phoneticPr fontId="310" type="noConversion"/>
  </si>
  <si>
    <t>综合</t>
    <phoneticPr fontId="310" type="noConversion"/>
  </si>
  <si>
    <t>——</t>
    <phoneticPr fontId="310" type="noConversion"/>
  </si>
  <si>
    <t>商业</t>
    <phoneticPr fontId="310" type="noConversion"/>
  </si>
  <si>
    <t>办公（公共服务设施）</t>
    <phoneticPr fontId="310" type="noConversion"/>
  </si>
  <si>
    <t>不出让</t>
    <phoneticPr fontId="310" type="noConversion"/>
  </si>
  <si>
    <t>人防</t>
    <phoneticPr fontId="310" type="noConversion"/>
  </si>
  <si>
    <t>小计</t>
    <phoneticPr fontId="310" type="noConversion"/>
  </si>
  <si>
    <t>地下</t>
    <phoneticPr fontId="310" type="noConversion"/>
  </si>
  <si>
    <t>地下办公（公共服务设施）</t>
    <phoneticPr fontId="310" type="noConversion"/>
  </si>
  <si>
    <t>地下商业</t>
    <phoneticPr fontId="310" type="noConversion"/>
  </si>
  <si>
    <t>地下一层</t>
    <phoneticPr fontId="310" type="noConversion"/>
  </si>
  <si>
    <t>S1#、S5#</t>
    <phoneticPr fontId="310" type="noConversion"/>
  </si>
  <si>
    <t>地下二层</t>
    <phoneticPr fontId="310" type="noConversion"/>
  </si>
  <si>
    <t>S5#</t>
    <phoneticPr fontId="310" type="noConversion"/>
  </si>
  <si>
    <t>地下仓储</t>
    <phoneticPr fontId="310" type="noConversion"/>
  </si>
  <si>
    <t>住宅部分</t>
    <phoneticPr fontId="310" type="noConversion"/>
  </si>
  <si>
    <t>商业部分</t>
    <phoneticPr fontId="310" type="noConversion"/>
  </si>
  <si>
    <t>地下车位</t>
    <phoneticPr fontId="310" type="noConversion"/>
  </si>
  <si>
    <t>居住公共服务设施</t>
    <phoneticPr fontId="310" type="noConversion"/>
  </si>
  <si>
    <t>设备用房及其他</t>
    <phoneticPr fontId="310" type="noConversion"/>
  </si>
  <si>
    <t>合计</t>
    <phoneticPr fontId="310" type="noConversion"/>
  </si>
  <si>
    <t>地下一层商业</t>
  </si>
  <si>
    <t>地下一层商业</t>
    <phoneticPr fontId="14" type="noConversion"/>
  </si>
  <si>
    <t>地下二层商业</t>
  </si>
  <si>
    <t>地下二层商业</t>
    <phoneticPr fontId="14" type="noConversion"/>
  </si>
  <si>
    <t>车库—办公</t>
  </si>
  <si>
    <t>地下一层商业</t>
    <phoneticPr fontId="3" type="noConversion"/>
  </si>
  <si>
    <t>地下二层商业</t>
    <phoneticPr fontId="3" type="noConversion"/>
  </si>
  <si>
    <t>仓储</t>
  </si>
  <si>
    <r>
      <rPr>
        <sz val="11"/>
        <color theme="1"/>
        <rFont val="宋体"/>
        <family val="3"/>
        <charset val="134"/>
      </rPr>
      <t>地下仓储</t>
    </r>
    <r>
      <rPr>
        <sz val="11"/>
        <color theme="1"/>
        <rFont val="Arial"/>
        <family val="2"/>
      </rPr>
      <t>-</t>
    </r>
    <r>
      <rPr>
        <sz val="11"/>
        <color theme="1"/>
        <rFont val="宋体"/>
        <family val="3"/>
        <charset val="134"/>
      </rPr>
      <t>住宅</t>
    </r>
    <phoneticPr fontId="14" type="noConversion"/>
  </si>
  <si>
    <r>
      <rPr>
        <sz val="11"/>
        <color theme="1"/>
        <rFont val="宋体"/>
        <family val="3"/>
        <charset val="134"/>
      </rPr>
      <t>地下仓储</t>
    </r>
    <r>
      <rPr>
        <sz val="11"/>
        <color theme="1"/>
        <rFont val="Arial"/>
        <family val="2"/>
      </rPr>
      <t>-</t>
    </r>
    <r>
      <rPr>
        <sz val="11"/>
        <color theme="1"/>
        <rFont val="宋体"/>
        <family val="3"/>
        <charset val="134"/>
      </rPr>
      <t>商业</t>
    </r>
    <phoneticPr fontId="14" type="noConversion"/>
  </si>
  <si>
    <t>地下仓储-住宅</t>
  </si>
  <si>
    <t>地下仓储-住宅</t>
    <phoneticPr fontId="3" type="noConversion"/>
  </si>
  <si>
    <t>地下仓储-商业</t>
  </si>
  <si>
    <t>地下仓储-商业</t>
    <phoneticPr fontId="3" type="noConversion"/>
  </si>
  <si>
    <t>地上住宅</t>
    <phoneticPr fontId="7" type="noConversion"/>
  </si>
  <si>
    <t>地上商业</t>
    <phoneticPr fontId="7" type="noConversion"/>
  </si>
  <si>
    <t>地上办公</t>
    <phoneticPr fontId="7" type="noConversion"/>
  </si>
  <si>
    <t>地下一层商业</t>
    <phoneticPr fontId="7" type="noConversion"/>
  </si>
  <si>
    <t>地下二层商业</t>
    <phoneticPr fontId="7" type="noConversion"/>
  </si>
  <si>
    <t>地下车库</t>
    <phoneticPr fontId="7" type="noConversion"/>
  </si>
  <si>
    <t>地下仓储-住宅</t>
    <phoneticPr fontId="7" type="noConversion"/>
  </si>
  <si>
    <t>地下仓储-商业</t>
    <phoneticPr fontId="7" type="noConversion"/>
  </si>
  <si>
    <t>基准地价住宅</t>
    <phoneticPr fontId="14" type="noConversion"/>
  </si>
  <si>
    <t>剩余法住宅</t>
    <phoneticPr fontId="14" type="noConversion"/>
  </si>
  <si>
    <t>比较法住宅</t>
    <phoneticPr fontId="14" type="noConversion"/>
  </si>
  <si>
    <t>居住用地（指二类居住用地）</t>
  </si>
  <si>
    <t>估价对象容积率</t>
  </si>
  <si>
    <t>有</t>
  </si>
  <si>
    <t>无</t>
  </si>
  <si>
    <t>1000米以外</t>
  </si>
  <si>
    <t>海淀幸福里</t>
    <phoneticPr fontId="228" type="noConversion"/>
  </si>
  <si>
    <t>强佑清河新城</t>
    <phoneticPr fontId="228" type="noConversion"/>
  </si>
  <si>
    <t>橡林郡</t>
    <phoneticPr fontId="228" type="noConversion"/>
  </si>
  <si>
    <t>评估年限</t>
    <phoneticPr fontId="228" type="noConversion"/>
  </si>
  <si>
    <t>住宅配套</t>
  </si>
  <si>
    <t>住宅配套</t>
    <phoneticPr fontId="26" type="noConversion"/>
  </si>
  <si>
    <r>
      <rPr>
        <sz val="11"/>
        <rFont val="宋体"/>
        <family val="2"/>
        <charset val="134"/>
      </rPr>
      <t>城市主干道</t>
    </r>
    <r>
      <rPr>
        <sz val="11"/>
        <rFont val="Arial"/>
        <family val="2"/>
      </rPr>
      <t>-</t>
    </r>
    <r>
      <rPr>
        <sz val="11"/>
        <rFont val="宋体"/>
        <family val="2"/>
        <charset val="134"/>
      </rPr>
      <t>树村路</t>
    </r>
    <phoneticPr fontId="27" type="noConversion"/>
  </si>
  <si>
    <t>住宅配套</t>
    <phoneticPr fontId="27" type="noConversion"/>
  </si>
  <si>
    <t>住宅</t>
    <phoneticPr fontId="21" type="noConversion"/>
  </si>
  <si>
    <t>60-70（含）</t>
  </si>
  <si>
    <t>海淀幸福里</t>
    <phoneticPr fontId="3" type="noConversion"/>
  </si>
  <si>
    <t>西北旺镇</t>
    <phoneticPr fontId="3" type="noConversion"/>
  </si>
  <si>
    <t>中</t>
  </si>
  <si>
    <t>中</t>
    <phoneticPr fontId="21" type="noConversion"/>
  </si>
  <si>
    <t>南北</t>
  </si>
  <si>
    <t>南北</t>
    <phoneticPr fontId="21"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</si>
  <si>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1" type="noConversion"/>
  </si>
  <si>
    <t>低密度</t>
    <phoneticPr fontId="21" type="noConversion"/>
  </si>
  <si>
    <t>多层板楼</t>
  </si>
  <si>
    <t>多层板楼</t>
    <phoneticPr fontId="21" type="noConversion"/>
  </si>
  <si>
    <t>小高层板楼</t>
  </si>
  <si>
    <t>小高层板楼</t>
    <phoneticPr fontId="21" type="noConversion"/>
  </si>
  <si>
    <t>高层板楼</t>
  </si>
  <si>
    <t>高层板楼</t>
    <phoneticPr fontId="21" type="noConversion"/>
  </si>
  <si>
    <t>钢混</t>
    <phoneticPr fontId="21" type="noConversion"/>
  </si>
  <si>
    <t>砖混</t>
    <phoneticPr fontId="21" type="noConversion"/>
  </si>
  <si>
    <t>高</t>
  </si>
  <si>
    <t>高</t>
    <phoneticPr fontId="21" type="noConversion"/>
  </si>
  <si>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</si>
  <si>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</si>
  <si>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</si>
  <si>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</si>
  <si>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</si>
  <si>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</si>
  <si>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普通装修</t>
    <phoneticPr fontId="21" type="noConversion"/>
  </si>
  <si>
    <t>简单装修</t>
    <phoneticPr fontId="21" type="noConversion"/>
  </si>
  <si>
    <t>毛坯</t>
    <phoneticPr fontId="21" type="noConversion"/>
  </si>
  <si>
    <t>上地</t>
    <phoneticPr fontId="3" type="noConversion"/>
  </si>
  <si>
    <t>50-60（含）</t>
  </si>
  <si>
    <r>
      <rPr>
        <sz val="11"/>
        <color indexed="8"/>
        <rFont val="宋体"/>
        <family val="3"/>
        <charset val="134"/>
      </rPr>
      <t>城市主干道</t>
    </r>
    <r>
      <rPr>
        <sz val="11"/>
        <color indexed="8"/>
        <rFont val="Arial"/>
        <family val="2"/>
      </rPr>
      <t>-</t>
    </r>
    <r>
      <rPr>
        <sz val="11"/>
        <color indexed="8"/>
        <rFont val="宋体"/>
        <family val="3"/>
        <charset val="134"/>
      </rPr>
      <t>树村路</t>
    </r>
    <phoneticPr fontId="21"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</si>
  <si>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</si>
  <si>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</si>
  <si>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1" type="noConversion"/>
  </si>
  <si>
    <t>用地单位</t>
  </si>
  <si>
    <t>地上
容积率</t>
  </si>
  <si>
    <t>第二种方法评估结果
(元/平方米)</t>
  </si>
  <si>
    <t>审定日期</t>
    <phoneticPr fontId="228" type="noConversion"/>
  </si>
  <si>
    <t>人民日报社小红门职工住宅项目</t>
    <phoneticPr fontId="3" type="noConversion"/>
  </si>
  <si>
    <t>朝阳区小红门乡</t>
    <phoneticPr fontId="3" type="noConversion"/>
  </si>
  <si>
    <t>人民日报社</t>
    <phoneticPr fontId="3" type="noConversion"/>
  </si>
  <si>
    <t>大地盛业</t>
  </si>
  <si>
    <t xml:space="preserve">商业（配套）
办公（公共服务设施）
地下办公（公共服务设施）
地下仓储
</t>
    <phoneticPr fontId="3" type="noConversion"/>
  </si>
  <si>
    <t>10191.99
（地上建筑面积217.92，其中商业（配套）61.02，办公（公共服务设施）156.9，地下建筑面积9974.07，其中地下办公（公共服务设施）65.85，地下仓储9908.22）</t>
  </si>
  <si>
    <t>商业Ⅴ-19
办公Ⅴ-19
居住Ⅴ-17</t>
    <phoneticPr fontId="3" type="noConversion"/>
  </si>
  <si>
    <t>商业12020
办公11990
居住11970</t>
  </si>
  <si>
    <t>商业10420-15620
办公10310-15470
居住10250-15370</t>
  </si>
  <si>
    <t xml:space="preserve">30%
商业（配套）16176
办公（公共服务设施）16239
地下办公（公共服务设施）4211
地下仓储5215
</t>
  </si>
  <si>
    <t xml:space="preserve">商业（配套）4044
办公（公共服务设施）4060
地下办公（公共服务设施）1053
地下仓储1304
</t>
  </si>
  <si>
    <t xml:space="preserve">70%剩余法：
商业（配套）22063
办公（公共服务设施）19541
地下办公（公共服务设施）4885
地下仓储6836
</t>
  </si>
  <si>
    <t xml:space="preserve">商业（配套）5516
办公（公共服务设施）4885
地下办公（公共服务设施）1221
地下仓储1709
</t>
  </si>
  <si>
    <t xml:space="preserve">商业（配套）20297
办公（公共服务设施）18550
地下办公（公共服务设施）4683
地下仓储6350
</t>
    <phoneticPr fontId="3" type="noConversion"/>
  </si>
  <si>
    <t xml:space="preserve">商业（配套）5074
办公（公共服务设施）4638
地下办公（公共服务设施）1171
地下仓储1588
</t>
    <phoneticPr fontId="3" type="noConversion"/>
  </si>
  <si>
    <t>关于人民日报社小红门职工住宅项目“多规合一”协同平台综合会商意见的函-京规自综审函[2019]0019号；关于人民日报社小红门职工住宅项目土地开发成本有关问题的函-朝政函字[2020]327号</t>
  </si>
  <si>
    <t>商业（配套）20297
办公（公共服务设施）18550
地下办公（公共服务设施）4683
地下仓储6350
政府土地收益：
商业（配套）5074
办公（公共服务设施）4638
地下办公（公共服务设施）1171
地下仓储1588</t>
  </si>
  <si>
    <t>保障房配套（分局委托）</t>
  </si>
  <si>
    <t>居住2.5
商业2.5
办公2.5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</si>
  <si>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</si>
  <si>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</si>
  <si>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</si>
  <si>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</si>
  <si>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</si>
  <si>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</si>
  <si>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</si>
  <si>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</si>
  <si>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</si>
  <si>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</si>
  <si>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</si>
  <si>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</si>
  <si>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</si>
  <si>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</si>
  <si>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海淀区海淀乡树村（27-604地块）六郎庄拆迁安置房北地块经营性配套部分</t>
    <phoneticPr fontId="3" type="noConversion"/>
  </si>
  <si>
    <t>海淀区海淀乡树村（27-604地块）六郎庄拆迁安置房北地块</t>
    <phoneticPr fontId="3" type="noConversion"/>
  </si>
  <si>
    <t>北京万柳置业集团有限公司</t>
    <phoneticPr fontId="3" type="noConversion"/>
  </si>
  <si>
    <t>商业（配套）
办公（公共服务设施
地下商业（配套）
地下办公（公共服务设施）
地下车库
地下仓储</t>
    <phoneticPr fontId="3" type="noConversion"/>
  </si>
  <si>
    <t>居住Ⅴ-04
商业Ⅴ-05
办公Ⅴ-05</t>
    <phoneticPr fontId="3" type="noConversion"/>
  </si>
  <si>
    <t>商业（配套）20140
办公（公共服务设施）19207
地下商业（配套）13711
地下办公（公共服务设施）4687
地下车库6180
地下仓储7725</t>
    <phoneticPr fontId="3" type="noConversion"/>
  </si>
  <si>
    <t>商业（配套）5035
办公（公共服务设施）4802
地下商业（配套）3428
地下办公（公共服务设施）1172
地下车库1545
地下仓储1931</t>
    <phoneticPr fontId="3" type="noConversion"/>
  </si>
  <si>
    <t>海淀区海淀乡树村（27-605地块）六郎庄拆迁安置房南地块经营性配套部分</t>
    <phoneticPr fontId="3" type="noConversion"/>
  </si>
  <si>
    <t>海淀区海淀乡树村（27-605地块）六郎庄拆迁安置房南地块</t>
    <phoneticPr fontId="3" type="noConversion"/>
  </si>
  <si>
    <t>办公（公共服务设施）
地下车库
地下仓储</t>
    <phoneticPr fontId="3" type="noConversion"/>
  </si>
  <si>
    <t>办公（公共服务设施）19239
地下车库6180
地下仓储7725</t>
    <phoneticPr fontId="3" type="noConversion"/>
  </si>
  <si>
    <t>办公（公共服务设施）4810
地下车库1545
地下仓储1931</t>
    <phoneticPr fontId="3" type="noConversion"/>
  </si>
  <si>
    <t>朝阳区将台乡</t>
  </si>
  <si>
    <t>政府批准</t>
    <phoneticPr fontId="3" type="noConversion"/>
  </si>
  <si>
    <t>绿隔产业（商业）
绿隔产业（办公）
绿隔产业（地下商业）
绿隔产业（地下车库）
绿隔产业（地下仓储）</t>
  </si>
  <si>
    <t>366223.51（绿隔产业（商业）83868.33、绿隔产业（办公）282355.18）</t>
  </si>
  <si>
    <t>477797.55（绿隔产业（地下商业）33718.49、绿隔产业（地下车库）75988.03、绿隔产业（地下仓储）1867.52）</t>
  </si>
  <si>
    <t>商业2.5
办公2.4</t>
  </si>
  <si>
    <t>商业Ⅳ-18
办公Ⅳ-17</t>
  </si>
  <si>
    <t>商业14720
办公14660</t>
  </si>
  <si>
    <t>商业
13330-19990
办公
13160-19740</t>
  </si>
  <si>
    <t>绿隔产业（商业）17920
绿隔产业（办公）17868
绿隔产业（地下商业）15046
绿隔产业（地下车库）4293
绿隔产业（地下仓储）5367</t>
  </si>
  <si>
    <t>绿隔产业（商业）4480
绿隔产业（办公）4467
绿隔产业（地下商业）3762
绿隔产业（地下车库）1073
绿隔产业（地下仓储）1342</t>
  </si>
  <si>
    <t>剩余法：
绿隔产业（商业）18283
绿隔产业（办公）18053
绿隔产业（地下商业）12798
绿隔产业（地下车库）3611
绿隔产业（地下仓储）4513</t>
  </si>
  <si>
    <t>绿隔产业（商业）4571
绿隔产业（办公）4513
绿隔产业（地下商业）3200
绿隔产业（地下车库）903
绿隔产业（地下仓储）1128</t>
  </si>
  <si>
    <t>绿隔产业（商业）18102
绿隔产业（办公）17961
绿隔产业（地下商业）13922
绿隔产业（地下车库）3952
绿隔产业（地下仓储）4940</t>
    <phoneticPr fontId="3" type="noConversion"/>
  </si>
  <si>
    <t>绿隔产业（商业）4526
绿隔产业（办公）4490
绿隔产业（地下商业）3481
绿隔产业（地下车库）988
绿隔产业（地下仓储）1235</t>
    <phoneticPr fontId="3" type="noConversion"/>
  </si>
  <si>
    <t>绿隔产业（商业）18102
绿隔产业（办公）17961
绿隔产业（地下商业）13922
绿隔产业（地下车库）3952
绿隔产业（地下仓储）4940
政府土地收益：
绿隔产业（商业）4526
绿隔产业（办公）4490
绿隔产业（地下商业）3481
绿隔产业（地下车库）988
绿隔产业（地下仓储）1235</t>
    <phoneticPr fontId="3" type="noConversion"/>
  </si>
  <si>
    <t>海淀区树村</t>
    <phoneticPr fontId="26" type="noConversion"/>
  </si>
  <si>
    <t>朝阳区小红门</t>
    <phoneticPr fontId="26" type="noConversion"/>
  </si>
  <si>
    <r>
      <rPr>
        <sz val="11"/>
        <color theme="9" tint="-0.249977111117893"/>
        <rFont val="宋体"/>
        <family val="3"/>
        <charset val="134"/>
      </rPr>
      <t>朝阳区将台乡</t>
    </r>
    <r>
      <rPr>
        <sz val="11"/>
        <color theme="9" tint="-0.249977111117893"/>
        <rFont val="Arial"/>
        <family val="2"/>
      </rPr>
      <t xml:space="preserve"> </t>
    </r>
    <phoneticPr fontId="26" type="noConversion"/>
  </si>
  <si>
    <t>商业</t>
    <phoneticPr fontId="26" type="noConversion"/>
  </si>
  <si>
    <t>商业（绿隔产业）</t>
  </si>
  <si>
    <t>商业（绿隔产业）</t>
    <phoneticPr fontId="26" type="noConversion"/>
  </si>
  <si>
    <t>42645.2
（地上办公（公共服务设施）259.4，地下建筑面积42385.8，其中地下车库17289.4，地下仓储19157.76，自行车库4039.27，设备用房1899.37）</t>
    <phoneticPr fontId="228" type="noConversion"/>
  </si>
  <si>
    <t>14849.34（分摊）</t>
    <phoneticPr fontId="228" type="noConversion"/>
  </si>
  <si>
    <t>11822（分摊）</t>
    <phoneticPr fontId="228" type="noConversion"/>
  </si>
  <si>
    <t>2118.156（分摊）</t>
    <phoneticPr fontId="228" type="noConversion"/>
  </si>
  <si>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phoneticPr fontId="228" type="noConversion"/>
  </si>
  <si>
    <t>办公（公共服务设施）19239
地下车库6180
地下仓储7725
政府土地收益：
办公（公共服务设施）4810
地下车库1545
地下仓储1931</t>
    <phoneticPr fontId="228" type="noConversion"/>
  </si>
  <si>
    <t>商业（配套）20297
办公（公共服务设施）18550
地下办公（公共服务设施）4683
地下仓储6350
政府土地收益：
商业（配套）5074
办公（公共服务设施）4638
地下办公（公共服务设施）1171
地下仓储1588</t>
    <phoneticPr fontId="228" type="noConversion"/>
  </si>
  <si>
    <t>地上住宅（剩余年限）</t>
    <phoneticPr fontId="228" type="noConversion"/>
  </si>
  <si>
    <t>地上商业（剩余年限）</t>
    <phoneticPr fontId="228" type="noConversion"/>
  </si>
  <si>
    <t>地下商业（-1）（剩余年限）</t>
    <phoneticPr fontId="228" type="noConversion"/>
  </si>
  <si>
    <t>地下商业（-2）（剩余年限）</t>
    <phoneticPr fontId="228" type="noConversion"/>
  </si>
  <si>
    <t>地下仓储-住宅（剩余年限）</t>
    <phoneticPr fontId="228" type="noConversion"/>
  </si>
  <si>
    <t>地下仓储-商业（剩余年限）</t>
    <phoneticPr fontId="228" type="noConversion"/>
  </si>
  <si>
    <t>地下车库（剩余年限）</t>
    <phoneticPr fontId="228" type="noConversion"/>
  </si>
  <si>
    <t>地下办公（剩余年限）</t>
    <phoneticPr fontId="228" type="noConversion"/>
  </si>
  <si>
    <t>地上办公（满年限）</t>
    <phoneticPr fontId="228" type="noConversion"/>
  </si>
  <si>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宋体"/>
        <family val="2"/>
        <charset val="134"/>
      </rPr>
      <t>办公</t>
    </r>
    <r>
      <rPr>
        <sz val="11"/>
        <color theme="1"/>
        <rFont val="宋体"/>
        <family val="2"/>
        <charset val="134"/>
      </rPr>
      <t>剩余年限</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</si>
  <si>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办公剩余年限</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</si>
  <si>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办公剩余年限</t>
    </r>
    <phoneticPr fontId="14" type="noConversion"/>
  </si>
  <si>
    <t>已出让部分</t>
    <phoneticPr fontId="310" type="noConversion"/>
  </si>
  <si>
    <t>拟出让部分</t>
    <phoneticPr fontId="310" type="noConversion"/>
  </si>
  <si>
    <t>拟调整部分</t>
    <phoneticPr fontId="310" type="noConversion"/>
  </si>
  <si>
    <t>34275.97
（地上建筑面积3565，其中商业（配套）1719.41，办公（公共服务设施）1645.59，地下建筑面积30911，其中地下商业（配套）2830.59，地下办公（公共服务设施）1201.86，地下车库8161.6，地下仓储16729.38，自行车库1032.98，设备用房954.56）</t>
    <phoneticPr fontId="228" type="noConversion"/>
  </si>
  <si>
    <t>朝阳区将台乡颐堤港二期绿隔产业用地（地块1、地块2）</t>
    <phoneticPr fontId="228" type="noConversion"/>
  </si>
  <si>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</si>
  <si>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</si>
  <si>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（公共服务设施）</t>
  </si>
  <si>
    <t>地下办公</t>
  </si>
  <si>
    <t>地下商业</t>
  </si>
  <si>
    <t>（地下一层）</t>
  </si>
  <si>
    <t>政府土地出让收益楼面单价</t>
  </si>
  <si>
    <t>政府土地出让收益总价</t>
  </si>
  <si>
    <t>——</t>
    <phoneticPr fontId="228" type="noConversion"/>
  </si>
  <si>
    <t>需补缴地价总价</t>
    <phoneticPr fontId="228" type="noConversion"/>
  </si>
  <si>
    <t>地下仓储</t>
    <phoneticPr fontId="228" type="noConversion"/>
  </si>
  <si>
    <t>地下商业汇总</t>
    <phoneticPr fontId="228" type="noConversion"/>
  </si>
</sst>
</file>

<file path=xl/styles.xml><?xml version="1.0" encoding="utf-8"?>
<styleSheet xmlns="http://schemas.openxmlformats.org/spreadsheetml/2006/main">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2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2"/>
      <charset val="134"/>
    </font>
    <font>
      <sz val="11"/>
      <color theme="1"/>
      <name val="Arial"/>
      <family val="2"/>
      <charset val="134"/>
    </font>
    <font>
      <sz val="11"/>
      <color theme="9" tint="-0.249977111117893"/>
      <name val="宋体"/>
      <family val="3"/>
      <charset val="134"/>
    </font>
    <font>
      <sz val="9"/>
      <color theme="9" tint="-0.249977111117893"/>
      <name val="宋体"/>
      <family val="3"/>
      <charset val="134"/>
    </font>
    <font>
      <sz val="9"/>
      <color theme="9" tint="-0.249977111117893"/>
      <name val="仿宋_GB2312"/>
      <family val="3"/>
      <charset val="134"/>
    </font>
    <font>
      <sz val="11"/>
      <color rgb="FF000000"/>
      <name val="宋体"/>
      <family val="2"/>
      <charset val="134"/>
    </font>
    <font>
      <sz val="11"/>
      <color theme="9" tint="-0.249977111117893"/>
      <name val="Arial"/>
      <family val="3"/>
    </font>
    <font>
      <sz val="11"/>
      <color theme="9" tint="-0.249977111117893"/>
      <name val="Arial"/>
      <family val="3"/>
      <charset val="134"/>
    </font>
    <font>
      <sz val="11"/>
      <color theme="9" tint="-0.249977111117893"/>
      <name val="Microsoft YaHei UI"/>
      <family val="3"/>
      <charset val="134"/>
    </font>
    <font>
      <sz val="11"/>
      <name val="宋体"/>
      <family val="2"/>
      <charset val="134"/>
    </font>
    <font>
      <sz val="11"/>
      <name val="Arial"/>
      <family val="2"/>
      <charset val="134"/>
    </font>
    <font>
      <u/>
      <sz val="11"/>
      <color theme="10"/>
      <name val="宋体"/>
      <family val="3"/>
      <charset val="134"/>
      <scheme val="minor"/>
    </font>
    <font>
      <sz val="11"/>
      <name val="微软雅黑"/>
      <family val="2"/>
      <charset val="134"/>
    </font>
    <font>
      <b/>
      <sz val="12"/>
      <color theme="1"/>
      <name val="Adobe 黑体 Std R"/>
      <charset val="134"/>
    </font>
    <font>
      <b/>
      <sz val="14"/>
      <color theme="1"/>
      <name val="Wingdings 2"/>
      <family val="1"/>
      <charset val="2"/>
    </font>
    <font>
      <b/>
      <sz val="14"/>
      <color indexed="8"/>
      <name val="Wingdings 2"/>
      <family val="1"/>
      <charset val="2"/>
    </font>
    <font>
      <b/>
      <sz val="14"/>
      <color indexed="8"/>
      <name val="宋体"/>
      <family val="3"/>
      <charset val="134"/>
    </font>
    <font>
      <b/>
      <sz val="18"/>
      <color indexed="8"/>
      <name val="宋体"/>
      <family val="3"/>
      <charset val="134"/>
    </font>
    <font>
      <sz val="14"/>
      <color indexed="8"/>
      <name val="宋体"/>
      <family val="3"/>
      <charset val="134"/>
    </font>
    <font>
      <sz val="15"/>
      <color indexed="8"/>
      <name val="宋体"/>
      <family val="3"/>
      <charset val="134"/>
    </font>
    <font>
      <sz val="15"/>
      <name val="宋体"/>
      <family val="3"/>
      <charset val="134"/>
    </font>
    <font>
      <sz val="14"/>
      <name val="宋体"/>
      <family val="3"/>
      <charset val="134"/>
    </font>
    <font>
      <b/>
      <sz val="14"/>
      <name val="宋体"/>
      <family val="3"/>
      <charset val="134"/>
    </font>
    <font>
      <b/>
      <sz val="14"/>
      <color indexed="12"/>
      <name val="宋体"/>
      <family val="3"/>
      <charset val="134"/>
    </font>
    <font>
      <b/>
      <sz val="16"/>
      <color indexed="8"/>
      <name val="宋体"/>
      <family val="3"/>
      <charset val="134"/>
    </font>
    <font>
      <sz val="14"/>
      <color theme="1"/>
      <name val="宋体"/>
      <family val="3"/>
      <charset val="134"/>
    </font>
    <font>
      <sz val="10"/>
      <color rgb="FF666666"/>
      <name val="Tahoma"/>
      <family val="2"/>
    </font>
    <font>
      <sz val="10"/>
      <color rgb="FF666666"/>
      <name val="宋体"/>
      <family val="3"/>
      <charset val="134"/>
    </font>
    <font>
      <sz val="10"/>
      <color rgb="FF337AB7"/>
      <name val="Tahoma"/>
      <family val="2"/>
    </font>
    <font>
      <sz val="11"/>
      <color theme="1"/>
      <name val="仿宋"/>
      <family val="3"/>
      <charset val="134"/>
    </font>
    <font>
      <sz val="9"/>
      <name val="宋体"/>
      <family val="2"/>
      <charset val="134"/>
      <scheme val="minor"/>
    </font>
    <font>
      <b/>
      <sz val="11"/>
      <color theme="1"/>
      <name val="仿宋"/>
      <family val="3"/>
      <charset val="134"/>
    </font>
    <font>
      <b/>
      <sz val="17"/>
      <color indexed="8"/>
      <name val="宋体"/>
      <family val="3"/>
      <charset val="134"/>
    </font>
    <font>
      <b/>
      <sz val="17"/>
      <name val="宋体"/>
      <family val="3"/>
      <charset val="134"/>
    </font>
    <font>
      <sz val="17"/>
      <color indexed="8"/>
      <name val="宋体"/>
      <family val="3"/>
      <charset val="134"/>
    </font>
    <font>
      <sz val="17"/>
      <name val="宋体"/>
      <family val="3"/>
      <charset val="134"/>
    </font>
    <font>
      <sz val="16"/>
      <color indexed="8"/>
      <name val="宋体"/>
      <family val="3"/>
      <charset val="134"/>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FC000"/>
        <bgColor indexed="64"/>
      </patternFill>
    </fill>
    <fill>
      <patternFill patternType="solid">
        <fgColor rgb="FFF5F5F5"/>
        <bgColor indexed="64"/>
      </patternFill>
    </fill>
    <fill>
      <patternFill patternType="solid">
        <fgColor rgb="FFF2F2F2"/>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right style="medium">
        <color rgb="FF000000"/>
      </right>
      <top style="medium">
        <color indexed="64"/>
      </top>
      <bottom style="medium">
        <color indexed="64"/>
      </bottom>
      <diagonal/>
    </border>
  </borders>
  <cellStyleXfs count="24">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91" fillId="0" borderId="0" applyNumberFormat="0" applyFill="0" applyBorder="0" applyAlignment="0" applyProtection="0">
      <alignment vertical="center"/>
    </xf>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cellStyleXfs>
  <cellXfs count="38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81" fillId="0" borderId="2" xfId="0" applyFont="1" applyBorder="1" applyAlignment="1" applyProtection="1">
      <alignment horizontal="center" vertical="center"/>
      <protection locked="0"/>
    </xf>
    <xf numFmtId="0" fontId="280" fillId="0" borderId="2" xfId="0" applyFont="1" applyBorder="1" applyAlignment="1" applyProtection="1">
      <alignment horizontal="center" vertical="center"/>
      <protection locked="0"/>
    </xf>
    <xf numFmtId="0" fontId="259" fillId="0" borderId="2" xfId="0" applyFont="1" applyBorder="1" applyAlignment="1" applyProtection="1">
      <alignment horizontal="center" vertical="center" wrapText="1"/>
      <protection locked="0"/>
    </xf>
    <xf numFmtId="43" fontId="148" fillId="0" borderId="2" xfId="1" applyNumberFormat="1" applyFont="1" applyBorder="1" applyAlignment="1" applyProtection="1">
      <alignment horizontal="center" vertical="center" wrapText="1"/>
      <protection locked="0"/>
    </xf>
    <xf numFmtId="43" fontId="163" fillId="0" borderId="2" xfId="1" applyNumberFormat="1" applyFont="1" applyBorder="1" applyAlignment="1" applyProtection="1">
      <alignment horizontal="center" vertical="center" wrapText="1"/>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43" fontId="76" fillId="0" borderId="9" xfId="0" applyNumberFormat="1" applyFont="1" applyFill="1" applyBorder="1" applyProtection="1">
      <alignment vertical="center"/>
      <protection locked="0"/>
    </xf>
    <xf numFmtId="43" fontId="76" fillId="0" borderId="12" xfId="0" applyNumberFormat="1" applyFont="1" applyFill="1" applyBorder="1" applyProtection="1">
      <alignment vertical="center"/>
      <protection locked="0"/>
    </xf>
    <xf numFmtId="43" fontId="71" fillId="0" borderId="25" xfId="0" applyNumberFormat="1" applyFont="1" applyFill="1" applyBorder="1" applyProtection="1">
      <alignment vertical="center"/>
      <protection locked="0"/>
    </xf>
    <xf numFmtId="178" fontId="285" fillId="0" borderId="2" xfId="2" applyNumberFormat="1" applyFont="1" applyFill="1" applyBorder="1" applyAlignment="1" applyProtection="1">
      <alignment vertical="center"/>
      <protection locked="0"/>
    </xf>
    <xf numFmtId="49" fontId="287" fillId="0" borderId="12" xfId="0" applyNumberFormat="1" applyFont="1" applyFill="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0" fontId="287" fillId="0" borderId="12" xfId="0" applyFont="1" applyBorder="1" applyAlignment="1" applyProtection="1">
      <alignment horizontal="left" vertical="center" wrapText="1"/>
      <protection locked="0"/>
    </xf>
    <xf numFmtId="49" fontId="282" fillId="0" borderId="12" xfId="0" applyNumberFormat="1" applyFont="1" applyFill="1" applyBorder="1" applyAlignment="1" applyProtection="1">
      <alignment horizontal="left" vertical="center" wrapText="1"/>
      <protection locked="0"/>
    </xf>
    <xf numFmtId="43" fontId="40" fillId="0" borderId="2" xfId="3" applyNumberFormat="1" applyFont="1" applyBorder="1" applyAlignment="1" applyProtection="1">
      <alignment vertical="center" wrapText="1"/>
      <protection locked="0"/>
    </xf>
    <xf numFmtId="43" fontId="86" fillId="0" borderId="2" xfId="3" applyNumberFormat="1" applyFont="1" applyBorder="1" applyAlignment="1" applyProtection="1">
      <alignment vertical="center" wrapText="1"/>
      <protection locked="0"/>
    </xf>
    <xf numFmtId="0" fontId="285" fillId="0" borderId="59" xfId="0" applyNumberFormat="1" applyFont="1" applyFill="1" applyBorder="1" applyAlignment="1" applyProtection="1">
      <alignment horizontal="center" vertical="center" wrapText="1"/>
      <protection locked="0"/>
    </xf>
    <xf numFmtId="0" fontId="290" fillId="0" borderId="8" xfId="0" applyNumberFormat="1" applyFont="1" applyFill="1" applyBorder="1" applyAlignment="1" applyProtection="1">
      <alignment horizontal="center" vertical="center" wrapText="1"/>
      <protection locked="0"/>
    </xf>
    <xf numFmtId="0" fontId="291" fillId="0" borderId="0" xfId="16">
      <alignment vertical="center"/>
    </xf>
    <xf numFmtId="49" fontId="289" fillId="0" borderId="53" xfId="0" applyNumberFormat="1" applyFont="1" applyFill="1" applyBorder="1" applyAlignment="1" applyProtection="1">
      <alignment horizontal="center" vertical="center" wrapText="1"/>
      <protection locked="0"/>
    </xf>
    <xf numFmtId="49" fontId="289" fillId="0" borderId="24" xfId="0" applyNumberFormat="1" applyFont="1" applyFill="1" applyBorder="1" applyAlignment="1" applyProtection="1">
      <alignment horizontal="center" vertical="center" wrapText="1"/>
      <protection locked="0"/>
    </xf>
    <xf numFmtId="49" fontId="290" fillId="0" borderId="22" xfId="0" applyNumberFormat="1" applyFont="1" applyFill="1" applyBorder="1" applyAlignment="1" applyProtection="1">
      <alignment horizontal="center" vertical="center" wrapText="1"/>
      <protection locked="0"/>
    </xf>
    <xf numFmtId="49" fontId="289" fillId="0" borderId="22" xfId="0" applyNumberFormat="1" applyFont="1" applyFill="1" applyBorder="1" applyAlignment="1" applyProtection="1">
      <alignment horizontal="center" vertical="center" wrapText="1"/>
      <protection locked="0"/>
    </xf>
    <xf numFmtId="49" fontId="290" fillId="0" borderId="24" xfId="0" applyNumberFormat="1" applyFont="1" applyFill="1" applyBorder="1" applyAlignment="1" applyProtection="1">
      <alignment horizontal="center" vertical="center" wrapText="1"/>
      <protection locked="0"/>
    </xf>
    <xf numFmtId="0" fontId="290" fillId="0" borderId="64" xfId="0" applyNumberFormat="1" applyFont="1" applyFill="1" applyBorder="1" applyAlignment="1" applyProtection="1">
      <alignment horizontal="center" vertical="center" wrapText="1"/>
      <protection locked="0"/>
    </xf>
    <xf numFmtId="49" fontId="289" fillId="0" borderId="58" xfId="0" applyNumberFormat="1" applyFont="1" applyFill="1" applyBorder="1" applyAlignment="1" applyProtection="1">
      <alignment horizontal="center" vertical="center" wrapText="1"/>
      <protection locked="0"/>
    </xf>
    <xf numFmtId="49" fontId="290" fillId="0" borderId="18" xfId="0" applyNumberFormat="1" applyFont="1" applyFill="1" applyBorder="1" applyAlignment="1" applyProtection="1">
      <alignment horizontal="center" vertical="center" wrapText="1"/>
      <protection locked="0"/>
    </xf>
    <xf numFmtId="49" fontId="290" fillId="0" borderId="32" xfId="0" applyNumberFormat="1" applyFont="1" applyFill="1" applyBorder="1" applyAlignment="1" applyProtection="1">
      <alignment horizontal="center" vertical="center" wrapText="1"/>
      <protection locked="0"/>
    </xf>
    <xf numFmtId="49" fontId="289" fillId="0" borderId="18"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289" fillId="0" borderId="6" xfId="0" applyNumberFormat="1" applyFont="1" applyFill="1" applyBorder="1" applyAlignment="1" applyProtection="1">
      <alignment horizontal="center" vertical="center" wrapText="1"/>
      <protection locked="0"/>
    </xf>
    <xf numFmtId="0" fontId="289" fillId="0" borderId="74" xfId="0" applyNumberFormat="1" applyFont="1" applyFill="1" applyBorder="1" applyAlignment="1" applyProtection="1">
      <alignment horizontal="center" vertical="center" wrapText="1"/>
      <protection locked="0"/>
    </xf>
    <xf numFmtId="58" fontId="71" fillId="0" borderId="74" xfId="0" applyNumberFormat="1" applyFont="1" applyFill="1" applyBorder="1" applyAlignment="1" applyProtection="1">
      <alignment horizontal="center" vertical="center" wrapText="1"/>
      <protection locked="0"/>
    </xf>
    <xf numFmtId="43" fontId="71" fillId="0" borderId="64" xfId="0" applyNumberFormat="1" applyFont="1" applyFill="1" applyBorder="1" applyAlignment="1" applyProtection="1">
      <alignment horizontal="center" vertical="center" wrapText="1"/>
      <protection locked="0"/>
    </xf>
    <xf numFmtId="0" fontId="285" fillId="0" borderId="12"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89" fillId="0" borderId="8" xfId="0" applyNumberFormat="1" applyFont="1" applyFill="1" applyBorder="1" applyAlignment="1" applyProtection="1">
      <alignment horizontal="center" vertical="center" wrapText="1"/>
      <protection locked="0"/>
    </xf>
    <xf numFmtId="0" fontId="285" fillId="0" borderId="50" xfId="0" applyNumberFormat="1" applyFont="1" applyFill="1" applyBorder="1" applyAlignment="1" applyProtection="1">
      <alignment horizontal="center" vertical="center" wrapText="1"/>
      <protection locked="0"/>
    </xf>
    <xf numFmtId="0" fontId="289" fillId="2" borderId="9" xfId="0" applyFont="1" applyFill="1" applyBorder="1" applyAlignment="1" applyProtection="1">
      <alignment horizontal="center" vertical="center" wrapText="1"/>
      <protection locked="0"/>
    </xf>
    <xf numFmtId="0" fontId="289" fillId="2" borderId="11" xfId="0" applyFont="1" applyFill="1" applyBorder="1" applyAlignment="1" applyProtection="1">
      <alignment horizontal="center" vertical="center" wrapText="1"/>
      <protection locked="0"/>
    </xf>
    <xf numFmtId="49" fontId="292" fillId="2" borderId="20" xfId="0" applyNumberFormat="1" applyFont="1" applyFill="1" applyBorder="1" applyAlignment="1" applyProtection="1">
      <alignment horizontal="center" vertical="center" wrapText="1"/>
      <protection locked="0"/>
    </xf>
    <xf numFmtId="0" fontId="293" fillId="6" borderId="2" xfId="0" applyFont="1" applyFill="1" applyBorder="1" applyAlignment="1">
      <alignment horizontal="center" vertical="center" wrapText="1"/>
    </xf>
    <xf numFmtId="0" fontId="144" fillId="0" borderId="64" xfId="0" applyNumberFormat="1" applyFont="1" applyFill="1" applyBorder="1" applyAlignment="1" applyProtection="1">
      <alignment horizontal="center" vertical="center" wrapText="1"/>
      <protection locked="0"/>
    </xf>
    <xf numFmtId="0" fontId="294" fillId="0" borderId="0" xfId="0" applyFont="1">
      <alignment vertical="center"/>
    </xf>
    <xf numFmtId="0" fontId="0" fillId="0" borderId="66" xfId="0" applyBorder="1" applyAlignment="1">
      <alignment vertical="center" wrapText="1"/>
    </xf>
    <xf numFmtId="0" fontId="145" fillId="6" borderId="2" xfId="0" applyFont="1" applyFill="1" applyBorder="1" applyAlignment="1">
      <alignment horizontal="center" vertical="center" wrapText="1"/>
    </xf>
    <xf numFmtId="0" fontId="0" fillId="6" borderId="2" xfId="0" applyFill="1" applyBorder="1" applyAlignment="1">
      <alignment horizontal="center" vertical="center" wrapText="1"/>
    </xf>
    <xf numFmtId="0" fontId="145" fillId="20" borderId="2" xfId="0" applyFont="1" applyFill="1" applyBorder="1" applyAlignment="1">
      <alignment horizontal="center" vertical="center" wrapText="1"/>
    </xf>
    <xf numFmtId="0" fontId="0" fillId="20" borderId="2" xfId="0" applyFill="1" applyBorder="1" applyAlignment="1">
      <alignment horizontal="center" vertical="center" wrapText="1"/>
    </xf>
    <xf numFmtId="0" fontId="71" fillId="5" borderId="2" xfId="0" applyFont="1" applyFill="1" applyBorder="1" applyAlignment="1" applyProtection="1">
      <alignment horizontal="center" vertical="center"/>
    </xf>
    <xf numFmtId="0" fontId="0" fillId="20" borderId="2" xfId="0" applyFill="1" applyBorder="1" applyAlignment="1">
      <alignment horizontal="center" vertical="center" wrapText="1"/>
    </xf>
    <xf numFmtId="0" fontId="0" fillId="6" borderId="2" xfId="0" applyFill="1" applyBorder="1" applyAlignment="1">
      <alignment horizontal="center" vertical="center" wrapText="1"/>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20" borderId="2" xfId="0" applyFill="1" applyBorder="1" applyAlignment="1">
      <alignment horizontal="center" vertical="center"/>
    </xf>
    <xf numFmtId="0" fontId="297" fillId="0" borderId="0" xfId="18" applyFont="1" applyFill="1" applyBorder="1" applyAlignment="1">
      <alignment horizontal="center" vertical="center" wrapText="1"/>
    </xf>
    <xf numFmtId="0" fontId="296" fillId="0" borderId="2" xfId="18" applyFont="1" applyFill="1" applyBorder="1" applyAlignment="1">
      <alignment horizontal="center" vertical="center" wrapText="1"/>
    </xf>
    <xf numFmtId="17" fontId="299" fillId="0" borderId="0" xfId="18" applyNumberFormat="1" applyFont="1" applyFill="1" applyBorder="1" applyAlignment="1">
      <alignment horizontal="center" vertical="center" wrapText="1"/>
    </xf>
    <xf numFmtId="0" fontId="299" fillId="0" borderId="0" xfId="18" applyFont="1" applyFill="1" applyBorder="1" applyAlignment="1">
      <alignment horizontal="center" vertical="center" wrapText="1"/>
    </xf>
    <xf numFmtId="17" fontId="298" fillId="0" borderId="0" xfId="18" applyNumberFormat="1" applyFont="1" applyFill="1" applyBorder="1" applyAlignment="1">
      <alignment horizontal="center" vertical="center" wrapText="1"/>
    </xf>
    <xf numFmtId="0" fontId="298" fillId="0" borderId="0" xfId="18" applyFont="1" applyFill="1" applyBorder="1" applyAlignment="1">
      <alignment horizontal="center" vertical="center" wrapText="1"/>
    </xf>
    <xf numFmtId="0" fontId="301" fillId="0" borderId="2" xfId="18" applyFont="1" applyFill="1" applyBorder="1" applyAlignment="1">
      <alignment horizontal="center" vertical="center" wrapText="1"/>
    </xf>
    <xf numFmtId="177" fontId="301" fillId="0" borderId="2" xfId="18" applyNumberFormat="1" applyFont="1" applyFill="1" applyBorder="1" applyAlignment="1">
      <alignment horizontal="center" vertical="center" wrapText="1"/>
    </xf>
    <xf numFmtId="0" fontId="301" fillId="0" borderId="2" xfId="21" applyNumberFormat="1" applyFont="1" applyFill="1" applyBorder="1" applyAlignment="1">
      <alignment horizontal="center" vertical="center" wrapText="1"/>
    </xf>
    <xf numFmtId="0" fontId="301" fillId="0" borderId="9" xfId="18" applyFont="1" applyFill="1" applyBorder="1" applyAlignment="1">
      <alignment horizontal="center" vertical="center" wrapText="1"/>
    </xf>
    <xf numFmtId="17" fontId="301" fillId="0" borderId="0" xfId="18" applyNumberFormat="1" applyFont="1" applyFill="1" applyBorder="1" applyAlignment="1">
      <alignment horizontal="center" vertical="center" wrapText="1"/>
    </xf>
    <xf numFmtId="0" fontId="301" fillId="0" borderId="0" xfId="18" applyFont="1" applyFill="1" applyBorder="1" applyAlignment="1">
      <alignment horizontal="center" vertical="center" wrapText="1"/>
    </xf>
    <xf numFmtId="14" fontId="298" fillId="0" borderId="0" xfId="18" applyNumberFormat="1" applyFont="1" applyFill="1" applyBorder="1" applyAlignment="1">
      <alignment horizontal="center" vertical="center" wrapText="1"/>
    </xf>
    <xf numFmtId="196" fontId="298" fillId="0" borderId="0" xfId="18" applyNumberFormat="1" applyFont="1" applyFill="1" applyBorder="1" applyAlignment="1">
      <alignment horizontal="center" vertical="center" wrapText="1"/>
    </xf>
    <xf numFmtId="0" fontId="301" fillId="0" borderId="2" xfId="22" applyFont="1" applyFill="1" applyBorder="1" applyAlignment="1">
      <alignment horizontal="center" vertical="center" wrapText="1"/>
    </xf>
    <xf numFmtId="0" fontId="298" fillId="0" borderId="0" xfId="22" applyFont="1" applyFill="1" applyBorder="1" applyAlignment="1">
      <alignment horizontal="center" vertical="center" wrapText="1"/>
    </xf>
    <xf numFmtId="17" fontId="298" fillId="0" borderId="0" xfId="22" applyNumberFormat="1" applyFont="1" applyFill="1" applyBorder="1" applyAlignment="1">
      <alignment horizontal="center" vertical="center" wrapText="1"/>
    </xf>
    <xf numFmtId="177" fontId="301" fillId="0" borderId="2" xfId="22" applyNumberFormat="1" applyFont="1" applyFill="1" applyBorder="1" applyAlignment="1">
      <alignment horizontal="center" vertical="center" wrapText="1"/>
    </xf>
    <xf numFmtId="0" fontId="301" fillId="0" borderId="0" xfId="22" applyFont="1" applyFill="1" applyBorder="1" applyAlignment="1">
      <alignment horizontal="center" vertical="center" wrapText="1"/>
    </xf>
    <xf numFmtId="17" fontId="301" fillId="0" borderId="0" xfId="22" applyNumberFormat="1" applyFont="1" applyFill="1" applyBorder="1" applyAlignment="1">
      <alignment horizontal="center" vertical="center" wrapText="1"/>
    </xf>
    <xf numFmtId="0" fontId="144" fillId="0" borderId="0" xfId="0" applyFont="1" applyFill="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98" fillId="6" borderId="2" xfId="17" applyNumberFormat="1" applyFont="1" applyFill="1" applyBorder="1" applyAlignment="1">
      <alignment horizontal="center" vertical="center" wrapText="1"/>
    </xf>
    <xf numFmtId="0" fontId="298" fillId="6" borderId="2" xfId="18" applyFont="1" applyFill="1" applyBorder="1" applyAlignment="1">
      <alignment horizontal="center" vertical="center" wrapText="1"/>
    </xf>
    <xf numFmtId="177" fontId="298" fillId="6" borderId="2" xfId="18" applyNumberFormat="1" applyFont="1" applyFill="1" applyBorder="1" applyAlignment="1">
      <alignment horizontal="center" vertical="center" wrapText="1"/>
    </xf>
    <xf numFmtId="0" fontId="299" fillId="6" borderId="2" xfId="18" applyFont="1" applyFill="1" applyBorder="1" applyAlignment="1">
      <alignment horizontal="center" vertical="center" wrapText="1"/>
    </xf>
    <xf numFmtId="0" fontId="300" fillId="6" borderId="2" xfId="11" applyNumberFormat="1" applyFont="1" applyFill="1" applyBorder="1" applyAlignment="1">
      <alignment horizontal="center" vertical="center" wrapText="1"/>
    </xf>
    <xf numFmtId="0" fontId="301" fillId="6" borderId="2" xfId="18" applyFont="1" applyFill="1" applyBorder="1" applyAlignment="1">
      <alignment horizontal="center" vertical="center" wrapText="1"/>
    </xf>
    <xf numFmtId="177" fontId="301" fillId="6" borderId="2" xfId="18" applyNumberFormat="1" applyFont="1" applyFill="1" applyBorder="1" applyAlignment="1">
      <alignment horizontal="center" vertical="center" wrapText="1"/>
    </xf>
    <xf numFmtId="0" fontId="301" fillId="6" borderId="2" xfId="21" applyNumberFormat="1" applyFont="1" applyFill="1" applyBorder="1" applyAlignment="1">
      <alignment horizontal="center" vertical="center" wrapText="1"/>
    </xf>
    <xf numFmtId="0" fontId="298" fillId="6" borderId="2" xfId="22" applyFont="1" applyFill="1" applyBorder="1" applyAlignment="1">
      <alignment horizontal="center" vertical="center" wrapText="1"/>
    </xf>
    <xf numFmtId="177" fontId="298" fillId="6" borderId="2" xfId="22" applyNumberFormat="1" applyFont="1" applyFill="1" applyBorder="1" applyAlignment="1">
      <alignment horizontal="center" vertical="center" wrapText="1"/>
    </xf>
    <xf numFmtId="0" fontId="301" fillId="6" borderId="2" xfId="22" applyFont="1" applyFill="1" applyBorder="1" applyAlignment="1">
      <alignment horizontal="center" vertical="center" wrapText="1"/>
    </xf>
    <xf numFmtId="0" fontId="298" fillId="6" borderId="0" xfId="22" applyFont="1" applyFill="1" applyBorder="1" applyAlignment="1">
      <alignment horizontal="center" vertical="center" wrapText="1"/>
    </xf>
    <xf numFmtId="2" fontId="71" fillId="0" borderId="2" xfId="0" applyNumberFormat="1" applyFont="1" applyFill="1" applyBorder="1" applyAlignment="1" applyProtection="1">
      <alignment horizontal="center" vertical="center" wrapText="1"/>
      <protection locked="0"/>
    </xf>
    <xf numFmtId="2" fontId="71" fillId="5" borderId="49" xfId="0" applyNumberFormat="1" applyFont="1" applyFill="1" applyBorder="1" applyAlignment="1" applyProtection="1">
      <alignment horizontal="center" vertical="center" wrapText="1"/>
    </xf>
    <xf numFmtId="2" fontId="71" fillId="5" borderId="34" xfId="0" applyNumberFormat="1"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71" fillId="0" borderId="0" xfId="0" applyFont="1">
      <alignment vertical="center"/>
    </xf>
    <xf numFmtId="0" fontId="106" fillId="9" borderId="9" xfId="0" applyNumberFormat="1" applyFont="1" applyFill="1" applyBorder="1" applyAlignment="1" applyProtection="1">
      <alignment horizontal="center" vertical="center" wrapText="1"/>
      <protection locked="0"/>
    </xf>
    <xf numFmtId="0" fontId="71" fillId="9" borderId="20" xfId="0" applyNumberFormat="1" applyFont="1" applyFill="1" applyBorder="1" applyAlignment="1" applyProtection="1">
      <alignment horizontal="center" vertical="center" wrapText="1"/>
      <protection locked="0"/>
    </xf>
    <xf numFmtId="0" fontId="297" fillId="0" borderId="0" xfId="18" applyFont="1" applyFill="1" applyBorder="1" applyAlignment="1">
      <alignment horizontal="center" vertical="center" wrapText="1"/>
    </xf>
    <xf numFmtId="0" fontId="180" fillId="6" borderId="0" xfId="0" applyFont="1" applyFill="1">
      <alignment vertical="center"/>
    </xf>
    <xf numFmtId="1" fontId="180" fillId="0" borderId="0" xfId="0" applyNumberFormat="1" applyFont="1">
      <alignment vertical="center"/>
    </xf>
    <xf numFmtId="1" fontId="180" fillId="6" borderId="0" xfId="0" applyNumberFormat="1" applyFont="1" applyFill="1">
      <alignment vertical="center"/>
    </xf>
    <xf numFmtId="0" fontId="180" fillId="0" borderId="0" xfId="0" applyFont="1" applyAlignment="1">
      <alignment vertical="center"/>
    </xf>
    <xf numFmtId="0" fontId="296" fillId="0" borderId="0" xfId="18" applyFont="1" applyFill="1" applyBorder="1" applyAlignment="1">
      <alignment horizontal="center" vertical="center" wrapText="1"/>
    </xf>
    <xf numFmtId="0" fontId="298" fillId="0" borderId="0" xfId="11" applyNumberFormat="1" applyFont="1" applyFill="1" applyBorder="1" applyAlignment="1">
      <alignment horizontal="center" vertical="center" wrapText="1"/>
    </xf>
    <xf numFmtId="177" fontId="298" fillId="0" borderId="0" xfId="18" applyNumberFormat="1" applyFont="1" applyFill="1" applyBorder="1" applyAlignment="1">
      <alignment horizontal="center" vertical="center" wrapText="1"/>
    </xf>
    <xf numFmtId="177" fontId="301" fillId="0" borderId="0" xfId="18" applyNumberFormat="1" applyFont="1" applyFill="1" applyBorder="1" applyAlignment="1">
      <alignment horizontal="center" vertical="center" wrapText="1"/>
    </xf>
    <xf numFmtId="0" fontId="305" fillId="0" borderId="0" xfId="18" applyFont="1" applyFill="1" applyBorder="1" applyAlignment="1">
      <alignment horizontal="center" vertical="center" wrapText="1"/>
    </xf>
    <xf numFmtId="177" fontId="305" fillId="0" borderId="0" xfId="18" applyNumberFormat="1" applyFont="1" applyFill="1" applyBorder="1" applyAlignment="1">
      <alignment horizontal="center" vertical="center" wrapText="1"/>
    </xf>
    <xf numFmtId="0" fontId="298" fillId="8" borderId="0" xfId="11" applyNumberFormat="1" applyFont="1" applyFill="1" applyBorder="1" applyAlignment="1">
      <alignment horizontal="center" vertical="center" wrapText="1"/>
    </xf>
    <xf numFmtId="0" fontId="298" fillId="8" borderId="0" xfId="18" applyFont="1" applyFill="1" applyBorder="1" applyAlignment="1">
      <alignment horizontal="center" vertical="center" wrapText="1"/>
    </xf>
    <xf numFmtId="177" fontId="298" fillId="8" borderId="0" xfId="18" applyNumberFormat="1" applyFont="1" applyFill="1" applyBorder="1" applyAlignment="1">
      <alignment horizontal="center" vertical="center" wrapText="1"/>
    </xf>
    <xf numFmtId="0" fontId="301" fillId="8" borderId="0" xfId="18" applyFont="1" applyFill="1" applyBorder="1" applyAlignment="1">
      <alignment horizontal="center" vertical="center" wrapText="1"/>
    </xf>
    <xf numFmtId="14" fontId="298" fillId="8" borderId="0" xfId="18" applyNumberFormat="1" applyFont="1" applyFill="1" applyBorder="1" applyAlignment="1">
      <alignment horizontal="center" vertical="center" wrapText="1"/>
    </xf>
    <xf numFmtId="0" fontId="298" fillId="0" borderId="0" xfId="17" applyNumberFormat="1" applyFont="1" applyFill="1" applyBorder="1" applyAlignment="1">
      <alignment horizontal="center" vertical="center" wrapText="1"/>
    </xf>
    <xf numFmtId="0" fontId="0" fillId="0" borderId="169" xfId="0" applyBorder="1" applyAlignment="1"/>
    <xf numFmtId="0" fontId="306" fillId="22" borderId="172" xfId="0" applyFont="1" applyFill="1" applyBorder="1" applyAlignment="1">
      <alignment horizontal="center" vertical="center" wrapText="1"/>
    </xf>
    <xf numFmtId="0" fontId="308" fillId="22" borderId="173" xfId="0" applyFont="1" applyFill="1" applyBorder="1" applyAlignment="1">
      <alignment horizontal="center" vertical="center" wrapText="1"/>
    </xf>
    <xf numFmtId="0" fontId="306" fillId="22" borderId="173" xfId="0" applyFont="1" applyFill="1" applyBorder="1" applyAlignment="1">
      <alignment horizontal="center" vertical="center" wrapText="1"/>
    </xf>
    <xf numFmtId="14" fontId="306" fillId="22" borderId="173" xfId="0" applyNumberFormat="1" applyFont="1" applyFill="1" applyBorder="1" applyAlignment="1">
      <alignment horizontal="center" vertical="center" wrapText="1"/>
    </xf>
    <xf numFmtId="0" fontId="306" fillId="22" borderId="174" xfId="0" applyFont="1" applyFill="1" applyBorder="1" applyAlignment="1">
      <alignment horizontal="center" vertical="center" wrapText="1"/>
    </xf>
    <xf numFmtId="0" fontId="306" fillId="13" borderId="172" xfId="0" applyFont="1" applyFill="1" applyBorder="1" applyAlignment="1">
      <alignment horizontal="center" vertical="center" wrapText="1"/>
    </xf>
    <xf numFmtId="0" fontId="308" fillId="13" borderId="173" xfId="0" applyFont="1" applyFill="1" applyBorder="1" applyAlignment="1">
      <alignment horizontal="center" vertical="center" wrapText="1"/>
    </xf>
    <xf numFmtId="0" fontId="306" fillId="13" borderId="173" xfId="0" applyFont="1" applyFill="1" applyBorder="1" applyAlignment="1">
      <alignment horizontal="center" vertical="center" wrapText="1"/>
    </xf>
    <xf numFmtId="14" fontId="306" fillId="13" borderId="173" xfId="0" applyNumberFormat="1" applyFont="1" applyFill="1" applyBorder="1" applyAlignment="1">
      <alignment horizontal="center" vertical="center" wrapText="1"/>
    </xf>
    <xf numFmtId="0" fontId="306" fillId="13" borderId="174" xfId="0" applyFont="1" applyFill="1" applyBorder="1" applyAlignment="1">
      <alignment horizontal="center" vertical="center" wrapText="1"/>
    </xf>
    <xf numFmtId="0" fontId="75" fillId="5" borderId="2" xfId="0" applyFont="1" applyFill="1" applyBorder="1" applyAlignment="1" applyProtection="1">
      <alignment horizontal="center" vertical="center"/>
    </xf>
    <xf numFmtId="0" fontId="145" fillId="20" borderId="2" xfId="0" applyFont="1" applyFill="1" applyBorder="1" applyAlignment="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304" fillId="0" borderId="0" xfId="20" applyFont="1" applyFill="1" applyAlignment="1">
      <alignment horizontal="center" vertical="center" wrapText="1"/>
    </xf>
    <xf numFmtId="0" fontId="297" fillId="0" borderId="0" xfId="18" applyFont="1" applyFill="1" applyBorder="1" applyAlignment="1">
      <alignment horizontal="center" vertical="center" wrapText="1"/>
    </xf>
    <xf numFmtId="0" fontId="84" fillId="5" borderId="2" xfId="0" applyNumberFormat="1" applyFont="1" applyFill="1" applyBorder="1" applyAlignment="1" applyProtection="1">
      <alignment horizontal="center" vertical="center"/>
    </xf>
    <xf numFmtId="0" fontId="309" fillId="0" borderId="2" xfId="0" applyFont="1" applyBorder="1" applyAlignment="1">
      <alignment vertical="center" wrapText="1"/>
    </xf>
    <xf numFmtId="0" fontId="309" fillId="0" borderId="2" xfId="0" applyFont="1" applyBorder="1" applyAlignment="1">
      <alignment horizontal="right" vertical="center" wrapText="1"/>
    </xf>
    <xf numFmtId="0" fontId="309" fillId="0" borderId="2" xfId="0" applyFont="1" applyBorder="1" applyAlignment="1">
      <alignment horizontal="center" vertical="center" wrapText="1"/>
    </xf>
    <xf numFmtId="0" fontId="311" fillId="0" borderId="2" xfId="0" applyFont="1" applyBorder="1" applyAlignment="1">
      <alignment vertical="center" wrapText="1"/>
    </xf>
    <xf numFmtId="0" fontId="311" fillId="0" borderId="2" xfId="0" applyFont="1" applyBorder="1" applyAlignment="1">
      <alignment horizontal="right" vertical="center" wrapText="1"/>
    </xf>
    <xf numFmtId="0" fontId="309" fillId="0" borderId="2" xfId="0" applyFont="1" applyFill="1" applyBorder="1" applyAlignment="1">
      <alignment vertical="center" wrapText="1"/>
    </xf>
    <xf numFmtId="0" fontId="311" fillId="0" borderId="2" xfId="0" applyFont="1" applyFill="1" applyBorder="1" applyAlignment="1">
      <alignment vertical="center" wrapText="1"/>
    </xf>
    <xf numFmtId="178" fontId="81" fillId="0" borderId="9" xfId="2" applyNumberFormat="1" applyFont="1" applyFill="1" applyBorder="1" applyAlignment="1" applyProtection="1">
      <alignment vertical="center"/>
      <protection locked="0"/>
    </xf>
    <xf numFmtId="186" fontId="83" fillId="9" borderId="83" xfId="3" applyNumberFormat="1" applyFont="1" applyFill="1" applyBorder="1" applyAlignment="1" applyProtection="1">
      <alignment horizontal="center" vertical="center" wrapText="1"/>
    </xf>
    <xf numFmtId="2" fontId="311" fillId="0" borderId="2" xfId="0" applyNumberFormat="1" applyFont="1" applyBorder="1" applyAlignment="1">
      <alignment vertical="center" wrapText="1"/>
    </xf>
    <xf numFmtId="0" fontId="147" fillId="6" borderId="2" xfId="0" applyFont="1" applyFill="1" applyBorder="1" applyAlignment="1">
      <alignment horizontal="center" vertical="center" wrapText="1"/>
    </xf>
    <xf numFmtId="0" fontId="145" fillId="0" borderId="0" xfId="0" applyFont="1" applyAlignment="1">
      <alignment vertical="center" wrapText="1"/>
    </xf>
    <xf numFmtId="180" fontId="71" fillId="9" borderId="11" xfId="2" applyNumberFormat="1" applyFont="1" applyFill="1" applyBorder="1" applyAlignment="1" applyProtection="1">
      <alignment horizontal="center" vertical="center"/>
    </xf>
    <xf numFmtId="177" fontId="152" fillId="9"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0" fillId="9" borderId="0" xfId="0" applyFill="1">
      <alignment vertical="center"/>
    </xf>
    <xf numFmtId="10" fontId="75" fillId="9" borderId="2" xfId="2" applyNumberFormat="1" applyFont="1" applyFill="1" applyBorder="1" applyAlignment="1" applyProtection="1">
      <alignment horizontal="center" vertical="center"/>
    </xf>
    <xf numFmtId="0" fontId="309" fillId="0" borderId="2" xfId="0" applyFont="1" applyBorder="1" applyAlignment="1">
      <alignment horizontal="center" vertical="center" wrapText="1"/>
    </xf>
    <xf numFmtId="0" fontId="304" fillId="0" borderId="0" xfId="18" applyFont="1" applyFill="1" applyBorder="1" applyAlignment="1">
      <alignment horizontal="center" vertical="center" wrapText="1"/>
    </xf>
    <xf numFmtId="0" fontId="304" fillId="0" borderId="0" xfId="18" applyFont="1" applyFill="1" applyBorder="1" applyAlignment="1">
      <alignment vertical="center" wrapText="1"/>
    </xf>
    <xf numFmtId="0" fontId="316" fillId="0" borderId="0" xfId="18" applyFont="1" applyFill="1" applyBorder="1" applyAlignment="1">
      <alignment horizontal="center" vertical="center" wrapText="1"/>
    </xf>
    <xf numFmtId="0" fontId="304" fillId="0" borderId="2" xfId="18" applyFont="1" applyFill="1" applyBorder="1" applyAlignment="1">
      <alignment horizontal="center" vertical="center" wrapText="1"/>
    </xf>
    <xf numFmtId="0" fontId="312" fillId="0" borderId="2" xfId="18" applyFont="1" applyFill="1" applyBorder="1" applyAlignment="1">
      <alignment horizontal="center" vertical="center" wrapText="1"/>
    </xf>
    <xf numFmtId="0" fontId="314" fillId="0" borderId="2" xfId="17" applyNumberFormat="1" applyFont="1" applyFill="1" applyBorder="1" applyAlignment="1">
      <alignment horizontal="center" vertical="center" wrapText="1"/>
    </xf>
    <xf numFmtId="0" fontId="314" fillId="0" borderId="2" xfId="18" applyFont="1" applyFill="1" applyBorder="1" applyAlignment="1">
      <alignment horizontal="center" vertical="center" wrapText="1"/>
    </xf>
    <xf numFmtId="177" fontId="314" fillId="0" borderId="2" xfId="18" applyNumberFormat="1" applyFont="1" applyFill="1" applyBorder="1" applyAlignment="1">
      <alignment horizontal="center" vertical="center" wrapText="1"/>
    </xf>
    <xf numFmtId="0" fontId="315" fillId="0" borderId="2" xfId="18" applyFont="1" applyFill="1" applyBorder="1" applyAlignment="1">
      <alignment horizontal="center" vertical="center" wrapText="1"/>
    </xf>
    <xf numFmtId="14" fontId="316" fillId="0" borderId="2" xfId="18" applyNumberFormat="1" applyFont="1" applyFill="1" applyBorder="1" applyAlignment="1">
      <alignment horizontal="center" vertical="center" wrapText="1"/>
    </xf>
    <xf numFmtId="0" fontId="298" fillId="9" borderId="0" xfId="11" applyNumberFormat="1" applyFont="1" applyFill="1" applyBorder="1" applyAlignment="1">
      <alignment horizontal="center" vertical="center" wrapText="1"/>
    </xf>
    <xf numFmtId="0" fontId="298" fillId="9" borderId="0" xfId="18" applyFont="1" applyFill="1" applyBorder="1" applyAlignment="1">
      <alignment horizontal="center" vertical="center" wrapText="1"/>
    </xf>
    <xf numFmtId="14" fontId="298" fillId="9" borderId="0" xfId="18" applyNumberFormat="1" applyFont="1" applyFill="1" applyBorder="1" applyAlignment="1">
      <alignment horizontal="center" vertical="center" wrapText="1"/>
    </xf>
    <xf numFmtId="0" fontId="71" fillId="9" borderId="12" xfId="0" applyNumberFormat="1" applyFont="1" applyFill="1" applyBorder="1" applyAlignment="1" applyProtection="1">
      <alignment horizontal="center" vertical="center" wrapText="1"/>
    </xf>
    <xf numFmtId="2" fontId="71" fillId="0" borderId="11" xfId="0" applyNumberFormat="1" applyFont="1" applyFill="1" applyBorder="1" applyAlignment="1" applyProtection="1">
      <alignment horizontal="left" vertical="center" wrapText="1" indent="2"/>
      <protection locked="0"/>
    </xf>
    <xf numFmtId="0" fontId="86" fillId="9" borderId="2" xfId="3" applyFont="1" applyFill="1" applyBorder="1" applyAlignment="1" applyProtection="1">
      <alignment horizontal="center" vertical="center" wrapText="1"/>
    </xf>
    <xf numFmtId="10" fontId="0" fillId="0" borderId="0" xfId="0" applyNumberFormat="1" applyAlignment="1">
      <alignment vertical="center" wrapText="1"/>
    </xf>
    <xf numFmtId="2" fontId="309" fillId="0" borderId="2" xfId="0" applyNumberFormat="1" applyFont="1" applyBorder="1" applyAlignment="1">
      <alignment vertical="center" wrapText="1"/>
    </xf>
    <xf numFmtId="2" fontId="309" fillId="0" borderId="2" xfId="0" applyNumberFormat="1" applyFont="1" applyBorder="1" applyAlignment="1">
      <alignment horizontal="right" vertical="center" wrapText="1"/>
    </xf>
    <xf numFmtId="2" fontId="311" fillId="0" borderId="2" xfId="0" applyNumberFormat="1" applyFont="1" applyBorder="1" applyAlignment="1">
      <alignment horizontal="right" vertical="center" wrapText="1"/>
    </xf>
    <xf numFmtId="2" fontId="309" fillId="0" borderId="2" xfId="0" applyNumberFormat="1" applyFont="1" applyFill="1" applyBorder="1" applyAlignment="1">
      <alignment vertical="center" wrapText="1"/>
    </xf>
    <xf numFmtId="2" fontId="311" fillId="0" borderId="2" xfId="0" applyNumberFormat="1" applyFont="1" applyFill="1" applyBorder="1" applyAlignment="1">
      <alignment vertical="center" wrapText="1"/>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left" vertical="center" wrapText="1" indent="1"/>
    </xf>
    <xf numFmtId="183" fontId="152" fillId="5" borderId="2" xfId="3" applyNumberFormat="1" applyFont="1" applyFill="1" applyBorder="1" applyAlignment="1" applyProtection="1">
      <alignment horizontal="center" vertical="center" wrapText="1"/>
    </xf>
    <xf numFmtId="10" fontId="152" fillId="5" borderId="44" xfId="3" applyNumberFormat="1" applyFont="1" applyFill="1" applyBorder="1" applyAlignment="1" applyProtection="1">
      <alignment horizontal="center" vertical="center" wrapText="1"/>
    </xf>
    <xf numFmtId="2" fontId="71" fillId="0" borderId="11" xfId="0" applyNumberFormat="1" applyFont="1" applyFill="1" applyBorder="1" applyAlignment="1" applyProtection="1">
      <alignment horizontal="center" vertical="center" wrapText="1"/>
      <protection locked="0"/>
    </xf>
    <xf numFmtId="0" fontId="318" fillId="0" borderId="39" xfId="0" applyFont="1" applyBorder="1" applyAlignment="1">
      <alignment horizontal="center" vertical="center" wrapText="1"/>
    </xf>
    <xf numFmtId="0" fontId="318" fillId="0" borderId="65" xfId="0" applyFont="1" applyBorder="1" applyAlignment="1">
      <alignment horizontal="center" vertical="center" wrapText="1"/>
    </xf>
    <xf numFmtId="0" fontId="318" fillId="0" borderId="66" xfId="0" applyFont="1" applyBorder="1" applyAlignment="1">
      <alignment horizontal="center" vertical="center" wrapText="1"/>
    </xf>
    <xf numFmtId="0" fontId="317" fillId="0" borderId="0" xfId="0" applyFont="1" applyAlignment="1">
      <alignment vertical="center" wrapText="1"/>
    </xf>
    <xf numFmtId="0" fontId="320" fillId="0" borderId="65" xfId="0" applyFont="1" applyBorder="1" applyAlignment="1">
      <alignment horizontal="center" vertical="center" wrapText="1"/>
    </xf>
    <xf numFmtId="0" fontId="320" fillId="0" borderId="66" xfId="0" applyFont="1" applyBorder="1" applyAlignment="1">
      <alignment horizontal="center" vertical="center" wrapText="1"/>
    </xf>
    <xf numFmtId="0" fontId="320" fillId="0" borderId="159" xfId="0" applyFont="1" applyBorder="1" applyAlignment="1">
      <alignment horizontal="center" vertical="center" wrapText="1"/>
    </xf>
    <xf numFmtId="0" fontId="321" fillId="0" borderId="66" xfId="0" applyFont="1" applyBorder="1" applyAlignment="1">
      <alignment horizontal="center" vertical="center" wrapText="1"/>
    </xf>
    <xf numFmtId="0" fontId="321" fillId="0" borderId="66" xfId="0" applyFont="1" applyBorder="1" applyAlignment="1">
      <alignment horizontal="right" vertical="center" wrapText="1"/>
    </xf>
    <xf numFmtId="0" fontId="177" fillId="0" borderId="66" xfId="0" applyFont="1" applyBorder="1" applyAlignment="1">
      <alignment horizontal="center" vertical="center" wrapText="1"/>
    </xf>
    <xf numFmtId="0" fontId="177" fillId="0" borderId="66" xfId="0" applyFont="1" applyBorder="1" applyAlignment="1">
      <alignment horizontal="right" vertical="center" wrapText="1"/>
    </xf>
    <xf numFmtId="180" fontId="321" fillId="0" borderId="66" xfId="0" applyNumberFormat="1" applyFont="1" applyBorder="1" applyAlignment="1">
      <alignment horizontal="center" vertical="center" wrapText="1"/>
    </xf>
    <xf numFmtId="2" fontId="177" fillId="0" borderId="66" xfId="0" applyNumberFormat="1" applyFont="1" applyBorder="1" applyAlignment="1">
      <alignment horizontal="center" vertical="center" wrapText="1"/>
    </xf>
    <xf numFmtId="195" fontId="321" fillId="0" borderId="66" xfId="0" applyNumberFormat="1" applyFont="1" applyBorder="1" applyAlignment="1">
      <alignment horizontal="right" vertical="center" wrapText="1"/>
    </xf>
    <xf numFmtId="0" fontId="0" fillId="6" borderId="2" xfId="0" applyFill="1" applyBorder="1" applyAlignment="1">
      <alignment horizontal="center" vertical="center" wrapText="1"/>
    </xf>
    <xf numFmtId="180" fontId="177" fillId="0" borderId="66" xfId="0" applyNumberFormat="1" applyFont="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283" fillId="8" borderId="5" xfId="0" applyFont="1" applyFill="1" applyBorder="1" applyAlignment="1" applyProtection="1">
      <alignment vertical="center" wrapText="1"/>
      <protection locked="0"/>
    </xf>
    <xf numFmtId="0" fontId="284" fillId="8" borderId="8" xfId="0" applyFont="1" applyFill="1" applyBorder="1" applyAlignment="1" applyProtection="1">
      <alignment vertical="center" wrapText="1"/>
      <protection locked="0"/>
    </xf>
    <xf numFmtId="0" fontId="284" fillId="8" borderId="9"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311" fillId="0" borderId="2" xfId="0" applyFont="1" applyBorder="1" applyAlignment="1">
      <alignment horizontal="center" vertical="center" wrapText="1"/>
    </xf>
    <xf numFmtId="0" fontId="309" fillId="0" borderId="5" xfId="0" applyFont="1" applyBorder="1" applyAlignment="1">
      <alignment horizontal="center" vertical="center" wrapText="1"/>
    </xf>
    <xf numFmtId="0" fontId="309" fillId="0" borderId="9" xfId="0" applyFont="1" applyBorder="1" applyAlignment="1">
      <alignment horizontal="center" vertical="center" wrapText="1"/>
    </xf>
    <xf numFmtId="0" fontId="309" fillId="0" borderId="10" xfId="0" applyFont="1" applyBorder="1" applyAlignment="1">
      <alignment horizontal="center" vertical="center" wrapText="1"/>
    </xf>
    <xf numFmtId="0" fontId="309" fillId="0" borderId="3" xfId="0" applyFont="1" applyBorder="1" applyAlignment="1">
      <alignment horizontal="center" vertical="center" wrapText="1"/>
    </xf>
    <xf numFmtId="0" fontId="309" fillId="0" borderId="21" xfId="0" applyFont="1" applyBorder="1" applyAlignment="1">
      <alignment horizontal="center" vertical="center" wrapText="1"/>
    </xf>
    <xf numFmtId="0" fontId="309" fillId="0" borderId="2" xfId="0" applyFont="1" applyBorder="1" applyAlignment="1">
      <alignment horizontal="center" vertical="center" wrapText="1"/>
    </xf>
    <xf numFmtId="0" fontId="311" fillId="0" borderId="5" xfId="0" applyFont="1" applyBorder="1" applyAlignment="1">
      <alignment horizontal="center" vertical="center" wrapText="1"/>
    </xf>
    <xf numFmtId="0" fontId="311" fillId="0" borderId="8" xfId="0" applyFont="1" applyBorder="1" applyAlignment="1">
      <alignment horizontal="center" vertical="center" wrapText="1"/>
    </xf>
    <xf numFmtId="0" fontId="311" fillId="0" borderId="9"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0" fillId="6" borderId="10" xfId="0" applyFill="1" applyBorder="1" applyAlignment="1">
      <alignment horizontal="center" vertical="center" wrapText="1"/>
    </xf>
    <xf numFmtId="0" fontId="0" fillId="6" borderId="3" xfId="0" applyFill="1" applyBorder="1" applyAlignment="1">
      <alignment horizontal="center" vertical="center" wrapText="1"/>
    </xf>
    <xf numFmtId="0" fontId="0" fillId="6" borderId="21" xfId="0" applyFill="1" applyBorder="1" applyAlignment="1">
      <alignment horizontal="center" vertical="center" wrapText="1"/>
    </xf>
    <xf numFmtId="0" fontId="177" fillId="0" borderId="35" xfId="0" applyFont="1" applyBorder="1" applyAlignment="1">
      <alignment horizontal="right" vertical="center" wrapText="1"/>
    </xf>
    <xf numFmtId="0" fontId="177" fillId="0" borderId="80" xfId="0" applyFont="1" applyBorder="1" applyAlignment="1">
      <alignment horizontal="right" vertical="center" wrapText="1"/>
    </xf>
    <xf numFmtId="0" fontId="317" fillId="0" borderId="31" xfId="0" applyFont="1" applyBorder="1" applyAlignment="1">
      <alignment vertical="center" wrapText="1"/>
    </xf>
    <xf numFmtId="0" fontId="318" fillId="0" borderId="36" xfId="0" applyFont="1" applyBorder="1" applyAlignment="1">
      <alignment horizontal="center" vertical="center" wrapText="1"/>
    </xf>
    <xf numFmtId="0" fontId="318" fillId="0" borderId="175"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318" fillId="0" borderId="35" xfId="0" applyFont="1" applyBorder="1" applyAlignment="1">
      <alignment horizontal="center" vertical="center" wrapText="1"/>
    </xf>
    <xf numFmtId="0" fontId="318" fillId="0" borderId="79" xfId="0" applyFont="1" applyBorder="1" applyAlignment="1">
      <alignment horizontal="center" vertical="center" wrapText="1"/>
    </xf>
    <xf numFmtId="0" fontId="318" fillId="0" borderId="80" xfId="0" applyFont="1" applyBorder="1" applyAlignment="1">
      <alignment horizontal="center" vertical="center" wrapText="1"/>
    </xf>
    <xf numFmtId="0" fontId="320" fillId="0" borderId="158" xfId="0" applyFont="1" applyBorder="1" applyAlignment="1">
      <alignment horizontal="center" vertical="center" wrapText="1"/>
    </xf>
    <xf numFmtId="0" fontId="320" fillId="0" borderId="80" xfId="0" applyFont="1" applyBorder="1" applyAlignment="1">
      <alignment horizontal="center" vertical="center" wrapText="1"/>
    </xf>
    <xf numFmtId="2" fontId="177" fillId="0" borderId="35" xfId="0" applyNumberFormat="1" applyFont="1" applyBorder="1" applyAlignment="1">
      <alignment horizontal="center" vertical="center" wrapText="1"/>
    </xf>
    <xf numFmtId="0" fontId="320" fillId="0" borderId="35" xfId="0" applyFont="1" applyBorder="1" applyAlignment="1">
      <alignment horizontal="center" vertical="center" wrapText="1"/>
    </xf>
    <xf numFmtId="0" fontId="320" fillId="0" borderId="79" xfId="0" applyFont="1" applyBorder="1" applyAlignment="1">
      <alignment horizontal="center" vertical="center" wrapText="1"/>
    </xf>
    <xf numFmtId="0" fontId="177" fillId="0" borderId="157" xfId="0" applyFont="1" applyBorder="1" applyAlignment="1">
      <alignment horizontal="center" vertical="center" wrapText="1"/>
    </xf>
    <xf numFmtId="0" fontId="318" fillId="0" borderId="157" xfId="0" applyFont="1" applyBorder="1" applyAlignment="1">
      <alignment horizontal="center" vertical="center" wrapText="1"/>
    </xf>
    <xf numFmtId="0" fontId="177" fillId="0" borderId="158" xfId="0" applyFont="1" applyBorder="1" applyAlignment="1">
      <alignment horizontal="center" vertical="center" wrapText="1"/>
    </xf>
    <xf numFmtId="0" fontId="0" fillId="20" borderId="10" xfId="0" applyFill="1" applyBorder="1" applyAlignment="1">
      <alignment horizontal="center" vertical="center" wrapText="1"/>
    </xf>
    <xf numFmtId="0" fontId="0" fillId="20" borderId="3" xfId="0" applyFill="1" applyBorder="1" applyAlignment="1">
      <alignment horizontal="center" vertical="center" wrapText="1"/>
    </xf>
    <xf numFmtId="0" fontId="0" fillId="20" borderId="21" xfId="0" applyFill="1" applyBorder="1" applyAlignment="1">
      <alignment horizontal="center" vertical="center" wrapText="1"/>
    </xf>
    <xf numFmtId="0" fontId="145" fillId="6" borderId="2" xfId="0" applyFont="1" applyFill="1" applyBorder="1" applyAlignment="1">
      <alignment horizontal="center" vertical="center" wrapText="1"/>
    </xf>
    <xf numFmtId="0" fontId="0" fillId="6" borderId="10" xfId="0" applyFill="1" applyBorder="1" applyAlignment="1">
      <alignment horizontal="center" vertical="center"/>
    </xf>
    <xf numFmtId="0" fontId="0" fillId="6" borderId="3" xfId="0" applyFill="1" applyBorder="1" applyAlignment="1">
      <alignment horizontal="center" vertical="center"/>
    </xf>
    <xf numFmtId="0" fontId="0" fillId="6" borderId="21" xfId="0" applyFill="1" applyBorder="1" applyAlignment="1">
      <alignment horizontal="center" vertical="center"/>
    </xf>
    <xf numFmtId="0" fontId="0" fillId="20" borderId="10" xfId="0" applyFill="1" applyBorder="1" applyAlignment="1">
      <alignment horizontal="center" vertical="center"/>
    </xf>
    <xf numFmtId="0" fontId="0" fillId="20" borderId="3" xfId="0" applyFill="1" applyBorder="1" applyAlignment="1">
      <alignment horizontal="center" vertical="center"/>
    </xf>
    <xf numFmtId="0" fontId="0" fillId="20" borderId="21" xfId="0" applyFill="1" applyBorder="1" applyAlignment="1">
      <alignment horizontal="center" vertical="center"/>
    </xf>
    <xf numFmtId="0" fontId="145" fillId="20" borderId="2" xfId="0" applyFont="1" applyFill="1" applyBorder="1" applyAlignment="1">
      <alignment horizontal="center" vertical="center" wrapText="1"/>
    </xf>
    <xf numFmtId="0" fontId="0" fillId="6" borderId="2" xfId="0" applyFill="1" applyBorder="1" applyAlignment="1">
      <alignment horizontal="center" vertical="center" wrapText="1"/>
    </xf>
    <xf numFmtId="0" fontId="294" fillId="0" borderId="61" xfId="0" applyFont="1" applyBorder="1" applyAlignment="1">
      <alignment horizontal="center" vertical="center"/>
    </xf>
    <xf numFmtId="0" fontId="147" fillId="6" borderId="2" xfId="0" applyFont="1" applyFill="1" applyBorder="1" applyAlignment="1">
      <alignment horizontal="center" vertical="center" wrapText="1"/>
    </xf>
    <xf numFmtId="0" fontId="147" fillId="20" borderId="2" xfId="0"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304" fillId="0" borderId="0" xfId="20" applyFont="1" applyFill="1" applyAlignment="1">
      <alignment horizontal="center" vertical="center" wrapText="1"/>
    </xf>
    <xf numFmtId="0" fontId="297" fillId="0" borderId="0" xfId="18" applyFont="1" applyFill="1" applyBorder="1" applyAlignment="1">
      <alignment horizontal="center" vertical="center" wrapText="1"/>
    </xf>
    <xf numFmtId="0" fontId="296" fillId="0" borderId="2" xfId="18" applyFont="1" applyFill="1" applyBorder="1" applyAlignment="1">
      <alignment horizontal="center" vertical="center" wrapText="1"/>
    </xf>
    <xf numFmtId="177" fontId="296" fillId="0" borderId="2" xfId="18" applyNumberFormat="1" applyFont="1" applyFill="1" applyBorder="1" applyAlignment="1">
      <alignment horizontal="center" vertical="center" wrapText="1"/>
    </xf>
    <xf numFmtId="0" fontId="302" fillId="0" borderId="2" xfId="18" applyFont="1" applyFill="1" applyBorder="1" applyAlignment="1">
      <alignment horizontal="center" vertical="center" wrapText="1"/>
    </xf>
    <xf numFmtId="0" fontId="82" fillId="0" borderId="2" xfId="18" applyFont="1" applyFill="1" applyBorder="1" applyAlignment="1">
      <alignment horizontal="center" vertical="center" wrapText="1"/>
    </xf>
    <xf numFmtId="0" fontId="296" fillId="0" borderId="2" xfId="19" applyNumberFormat="1" applyFont="1" applyFill="1" applyBorder="1" applyAlignment="1">
      <alignment horizontal="center" vertical="center" wrapText="1"/>
    </xf>
    <xf numFmtId="0" fontId="296" fillId="0" borderId="0" xfId="18" applyFont="1" applyFill="1" applyBorder="1" applyAlignment="1">
      <alignment horizontal="center" vertical="center" wrapText="1"/>
    </xf>
    <xf numFmtId="0" fontId="302" fillId="0" borderId="0" xfId="18" applyFont="1" applyFill="1" applyBorder="1" applyAlignment="1">
      <alignment horizontal="center" vertical="center" wrapText="1"/>
    </xf>
    <xf numFmtId="177" fontId="296" fillId="0" borderId="0" xfId="18" applyNumberFormat="1" applyFont="1" applyFill="1" applyBorder="1" applyAlignment="1">
      <alignment horizontal="center" vertical="center" wrapText="1"/>
    </xf>
    <xf numFmtId="0" fontId="296" fillId="0" borderId="0" xfId="17" applyNumberFormat="1" applyFont="1" applyFill="1" applyBorder="1" applyAlignment="1">
      <alignment horizontal="center" vertical="center" wrapText="1"/>
    </xf>
    <xf numFmtId="0" fontId="306" fillId="21" borderId="161" xfId="0" applyFont="1" applyFill="1" applyBorder="1" applyAlignment="1">
      <alignment horizontal="center" vertical="center" wrapText="1"/>
    </xf>
    <xf numFmtId="0" fontId="306" fillId="21" borderId="168" xfId="0" applyFont="1" applyFill="1" applyBorder="1" applyAlignment="1">
      <alignment horizontal="center" vertical="center" wrapText="1"/>
    </xf>
    <xf numFmtId="0" fontId="306" fillId="21" borderId="166" xfId="0" applyFont="1" applyFill="1" applyBorder="1" applyAlignment="1">
      <alignment horizontal="center" vertical="center" wrapText="1"/>
    </xf>
    <xf numFmtId="0" fontId="306" fillId="21" borderId="171" xfId="0" applyFont="1" applyFill="1" applyBorder="1" applyAlignment="1">
      <alignment horizontal="center" vertical="center" wrapText="1"/>
    </xf>
    <xf numFmtId="0" fontId="306" fillId="21" borderId="165" xfId="0" applyFont="1" applyFill="1" applyBorder="1" applyAlignment="1">
      <alignment horizontal="center" vertical="center" wrapText="1"/>
    </xf>
    <xf numFmtId="0" fontId="306" fillId="21" borderId="170" xfId="0" applyFont="1" applyFill="1" applyBorder="1" applyAlignment="1">
      <alignment horizontal="center" vertical="center" wrapText="1"/>
    </xf>
    <xf numFmtId="0" fontId="306" fillId="21" borderId="162" xfId="0" applyFont="1" applyFill="1" applyBorder="1" applyAlignment="1">
      <alignment horizontal="center" vertical="center" wrapText="1"/>
    </xf>
    <xf numFmtId="0" fontId="306" fillId="21" borderId="163" xfId="0" applyFont="1" applyFill="1" applyBorder="1" applyAlignment="1">
      <alignment horizontal="center" vertical="center" wrapText="1"/>
    </xf>
    <xf numFmtId="0" fontId="306" fillId="21" borderId="164" xfId="0" applyFont="1" applyFill="1" applyBorder="1" applyAlignment="1">
      <alignment horizontal="center" vertical="center" wrapText="1"/>
    </xf>
    <xf numFmtId="0" fontId="306" fillId="21" borderId="160" xfId="0" applyFont="1" applyFill="1" applyBorder="1" applyAlignment="1">
      <alignment horizontal="center" vertical="center" wrapText="1"/>
    </xf>
    <xf numFmtId="0" fontId="306" fillId="21" borderId="167" xfId="0" applyFont="1" applyFill="1" applyBorder="1" applyAlignment="1">
      <alignment horizontal="center" vertical="center" wrapText="1"/>
    </xf>
    <xf numFmtId="49" fontId="126" fillId="5" borderId="53"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2" fillId="0" borderId="11" xfId="0" applyFont="1" applyFill="1" applyBorder="1" applyAlignment="1" applyProtection="1">
      <alignment horizontal="center" vertical="center" wrapText="1"/>
      <protection locked="0"/>
    </xf>
    <xf numFmtId="0" fontId="282" fillId="0" borderId="9" xfId="0" applyFont="1" applyFill="1" applyBorder="1" applyAlignment="1" applyProtection="1">
      <alignment horizontal="center" vertical="center" wrapText="1"/>
      <protection locked="0"/>
    </xf>
    <xf numFmtId="185" fontId="83" fillId="17" borderId="2" xfId="0" applyNumberFormat="1"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2" fillId="0" borderId="43" xfId="0" applyFont="1" applyFill="1" applyBorder="1" applyAlignment="1" applyProtection="1">
      <alignment horizontal="center" vertical="center" wrapText="1"/>
      <protection locked="0"/>
    </xf>
    <xf numFmtId="0" fontId="282"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304" fillId="0" borderId="2" xfId="18" applyFont="1" applyFill="1" applyBorder="1" applyAlignment="1">
      <alignment horizontal="center" vertical="center" wrapText="1"/>
    </xf>
    <xf numFmtId="0" fontId="304" fillId="0" borderId="0" xfId="18" applyFont="1" applyFill="1" applyBorder="1" applyAlignment="1">
      <alignment horizontal="center" vertical="center" wrapText="1"/>
    </xf>
    <xf numFmtId="0" fontId="304" fillId="0" borderId="19" xfId="18" applyFont="1" applyFill="1" applyBorder="1" applyAlignment="1">
      <alignment horizontal="center" vertical="center" wrapText="1"/>
    </xf>
    <xf numFmtId="0" fontId="312" fillId="0" borderId="2" xfId="18" applyFont="1" applyFill="1" applyBorder="1" applyAlignment="1">
      <alignment horizontal="center" vertical="center" wrapText="1"/>
    </xf>
    <xf numFmtId="177" fontId="312" fillId="0" borderId="2" xfId="18" applyNumberFormat="1" applyFont="1" applyFill="1" applyBorder="1" applyAlignment="1">
      <alignment horizontal="center" vertical="center" wrapText="1"/>
    </xf>
    <xf numFmtId="0" fontId="313" fillId="0" borderId="2" xfId="18" applyFont="1" applyFill="1" applyBorder="1" applyAlignment="1">
      <alignment horizontal="center" vertical="center" wrapText="1"/>
    </xf>
    <xf numFmtId="0" fontId="312" fillId="0" borderId="2" xfId="17" applyNumberFormat="1" applyFont="1" applyFill="1" applyBorder="1" applyAlignment="1">
      <alignment horizontal="center" vertical="center" wrapText="1"/>
    </xf>
    <xf numFmtId="0" fontId="296" fillId="0" borderId="2" xfId="17" applyNumberFormat="1" applyFont="1" applyFill="1" applyBorder="1" applyAlignment="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4">
    <cellStyle name="百分比 2" xfId="11"/>
    <cellStyle name="百分比 2 2" xfId="21"/>
    <cellStyle name="百分比 4" xfId="17"/>
    <cellStyle name="百分比 4 4" xfId="19"/>
    <cellStyle name="百分比 5" xfId="23"/>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2" xfId="20"/>
    <cellStyle name="常规_2004-40_2008-6-1 2" xfId="18"/>
    <cellStyle name="常规_2004-40_2008-6-1 2 2 2" xfId="22"/>
    <cellStyle name="超链接" xfId="16" builtinId="8"/>
  </cellStyles>
  <dxfs count="30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clustered"/>
        <c:ser>
          <c:idx val="0"/>
          <c:order val="0"/>
          <c:tx>
            <c:strRef>
              <c:f>Sheet1!$F$30</c:f>
              <c:strCache>
                <c:ptCount val="1"/>
                <c:pt idx="0">
                  <c:v>基准地价</c:v>
                </c:pt>
              </c:strCache>
            </c:strRef>
          </c:tx>
          <c:cat>
            <c:strRef>
              <c:f>Sheet1!$E$31:$E$33</c:f>
              <c:strCache>
                <c:ptCount val="3"/>
                <c:pt idx="0">
                  <c:v>2018年</c:v>
                </c:pt>
                <c:pt idx="1">
                  <c:v>2019年</c:v>
                </c:pt>
                <c:pt idx="2">
                  <c:v>2020年</c:v>
                </c:pt>
              </c:strCache>
            </c:strRef>
          </c:cat>
          <c:val>
            <c:numRef>
              <c:f>Sheet1!$F$31:$F$33</c:f>
              <c:numCache>
                <c:formatCode>0</c:formatCode>
                <c:ptCount val="3"/>
                <c:pt idx="0">
                  <c:v>16929.582000000002</c:v>
                </c:pt>
                <c:pt idx="1">
                  <c:v>17258.624</c:v>
                </c:pt>
                <c:pt idx="2">
                  <c:v>17052.045000000002</c:v>
                </c:pt>
              </c:numCache>
            </c:numRef>
          </c:val>
        </c:ser>
        <c:ser>
          <c:idx val="1"/>
          <c:order val="1"/>
          <c:tx>
            <c:strRef>
              <c:f>Sheet1!$G$30</c:f>
              <c:strCache>
                <c:ptCount val="1"/>
                <c:pt idx="0">
                  <c:v>协议出让</c:v>
                </c:pt>
              </c:strCache>
            </c:strRef>
          </c:tx>
          <c:cat>
            <c:strRef>
              <c:f>Sheet1!$E$31:$E$33</c:f>
              <c:strCache>
                <c:ptCount val="3"/>
                <c:pt idx="0">
                  <c:v>2018年</c:v>
                </c:pt>
                <c:pt idx="1">
                  <c:v>2019年</c:v>
                </c:pt>
                <c:pt idx="2">
                  <c:v>2020年</c:v>
                </c:pt>
              </c:strCache>
            </c:strRef>
          </c:cat>
          <c:val>
            <c:numRef>
              <c:f>Sheet1!$G$31:$G$33</c:f>
              <c:numCache>
                <c:formatCode>General</c:formatCode>
                <c:ptCount val="3"/>
                <c:pt idx="0">
                  <c:v>13971</c:v>
                </c:pt>
                <c:pt idx="1">
                  <c:v>13576</c:v>
                </c:pt>
                <c:pt idx="2">
                  <c:v>12046</c:v>
                </c:pt>
              </c:numCache>
            </c:numRef>
          </c:val>
        </c:ser>
        <c:ser>
          <c:idx val="2"/>
          <c:order val="2"/>
          <c:tx>
            <c:strRef>
              <c:f>Sheet1!$H$30</c:f>
              <c:strCache>
                <c:ptCount val="1"/>
                <c:pt idx="0">
                  <c:v>招拍挂出让</c:v>
                </c:pt>
              </c:strCache>
            </c:strRef>
          </c:tx>
          <c:cat>
            <c:strRef>
              <c:f>Sheet1!$E$31:$E$33</c:f>
              <c:strCache>
                <c:ptCount val="3"/>
                <c:pt idx="0">
                  <c:v>2018年</c:v>
                </c:pt>
                <c:pt idx="1">
                  <c:v>2019年</c:v>
                </c:pt>
                <c:pt idx="2">
                  <c:v>2020年</c:v>
                </c:pt>
              </c:strCache>
            </c:strRef>
          </c:cat>
          <c:val>
            <c:numRef>
              <c:f>Sheet1!$H$31:$H$33</c:f>
              <c:numCache>
                <c:formatCode>0</c:formatCode>
                <c:ptCount val="3"/>
                <c:pt idx="1">
                  <c:v>22075.16119451703</c:v>
                </c:pt>
              </c:numCache>
            </c:numRef>
          </c:val>
        </c:ser>
        <c:dLbls>
          <c:showVal val="1"/>
        </c:dLbls>
        <c:gapWidth val="75"/>
        <c:axId val="341560704"/>
        <c:axId val="341568128"/>
      </c:barChart>
      <c:lineChart>
        <c:grouping val="standard"/>
        <c:ser>
          <c:idx val="3"/>
          <c:order val="3"/>
          <c:tx>
            <c:strRef>
              <c:f>Sheet1!$I$30</c:f>
              <c:strCache>
                <c:ptCount val="1"/>
                <c:pt idx="0">
                  <c:v>西北旺新村A3地块评估结果</c:v>
                </c:pt>
              </c:strCache>
            </c:strRef>
          </c:tx>
          <c:marker>
            <c:symbol val="none"/>
          </c:marker>
          <c:cat>
            <c:strRef>
              <c:f>Sheet1!$E$31:$E$33</c:f>
              <c:strCache>
                <c:ptCount val="3"/>
                <c:pt idx="0">
                  <c:v>2018年</c:v>
                </c:pt>
                <c:pt idx="1">
                  <c:v>2019年</c:v>
                </c:pt>
                <c:pt idx="2">
                  <c:v>2020年</c:v>
                </c:pt>
              </c:strCache>
            </c:strRef>
          </c:cat>
          <c:val>
            <c:numRef>
              <c:f>Sheet1!$I$31:$I$33</c:f>
              <c:numCache>
                <c:formatCode>General</c:formatCode>
                <c:ptCount val="3"/>
                <c:pt idx="0">
                  <c:v>15258</c:v>
                </c:pt>
                <c:pt idx="1">
                  <c:v>15258</c:v>
                </c:pt>
                <c:pt idx="2">
                  <c:v>15258</c:v>
                </c:pt>
              </c:numCache>
            </c:numRef>
          </c:val>
        </c:ser>
        <c:dLbls>
          <c:showVal val="1"/>
        </c:dLbls>
        <c:marker val="1"/>
        <c:axId val="341560704"/>
        <c:axId val="341568128"/>
      </c:lineChart>
      <c:catAx>
        <c:axId val="341560704"/>
        <c:scaling>
          <c:orientation val="minMax"/>
        </c:scaling>
        <c:axPos val="b"/>
        <c:majorTickMark val="none"/>
        <c:tickLblPos val="nextTo"/>
        <c:crossAx val="341568128"/>
        <c:crosses val="autoZero"/>
        <c:auto val="1"/>
        <c:lblAlgn val="ctr"/>
        <c:lblOffset val="100"/>
      </c:catAx>
      <c:valAx>
        <c:axId val="341568128"/>
        <c:scaling>
          <c:orientation val="minMax"/>
        </c:scaling>
        <c:axPos val="l"/>
        <c:numFmt formatCode="0" sourceLinked="1"/>
        <c:majorTickMark val="none"/>
        <c:tickLblPos val="nextTo"/>
        <c:crossAx val="341560704"/>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CN"/>
  <c:chart>
    <c:autoTitleDeleted val="1"/>
    <c:plotArea>
      <c:layout/>
      <c:barChart>
        <c:barDir val="col"/>
        <c:grouping val="clustered"/>
        <c:ser>
          <c:idx val="0"/>
          <c:order val="0"/>
          <c:tx>
            <c:strRef>
              <c:f>Sheet1!$F$26</c:f>
              <c:strCache>
                <c:ptCount val="1"/>
                <c:pt idx="0">
                  <c:v>基准地价</c:v>
                </c:pt>
              </c:strCache>
            </c:strRef>
          </c:tx>
          <c:cat>
            <c:strRef>
              <c:f>Sheet1!$E$27:$E$29</c:f>
              <c:strCache>
                <c:ptCount val="3"/>
                <c:pt idx="0">
                  <c:v>2018年</c:v>
                </c:pt>
                <c:pt idx="1">
                  <c:v>2019年</c:v>
                </c:pt>
                <c:pt idx="2">
                  <c:v>2020年</c:v>
                </c:pt>
              </c:strCache>
            </c:strRef>
          </c:cat>
          <c:val>
            <c:numRef>
              <c:f>Sheet1!$F$27:$F$29</c:f>
              <c:numCache>
                <c:formatCode>0</c:formatCode>
                <c:ptCount val="3"/>
                <c:pt idx="0">
                  <c:v>13809.174000000001</c:v>
                </c:pt>
                <c:pt idx="1">
                  <c:v>14077.567999999999</c:v>
                </c:pt>
                <c:pt idx="2">
                  <c:v>13909.065000000001</c:v>
                </c:pt>
              </c:numCache>
            </c:numRef>
          </c:val>
        </c:ser>
        <c:ser>
          <c:idx val="1"/>
          <c:order val="1"/>
          <c:tx>
            <c:strRef>
              <c:f>Sheet1!$G$26</c:f>
              <c:strCache>
                <c:ptCount val="1"/>
                <c:pt idx="0">
                  <c:v>协议出让</c:v>
                </c:pt>
              </c:strCache>
            </c:strRef>
          </c:tx>
          <c:cat>
            <c:strRef>
              <c:f>Sheet1!$E$27:$E$29</c:f>
              <c:strCache>
                <c:ptCount val="3"/>
                <c:pt idx="0">
                  <c:v>2018年</c:v>
                </c:pt>
                <c:pt idx="1">
                  <c:v>2019年</c:v>
                </c:pt>
                <c:pt idx="2">
                  <c:v>2020年</c:v>
                </c:pt>
              </c:strCache>
            </c:strRef>
          </c:cat>
          <c:val>
            <c:numRef>
              <c:f>Sheet1!$G$27:$G$29</c:f>
              <c:numCache>
                <c:formatCode>General</c:formatCode>
                <c:ptCount val="3"/>
                <c:pt idx="0" formatCode="0">
                  <c:v>15424</c:v>
                </c:pt>
                <c:pt idx="1">
                  <c:v>13640</c:v>
                </c:pt>
                <c:pt idx="2">
                  <c:v>12646</c:v>
                </c:pt>
              </c:numCache>
            </c:numRef>
          </c:val>
        </c:ser>
        <c:ser>
          <c:idx val="2"/>
          <c:order val="2"/>
          <c:tx>
            <c:strRef>
              <c:f>Sheet1!$H$26</c:f>
              <c:strCache>
                <c:ptCount val="1"/>
                <c:pt idx="0">
                  <c:v>招拍挂出让</c:v>
                </c:pt>
              </c:strCache>
            </c:strRef>
          </c:tx>
          <c:cat>
            <c:strRef>
              <c:f>Sheet1!$E$27:$E$29</c:f>
              <c:strCache>
                <c:ptCount val="3"/>
                <c:pt idx="0">
                  <c:v>2018年</c:v>
                </c:pt>
                <c:pt idx="1">
                  <c:v>2019年</c:v>
                </c:pt>
                <c:pt idx="2">
                  <c:v>2020年</c:v>
                </c:pt>
              </c:strCache>
            </c:strRef>
          </c:cat>
          <c:val>
            <c:numRef>
              <c:f>Sheet1!$H$27:$H$29</c:f>
              <c:numCache>
                <c:formatCode>0</c:formatCode>
                <c:ptCount val="3"/>
                <c:pt idx="1">
                  <c:v>22075.16119451703</c:v>
                </c:pt>
              </c:numCache>
            </c:numRef>
          </c:val>
        </c:ser>
        <c:dLbls>
          <c:showVal val="1"/>
        </c:dLbls>
        <c:gapWidth val="75"/>
        <c:axId val="94299648"/>
        <c:axId val="94301184"/>
      </c:barChart>
      <c:lineChart>
        <c:grouping val="standard"/>
        <c:ser>
          <c:idx val="3"/>
          <c:order val="3"/>
          <c:tx>
            <c:strRef>
              <c:f>Sheet1!$I$26</c:f>
              <c:strCache>
                <c:ptCount val="1"/>
                <c:pt idx="0">
                  <c:v>西北旺新村A3地块评估结果</c:v>
                </c:pt>
              </c:strCache>
            </c:strRef>
          </c:tx>
          <c:marker>
            <c:symbol val="none"/>
          </c:marker>
          <c:cat>
            <c:strRef>
              <c:f>Sheet1!$E$27:$E$29</c:f>
              <c:strCache>
                <c:ptCount val="3"/>
                <c:pt idx="0">
                  <c:v>2018年</c:v>
                </c:pt>
                <c:pt idx="1">
                  <c:v>2019年</c:v>
                </c:pt>
                <c:pt idx="2">
                  <c:v>2020年</c:v>
                </c:pt>
              </c:strCache>
            </c:strRef>
          </c:cat>
          <c:val>
            <c:numRef>
              <c:f>Sheet1!$I$27:$I$29</c:f>
              <c:numCache>
                <c:formatCode>General</c:formatCode>
                <c:ptCount val="3"/>
                <c:pt idx="0">
                  <c:v>16252</c:v>
                </c:pt>
                <c:pt idx="1">
                  <c:v>16252</c:v>
                </c:pt>
                <c:pt idx="2">
                  <c:v>16252</c:v>
                </c:pt>
              </c:numCache>
            </c:numRef>
          </c:val>
        </c:ser>
        <c:dLbls>
          <c:showVal val="1"/>
        </c:dLbls>
        <c:marker val="1"/>
        <c:axId val="94299648"/>
        <c:axId val="94301184"/>
      </c:lineChart>
      <c:catAx>
        <c:axId val="94299648"/>
        <c:scaling>
          <c:orientation val="minMax"/>
        </c:scaling>
        <c:axPos val="b"/>
        <c:majorTickMark val="none"/>
        <c:tickLblPos val="nextTo"/>
        <c:crossAx val="94301184"/>
        <c:crosses val="autoZero"/>
        <c:auto val="1"/>
        <c:lblAlgn val="ctr"/>
        <c:lblOffset val="100"/>
      </c:catAx>
      <c:valAx>
        <c:axId val="94301184"/>
        <c:scaling>
          <c:orientation val="minMax"/>
        </c:scaling>
        <c:axPos val="l"/>
        <c:numFmt formatCode="0" sourceLinked="1"/>
        <c:majorTickMark val="none"/>
        <c:tickLblPos val="nextTo"/>
        <c:crossAx val="94299648"/>
        <c:crosses val="autoZero"/>
        <c:crossBetween val="between"/>
      </c:valAx>
    </c:plotArea>
    <c:legend>
      <c:legendPos val="b"/>
    </c:legend>
    <c:plotVisOnly val="1"/>
    <c:dispBlanksAs val="gap"/>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jpeg"/><Relationship Id="rId4" Type="http://schemas.openxmlformats.org/officeDocument/2006/relationships/image" Target="../media/image9.png"/><Relationship Id="rId9"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305741</xdr:colOff>
      <xdr:row>0</xdr:row>
      <xdr:rowOff>35278</xdr:rowOff>
    </xdr:from>
    <xdr:to>
      <xdr:col>13</xdr:col>
      <xdr:colOff>159657</xdr:colOff>
      <xdr:row>10</xdr:row>
      <xdr:rowOff>128532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7984537" y="35278"/>
          <a:ext cx="4980953" cy="1857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18</xdr:col>
      <xdr:colOff>566952</xdr:colOff>
      <xdr:row>12</xdr:row>
      <xdr:rowOff>851</xdr:rowOff>
    </xdr:to>
    <xdr:pic>
      <xdr:nvPicPr>
        <xdr:cNvPr id="14" name="图片 13">
          <a:extLst>
            <a:ext uri="{FF2B5EF4-FFF2-40B4-BE49-F238E27FC236}">
              <a16:creationId xmlns:a16="http://schemas.microsoft.com/office/drawing/2014/main" xmlns="" id="{C6138B20-00AD-4CC0-A2BC-1A1FE04BB878}"/>
            </a:ext>
          </a:extLst>
        </xdr:cNvPr>
        <xdr:cNvPicPr>
          <a:picLocks noChangeAspect="1"/>
        </xdr:cNvPicPr>
      </xdr:nvPicPr>
      <xdr:blipFill>
        <a:blip xmlns:r="http://schemas.openxmlformats.org/officeDocument/2006/relationships" r:embed="rId1" cstate="print"/>
        <a:stretch>
          <a:fillRect/>
        </a:stretch>
      </xdr:blipFill>
      <xdr:spPr>
        <a:xfrm>
          <a:off x="612588" y="24563294"/>
          <a:ext cx="10980952" cy="2152381"/>
        </a:xfrm>
        <a:prstGeom prst="rect">
          <a:avLst/>
        </a:prstGeom>
      </xdr:spPr>
    </xdr:pic>
    <xdr:clientData/>
  </xdr:twoCellAnchor>
  <xdr:twoCellAnchor editAs="oneCell">
    <xdr:from>
      <xdr:col>19</xdr:col>
      <xdr:colOff>0</xdr:colOff>
      <xdr:row>1</xdr:row>
      <xdr:rowOff>0</xdr:rowOff>
    </xdr:from>
    <xdr:to>
      <xdr:col>33</xdr:col>
      <xdr:colOff>71383</xdr:colOff>
      <xdr:row>7</xdr:row>
      <xdr:rowOff>425</xdr:rowOff>
    </xdr:to>
    <xdr:pic>
      <xdr:nvPicPr>
        <xdr:cNvPr id="15" name="图片 14">
          <a:extLst>
            <a:ext uri="{FF2B5EF4-FFF2-40B4-BE49-F238E27FC236}">
              <a16:creationId xmlns:a16="http://schemas.microsoft.com/office/drawing/2014/main" xmlns="" id="{1958AC14-750B-44DF-AAEE-9EF4FEB3CAEC}"/>
            </a:ext>
          </a:extLst>
        </xdr:cNvPr>
        <xdr:cNvPicPr>
          <a:picLocks noChangeAspect="1"/>
        </xdr:cNvPicPr>
      </xdr:nvPicPr>
      <xdr:blipFill>
        <a:blip xmlns:r="http://schemas.openxmlformats.org/officeDocument/2006/relationships" r:embed="rId2" cstate="print"/>
        <a:stretch>
          <a:fillRect/>
        </a:stretch>
      </xdr:blipFill>
      <xdr:spPr>
        <a:xfrm>
          <a:off x="11639176" y="24742588"/>
          <a:ext cx="8647619" cy="1076190"/>
        </a:xfrm>
        <a:prstGeom prst="rect">
          <a:avLst/>
        </a:prstGeom>
      </xdr:spPr>
    </xdr:pic>
    <xdr:clientData/>
  </xdr:twoCellAnchor>
  <xdr:twoCellAnchor editAs="oneCell">
    <xdr:from>
      <xdr:col>0</xdr:col>
      <xdr:colOff>593912</xdr:colOff>
      <xdr:row>12</xdr:row>
      <xdr:rowOff>19743</xdr:rowOff>
    </xdr:from>
    <xdr:to>
      <xdr:col>13</xdr:col>
      <xdr:colOff>505239</xdr:colOff>
      <xdr:row>32</xdr:row>
      <xdr:rowOff>162221</xdr:rowOff>
    </xdr:to>
    <xdr:pic>
      <xdr:nvPicPr>
        <xdr:cNvPr id="16" name="图片 15">
          <a:extLst>
            <a:ext uri="{FF2B5EF4-FFF2-40B4-BE49-F238E27FC236}">
              <a16:creationId xmlns:a16="http://schemas.microsoft.com/office/drawing/2014/main" xmlns="" id="{84216587-6607-4038-9DD2-34AF870FB43C}"/>
            </a:ext>
          </a:extLst>
        </xdr:cNvPr>
        <xdr:cNvPicPr>
          <a:picLocks noChangeAspect="1"/>
        </xdr:cNvPicPr>
      </xdr:nvPicPr>
      <xdr:blipFill>
        <a:blip xmlns:r="http://schemas.openxmlformats.org/officeDocument/2006/relationships" r:embed="rId3" cstate="print"/>
        <a:stretch>
          <a:fillRect/>
        </a:stretch>
      </xdr:blipFill>
      <xdr:spPr>
        <a:xfrm>
          <a:off x="593912" y="26734567"/>
          <a:ext cx="7874974" cy="3728359"/>
        </a:xfrm>
        <a:prstGeom prst="rect">
          <a:avLst/>
        </a:prstGeom>
      </xdr:spPr>
    </xdr:pic>
    <xdr:clientData/>
  </xdr:twoCellAnchor>
  <xdr:twoCellAnchor editAs="oneCell">
    <xdr:from>
      <xdr:col>1</xdr:col>
      <xdr:colOff>0</xdr:colOff>
      <xdr:row>66</xdr:row>
      <xdr:rowOff>0</xdr:rowOff>
    </xdr:from>
    <xdr:to>
      <xdr:col>19</xdr:col>
      <xdr:colOff>31285</xdr:colOff>
      <xdr:row>78</xdr:row>
      <xdr:rowOff>146666</xdr:rowOff>
    </xdr:to>
    <xdr:pic>
      <xdr:nvPicPr>
        <xdr:cNvPr id="22" name="图片 21">
          <a:extLst>
            <a:ext uri="{FF2B5EF4-FFF2-40B4-BE49-F238E27FC236}">
              <a16:creationId xmlns:a16="http://schemas.microsoft.com/office/drawing/2014/main" xmlns="" id="{856F6290-B3DA-4959-8307-1AFBD30A52FD}"/>
            </a:ext>
          </a:extLst>
        </xdr:cNvPr>
        <xdr:cNvPicPr>
          <a:picLocks noChangeAspect="1"/>
        </xdr:cNvPicPr>
      </xdr:nvPicPr>
      <xdr:blipFill>
        <a:blip xmlns:r="http://schemas.openxmlformats.org/officeDocument/2006/relationships" r:embed="rId4" cstate="print"/>
        <a:stretch>
          <a:fillRect/>
        </a:stretch>
      </xdr:blipFill>
      <xdr:spPr>
        <a:xfrm>
          <a:off x="607786" y="36830000"/>
          <a:ext cx="10971428" cy="2323809"/>
        </a:xfrm>
        <a:prstGeom prst="rect">
          <a:avLst/>
        </a:prstGeom>
      </xdr:spPr>
    </xdr:pic>
    <xdr:clientData/>
  </xdr:twoCellAnchor>
  <xdr:twoCellAnchor editAs="oneCell">
    <xdr:from>
      <xdr:col>1</xdr:col>
      <xdr:colOff>0</xdr:colOff>
      <xdr:row>79</xdr:row>
      <xdr:rowOff>0</xdr:rowOff>
    </xdr:from>
    <xdr:to>
      <xdr:col>13</xdr:col>
      <xdr:colOff>194370</xdr:colOff>
      <xdr:row>98</xdr:row>
      <xdr:rowOff>152857</xdr:rowOff>
    </xdr:to>
    <xdr:pic>
      <xdr:nvPicPr>
        <xdr:cNvPr id="23" name="图片 22">
          <a:extLst>
            <a:ext uri="{FF2B5EF4-FFF2-40B4-BE49-F238E27FC236}">
              <a16:creationId xmlns:a16="http://schemas.microsoft.com/office/drawing/2014/main" xmlns="" id="{52F116D3-E6FB-4854-A1F3-9C61CE40AA11}"/>
            </a:ext>
          </a:extLst>
        </xdr:cNvPr>
        <xdr:cNvPicPr>
          <a:picLocks noChangeAspect="1"/>
        </xdr:cNvPicPr>
      </xdr:nvPicPr>
      <xdr:blipFill>
        <a:blip xmlns:r="http://schemas.openxmlformats.org/officeDocument/2006/relationships" r:embed="rId5" cstate="print"/>
        <a:stretch>
          <a:fillRect/>
        </a:stretch>
      </xdr:blipFill>
      <xdr:spPr>
        <a:xfrm>
          <a:off x="607786" y="39188571"/>
          <a:ext cx="7487798" cy="3600000"/>
        </a:xfrm>
        <a:prstGeom prst="rect">
          <a:avLst/>
        </a:prstGeom>
      </xdr:spPr>
    </xdr:pic>
    <xdr:clientData/>
  </xdr:twoCellAnchor>
  <xdr:twoCellAnchor editAs="oneCell">
    <xdr:from>
      <xdr:col>19</xdr:col>
      <xdr:colOff>27214</xdr:colOff>
      <xdr:row>66</xdr:row>
      <xdr:rowOff>0</xdr:rowOff>
    </xdr:from>
    <xdr:to>
      <xdr:col>32</xdr:col>
      <xdr:colOff>506952</xdr:colOff>
      <xdr:row>70</xdr:row>
      <xdr:rowOff>26667</xdr:rowOff>
    </xdr:to>
    <xdr:pic>
      <xdr:nvPicPr>
        <xdr:cNvPr id="24" name="图片 23">
          <a:extLst>
            <a:ext uri="{FF2B5EF4-FFF2-40B4-BE49-F238E27FC236}">
              <a16:creationId xmlns:a16="http://schemas.microsoft.com/office/drawing/2014/main" xmlns="" id="{4750BCB9-8520-4B1F-8936-B38A8861C097}"/>
            </a:ext>
          </a:extLst>
        </xdr:cNvPr>
        <xdr:cNvPicPr>
          <a:picLocks noChangeAspect="1"/>
        </xdr:cNvPicPr>
      </xdr:nvPicPr>
      <xdr:blipFill>
        <a:blip xmlns:r="http://schemas.openxmlformats.org/officeDocument/2006/relationships" r:embed="rId6" cstate="print"/>
        <a:stretch>
          <a:fillRect/>
        </a:stretch>
      </xdr:blipFill>
      <xdr:spPr>
        <a:xfrm>
          <a:off x="11575143" y="36830000"/>
          <a:ext cx="8380952" cy="752381"/>
        </a:xfrm>
        <a:prstGeom prst="rect">
          <a:avLst/>
        </a:prstGeom>
      </xdr:spPr>
    </xdr:pic>
    <xdr:clientData/>
  </xdr:twoCellAnchor>
  <xdr:twoCellAnchor editAs="oneCell">
    <xdr:from>
      <xdr:col>1</xdr:col>
      <xdr:colOff>0</xdr:colOff>
      <xdr:row>33</xdr:row>
      <xdr:rowOff>0</xdr:rowOff>
    </xdr:from>
    <xdr:to>
      <xdr:col>19</xdr:col>
      <xdr:colOff>173412</xdr:colOff>
      <xdr:row>44</xdr:row>
      <xdr:rowOff>161098</xdr:rowOff>
    </xdr:to>
    <xdr:pic>
      <xdr:nvPicPr>
        <xdr:cNvPr id="26" name="图片 25">
          <a:extLst>
            <a:ext uri="{FF2B5EF4-FFF2-40B4-BE49-F238E27FC236}">
              <a16:creationId xmlns:a16="http://schemas.microsoft.com/office/drawing/2014/main" xmlns="" id="{DE29CCA3-D288-4816-98F0-509AA00B6ABB}"/>
            </a:ext>
          </a:extLst>
        </xdr:cNvPr>
        <xdr:cNvPicPr>
          <a:picLocks noChangeAspect="1"/>
        </xdr:cNvPicPr>
      </xdr:nvPicPr>
      <xdr:blipFill>
        <a:blip xmlns:r="http://schemas.openxmlformats.org/officeDocument/2006/relationships" r:embed="rId7" cstate="print"/>
        <a:stretch>
          <a:fillRect/>
        </a:stretch>
      </xdr:blipFill>
      <xdr:spPr>
        <a:xfrm>
          <a:off x="612588" y="5916706"/>
          <a:ext cx="11200000" cy="2133333"/>
        </a:xfrm>
        <a:prstGeom prst="rect">
          <a:avLst/>
        </a:prstGeom>
      </xdr:spPr>
    </xdr:pic>
    <xdr:clientData/>
  </xdr:twoCellAnchor>
  <xdr:twoCellAnchor editAs="oneCell">
    <xdr:from>
      <xdr:col>19</xdr:col>
      <xdr:colOff>0</xdr:colOff>
      <xdr:row>33</xdr:row>
      <xdr:rowOff>0</xdr:rowOff>
    </xdr:from>
    <xdr:to>
      <xdr:col>32</xdr:col>
      <xdr:colOff>426828</xdr:colOff>
      <xdr:row>39</xdr:row>
      <xdr:rowOff>19473</xdr:rowOff>
    </xdr:to>
    <xdr:pic>
      <xdr:nvPicPr>
        <xdr:cNvPr id="27" name="图片 26">
          <a:extLst>
            <a:ext uri="{FF2B5EF4-FFF2-40B4-BE49-F238E27FC236}">
              <a16:creationId xmlns:a16="http://schemas.microsoft.com/office/drawing/2014/main" xmlns="" id="{56559D6E-DD8B-4E79-BC70-358637C6F6B0}"/>
            </a:ext>
          </a:extLst>
        </xdr:cNvPr>
        <xdr:cNvPicPr>
          <a:picLocks noChangeAspect="1"/>
        </xdr:cNvPicPr>
      </xdr:nvPicPr>
      <xdr:blipFill>
        <a:blip xmlns:r="http://schemas.openxmlformats.org/officeDocument/2006/relationships" r:embed="rId8" cstate="print"/>
        <a:stretch>
          <a:fillRect/>
        </a:stretch>
      </xdr:blipFill>
      <xdr:spPr>
        <a:xfrm>
          <a:off x="11639176" y="5916706"/>
          <a:ext cx="8390476" cy="1095238"/>
        </a:xfrm>
        <a:prstGeom prst="rect">
          <a:avLst/>
        </a:prstGeom>
      </xdr:spPr>
    </xdr:pic>
    <xdr:clientData/>
  </xdr:twoCellAnchor>
  <xdr:twoCellAnchor editAs="oneCell">
    <xdr:from>
      <xdr:col>1</xdr:col>
      <xdr:colOff>0</xdr:colOff>
      <xdr:row>45</xdr:row>
      <xdr:rowOff>0</xdr:rowOff>
    </xdr:from>
    <xdr:to>
      <xdr:col>12</xdr:col>
      <xdr:colOff>586183</xdr:colOff>
      <xdr:row>65</xdr:row>
      <xdr:rowOff>14117</xdr:rowOff>
    </xdr:to>
    <xdr:pic>
      <xdr:nvPicPr>
        <xdr:cNvPr id="28" name="图片 27">
          <a:extLst>
            <a:ext uri="{FF2B5EF4-FFF2-40B4-BE49-F238E27FC236}">
              <a16:creationId xmlns:a16="http://schemas.microsoft.com/office/drawing/2014/main" xmlns="" id="{160B5FAF-7507-46AA-A79A-7D48B958D5CF}"/>
            </a:ext>
          </a:extLst>
        </xdr:cNvPr>
        <xdr:cNvPicPr>
          <a:picLocks noChangeAspect="1"/>
        </xdr:cNvPicPr>
      </xdr:nvPicPr>
      <xdr:blipFill>
        <a:blip xmlns:r="http://schemas.openxmlformats.org/officeDocument/2006/relationships" r:embed="rId9" cstate="print"/>
        <a:stretch>
          <a:fillRect/>
        </a:stretch>
      </xdr:blipFill>
      <xdr:spPr>
        <a:xfrm>
          <a:off x="612588" y="8068235"/>
          <a:ext cx="7324654" cy="3600000"/>
        </a:xfrm>
        <a:prstGeom prst="rect">
          <a:avLst/>
        </a:prstGeom>
      </xdr:spPr>
    </xdr:pic>
    <xdr:clientData/>
  </xdr:twoCellAnchor>
  <xdr:twoCellAnchor editAs="oneCell">
    <xdr:from>
      <xdr:col>33</xdr:col>
      <xdr:colOff>0</xdr:colOff>
      <xdr:row>0</xdr:row>
      <xdr:rowOff>0</xdr:rowOff>
    </xdr:from>
    <xdr:to>
      <xdr:col>52</xdr:col>
      <xdr:colOff>397025</xdr:colOff>
      <xdr:row>39</xdr:row>
      <xdr:rowOff>5941</xdr:rowOff>
    </xdr:to>
    <xdr:pic>
      <xdr:nvPicPr>
        <xdr:cNvPr id="2" name="图片 1"/>
        <xdr:cNvPicPr>
          <a:picLocks noChangeAspect="1"/>
        </xdr:cNvPicPr>
      </xdr:nvPicPr>
      <xdr:blipFill>
        <a:blip xmlns:r="http://schemas.openxmlformats.org/officeDocument/2006/relationships" r:embed="rId10" cstate="print"/>
        <a:stretch>
          <a:fillRect/>
        </a:stretch>
      </xdr:blipFill>
      <xdr:spPr>
        <a:xfrm>
          <a:off x="22451786" y="0"/>
          <a:ext cx="13323810" cy="6904762"/>
        </a:xfrm>
        <a:prstGeom prst="rect">
          <a:avLst/>
        </a:prstGeom>
      </xdr:spPr>
    </xdr:pic>
    <xdr:clientData/>
  </xdr:twoCellAnchor>
  <xdr:twoCellAnchor editAs="oneCell">
    <xdr:from>
      <xdr:col>33</xdr:col>
      <xdr:colOff>0</xdr:colOff>
      <xdr:row>40</xdr:row>
      <xdr:rowOff>0</xdr:rowOff>
    </xdr:from>
    <xdr:to>
      <xdr:col>52</xdr:col>
      <xdr:colOff>397025</xdr:colOff>
      <xdr:row>79</xdr:row>
      <xdr:rowOff>5940</xdr:rowOff>
    </xdr:to>
    <xdr:pic>
      <xdr:nvPicPr>
        <xdr:cNvPr id="3" name="图片 2"/>
        <xdr:cNvPicPr>
          <a:picLocks noChangeAspect="1"/>
        </xdr:cNvPicPr>
      </xdr:nvPicPr>
      <xdr:blipFill>
        <a:blip xmlns:r="http://schemas.openxmlformats.org/officeDocument/2006/relationships" r:embed="rId11" cstate="print"/>
        <a:stretch>
          <a:fillRect/>
        </a:stretch>
      </xdr:blipFill>
      <xdr:spPr>
        <a:xfrm>
          <a:off x="22451786" y="7075714"/>
          <a:ext cx="13323810" cy="6904762"/>
        </a:xfrm>
        <a:prstGeom prst="rect">
          <a:avLst/>
        </a:prstGeom>
      </xdr:spPr>
    </xdr:pic>
    <xdr:clientData/>
  </xdr:twoCellAnchor>
  <xdr:twoCellAnchor editAs="oneCell">
    <xdr:from>
      <xdr:col>33</xdr:col>
      <xdr:colOff>0</xdr:colOff>
      <xdr:row>80</xdr:row>
      <xdr:rowOff>0</xdr:rowOff>
    </xdr:from>
    <xdr:to>
      <xdr:col>52</xdr:col>
      <xdr:colOff>397025</xdr:colOff>
      <xdr:row>119</xdr:row>
      <xdr:rowOff>5941</xdr:rowOff>
    </xdr:to>
    <xdr:pic>
      <xdr:nvPicPr>
        <xdr:cNvPr id="4" name="图片 3"/>
        <xdr:cNvPicPr>
          <a:picLocks noChangeAspect="1"/>
        </xdr:cNvPicPr>
      </xdr:nvPicPr>
      <xdr:blipFill>
        <a:blip xmlns:r="http://schemas.openxmlformats.org/officeDocument/2006/relationships" r:embed="rId12" cstate="print"/>
        <a:stretch>
          <a:fillRect/>
        </a:stretch>
      </xdr:blipFill>
      <xdr:spPr>
        <a:xfrm>
          <a:off x="22451786" y="14151429"/>
          <a:ext cx="13323810" cy="6904762"/>
        </a:xfrm>
        <a:prstGeom prst="rect">
          <a:avLst/>
        </a:prstGeom>
      </xdr:spPr>
    </xdr:pic>
    <xdr:clientData/>
  </xdr:twoCellAnchor>
  <xdr:twoCellAnchor editAs="oneCell">
    <xdr:from>
      <xdr:col>14</xdr:col>
      <xdr:colOff>421822</xdr:colOff>
      <xdr:row>88</xdr:row>
      <xdr:rowOff>149679</xdr:rowOff>
    </xdr:from>
    <xdr:to>
      <xdr:col>24</xdr:col>
      <xdr:colOff>380156</xdr:colOff>
      <xdr:row>112</xdr:row>
      <xdr:rowOff>142346</xdr:rowOff>
    </xdr:to>
    <xdr:pic>
      <xdr:nvPicPr>
        <xdr:cNvPr id="5" name="图片 4"/>
        <xdr:cNvPicPr>
          <a:picLocks noChangeAspect="1"/>
        </xdr:cNvPicPr>
      </xdr:nvPicPr>
      <xdr:blipFill>
        <a:blip xmlns:r="http://schemas.openxmlformats.org/officeDocument/2006/relationships" r:embed="rId13" cstate="print"/>
        <a:stretch>
          <a:fillRect/>
        </a:stretch>
      </xdr:blipFill>
      <xdr:spPr>
        <a:xfrm>
          <a:off x="9946822" y="15716250"/>
          <a:ext cx="6761905" cy="42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67234</xdr:colOff>
      <xdr:row>0</xdr:row>
      <xdr:rowOff>0</xdr:rowOff>
    </xdr:from>
    <xdr:to>
      <xdr:col>16</xdr:col>
      <xdr:colOff>159008</xdr:colOff>
      <xdr:row>14</xdr:row>
      <xdr:rowOff>214647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7619999" y="0"/>
          <a:ext cx="7039421" cy="2814412"/>
        </a:xfrm>
        <a:prstGeom prst="rect">
          <a:avLst/>
        </a:prstGeom>
      </xdr:spPr>
    </xdr:pic>
    <xdr:clientData/>
  </xdr:twoCellAnchor>
  <xdr:twoCellAnchor editAs="oneCell">
    <xdr:from>
      <xdr:col>8</xdr:col>
      <xdr:colOff>44824</xdr:colOff>
      <xdr:row>15</xdr:row>
      <xdr:rowOff>44399</xdr:rowOff>
    </xdr:from>
    <xdr:to>
      <xdr:col>13</xdr:col>
      <xdr:colOff>199335</xdr:colOff>
      <xdr:row>29</xdr:row>
      <xdr:rowOff>27100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7597589" y="2868281"/>
          <a:ext cx="4569628" cy="2335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1181100</xdr:colOff>
      <xdr:row>59</xdr:row>
      <xdr:rowOff>95250</xdr:rowOff>
    </xdr:from>
    <xdr:to>
      <xdr:col>11</xdr:col>
      <xdr:colOff>114299</xdr:colOff>
      <xdr:row>80</xdr:row>
      <xdr:rowOff>28574</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533400</xdr:colOff>
      <xdr:row>34</xdr:row>
      <xdr:rowOff>138112</xdr:rowOff>
    </xdr:from>
    <xdr:to>
      <xdr:col>10</xdr:col>
      <xdr:colOff>533400</xdr:colOff>
      <xdr:row>56</xdr:row>
      <xdr:rowOff>114300</xdr:rowOff>
    </xdr:to>
    <xdr:graphicFrame macro="">
      <xdr:nvGraphicFramePr>
        <xdr:cNvPr id="11" name="图表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323851</xdr:colOff>
      <xdr:row>1</xdr:row>
      <xdr:rowOff>127713</xdr:rowOff>
    </xdr:from>
    <xdr:to>
      <xdr:col>7</xdr:col>
      <xdr:colOff>190501</xdr:colOff>
      <xdr:row>20</xdr:row>
      <xdr:rowOff>28034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323851" y="299163"/>
          <a:ext cx="4667250" cy="3157871"/>
        </a:xfrm>
        <a:prstGeom prst="rect">
          <a:avLst/>
        </a:prstGeom>
      </xdr:spPr>
    </xdr:pic>
    <xdr:clientData/>
  </xdr:twoCellAnchor>
  <xdr:twoCellAnchor editAs="oneCell">
    <xdr:from>
      <xdr:col>8</xdr:col>
      <xdr:colOff>800099</xdr:colOff>
      <xdr:row>1</xdr:row>
      <xdr:rowOff>59824</xdr:rowOff>
    </xdr:from>
    <xdr:to>
      <xdr:col>19</xdr:col>
      <xdr:colOff>494219</xdr:colOff>
      <xdr:row>14</xdr:row>
      <xdr:rowOff>66347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286499" y="231274"/>
          <a:ext cx="7380795" cy="2235373"/>
        </a:xfrm>
        <a:prstGeom prst="rect">
          <a:avLst/>
        </a:prstGeom>
      </xdr:spPr>
    </xdr:pic>
    <xdr:clientData/>
  </xdr:twoCellAnchor>
  <xdr:twoCellAnchor editAs="oneCell">
    <xdr:from>
      <xdr:col>9</xdr:col>
      <xdr:colOff>0</xdr:colOff>
      <xdr:row>15</xdr:row>
      <xdr:rowOff>0</xdr:rowOff>
    </xdr:from>
    <xdr:to>
      <xdr:col>20</xdr:col>
      <xdr:colOff>199058</xdr:colOff>
      <xdr:row>21</xdr:row>
      <xdr:rowOff>104633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315075" y="2571750"/>
          <a:ext cx="7742858" cy="1133333"/>
        </a:xfrm>
        <a:prstGeom prst="rect">
          <a:avLst/>
        </a:prstGeom>
      </xdr:spPr>
    </xdr:pic>
    <xdr:clientData/>
  </xdr:twoCellAnchor>
  <xdr:twoCellAnchor editAs="oneCell">
    <xdr:from>
      <xdr:col>9</xdr:col>
      <xdr:colOff>0</xdr:colOff>
      <xdr:row>24</xdr:row>
      <xdr:rowOff>0</xdr:rowOff>
    </xdr:from>
    <xdr:to>
      <xdr:col>21</xdr:col>
      <xdr:colOff>475163</xdr:colOff>
      <xdr:row>39</xdr:row>
      <xdr:rowOff>104441</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315075" y="4114800"/>
          <a:ext cx="8704763" cy="2676191"/>
        </a:xfrm>
        <a:prstGeom prst="rect">
          <a:avLst/>
        </a:prstGeom>
      </xdr:spPr>
    </xdr:pic>
    <xdr:clientData/>
  </xdr:twoCellAnchor>
  <xdr:twoCellAnchor editAs="oneCell">
    <xdr:from>
      <xdr:col>9</xdr:col>
      <xdr:colOff>0</xdr:colOff>
      <xdr:row>40</xdr:row>
      <xdr:rowOff>0</xdr:rowOff>
    </xdr:from>
    <xdr:to>
      <xdr:col>20</xdr:col>
      <xdr:colOff>284772</xdr:colOff>
      <xdr:row>46</xdr:row>
      <xdr:rowOff>171300</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315075" y="6858000"/>
          <a:ext cx="7828572" cy="1200000"/>
        </a:xfrm>
        <a:prstGeom prst="rect">
          <a:avLst/>
        </a:prstGeom>
      </xdr:spPr>
    </xdr:pic>
    <xdr:clientData/>
  </xdr:twoCellAnchor>
  <xdr:twoCellAnchor editAs="oneCell">
    <xdr:from>
      <xdr:col>9</xdr:col>
      <xdr:colOff>0</xdr:colOff>
      <xdr:row>48</xdr:row>
      <xdr:rowOff>0</xdr:rowOff>
    </xdr:from>
    <xdr:to>
      <xdr:col>21</xdr:col>
      <xdr:colOff>427543</xdr:colOff>
      <xdr:row>63</xdr:row>
      <xdr:rowOff>47298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315075" y="8229600"/>
          <a:ext cx="8657143" cy="2619048"/>
        </a:xfrm>
        <a:prstGeom prst="rect">
          <a:avLst/>
        </a:prstGeom>
      </xdr:spPr>
    </xdr:pic>
    <xdr:clientData/>
  </xdr:twoCellAnchor>
  <xdr:twoCellAnchor editAs="oneCell">
    <xdr:from>
      <xdr:col>9</xdr:col>
      <xdr:colOff>0</xdr:colOff>
      <xdr:row>64</xdr:row>
      <xdr:rowOff>0</xdr:rowOff>
    </xdr:from>
    <xdr:to>
      <xdr:col>20</xdr:col>
      <xdr:colOff>360962</xdr:colOff>
      <xdr:row>71</xdr:row>
      <xdr:rowOff>18898</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6315075" y="10972800"/>
          <a:ext cx="7904762" cy="1219048"/>
        </a:xfrm>
        <a:prstGeom prst="rect">
          <a:avLst/>
        </a:prstGeom>
      </xdr:spPr>
    </xdr:pic>
    <xdr:clientData/>
  </xdr:twoCellAnchor>
  <xdr:twoCellAnchor editAs="oneCell">
    <xdr:from>
      <xdr:col>20</xdr:col>
      <xdr:colOff>0</xdr:colOff>
      <xdr:row>4</xdr:row>
      <xdr:rowOff>0</xdr:rowOff>
    </xdr:from>
    <xdr:to>
      <xdr:col>23</xdr:col>
      <xdr:colOff>418791</xdr:colOff>
      <xdr:row>14</xdr:row>
      <xdr:rowOff>95024</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13858875" y="685800"/>
          <a:ext cx="2476191" cy="1809524"/>
        </a:xfrm>
        <a:prstGeom prst="rect">
          <a:avLst/>
        </a:prstGeom>
      </xdr:spPr>
    </xdr:pic>
    <xdr:clientData/>
  </xdr:twoCellAnchor>
  <xdr:twoCellAnchor editAs="oneCell">
    <xdr:from>
      <xdr:col>4</xdr:col>
      <xdr:colOff>114300</xdr:colOff>
      <xdr:row>27</xdr:row>
      <xdr:rowOff>104775</xdr:rowOff>
    </xdr:from>
    <xdr:to>
      <xdr:col>7</xdr:col>
      <xdr:colOff>571186</xdr:colOff>
      <xdr:row>38</xdr:row>
      <xdr:rowOff>104539</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857500" y="4733925"/>
          <a:ext cx="2514286" cy="1885714"/>
        </a:xfrm>
        <a:prstGeom prst="rect">
          <a:avLst/>
        </a:prstGeom>
      </xdr:spPr>
    </xdr:pic>
    <xdr:clientData/>
  </xdr:twoCellAnchor>
  <xdr:twoCellAnchor editAs="oneCell">
    <xdr:from>
      <xdr:col>4</xdr:col>
      <xdr:colOff>165923</xdr:colOff>
      <xdr:row>51</xdr:row>
      <xdr:rowOff>171449</xdr:rowOff>
    </xdr:from>
    <xdr:to>
      <xdr:col>8</xdr:col>
      <xdr:colOff>419544</xdr:colOff>
      <xdr:row>65</xdr:row>
      <xdr:rowOff>27914</xdr:rowOff>
    </xdr:to>
    <xdr:pic>
      <xdr:nvPicPr>
        <xdr:cNvPr id="13" name="图片 12"/>
        <xdr:cNvPicPr>
          <a:picLocks noChangeAspect="1"/>
        </xdr:cNvPicPr>
      </xdr:nvPicPr>
      <xdr:blipFill>
        <a:blip xmlns:r="http://schemas.openxmlformats.org/officeDocument/2006/relationships" r:embed="rId10" cstate="print"/>
        <a:stretch>
          <a:fillRect/>
        </a:stretch>
      </xdr:blipFill>
      <xdr:spPr>
        <a:xfrm>
          <a:off x="2909123" y="8915399"/>
          <a:ext cx="2996821" cy="2256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11</xdr:col>
      <xdr:colOff>973</xdr:colOff>
      <xdr:row>20</xdr:row>
      <xdr:rowOff>82100</xdr:rowOff>
    </xdr:to>
    <xdr:pic>
      <xdr:nvPicPr>
        <xdr:cNvPr id="6" name="图片 5">
          <a:extLst>
            <a:ext uri="{FF2B5EF4-FFF2-40B4-BE49-F238E27FC236}">
              <a16:creationId xmlns:a16="http://schemas.microsoft.com/office/drawing/2014/main" xmlns="" id="{962F71C3-CA88-438C-A9E9-1C7A5A0DD387}"/>
            </a:ext>
          </a:extLst>
        </xdr:cNvPr>
        <xdr:cNvPicPr>
          <a:picLocks noChangeAspect="1"/>
        </xdr:cNvPicPr>
      </xdr:nvPicPr>
      <xdr:blipFill>
        <a:blip xmlns:r="http://schemas.openxmlformats.org/officeDocument/2006/relationships" r:embed="rId1" cstate="print"/>
        <a:stretch>
          <a:fillRect/>
        </a:stretch>
      </xdr:blipFill>
      <xdr:spPr>
        <a:xfrm>
          <a:off x="0" y="7683500"/>
          <a:ext cx="6706573" cy="3600000"/>
        </a:xfrm>
        <a:prstGeom prst="rect">
          <a:avLst/>
        </a:prstGeom>
      </xdr:spPr>
    </xdr:pic>
    <xdr:clientData/>
  </xdr:twoCellAnchor>
  <xdr:twoCellAnchor editAs="oneCell">
    <xdr:from>
      <xdr:col>11</xdr:col>
      <xdr:colOff>1</xdr:colOff>
      <xdr:row>0</xdr:row>
      <xdr:rowOff>0</xdr:rowOff>
    </xdr:from>
    <xdr:to>
      <xdr:col>22</xdr:col>
      <xdr:colOff>154400</xdr:colOff>
      <xdr:row>10</xdr:row>
      <xdr:rowOff>21999</xdr:rowOff>
    </xdr:to>
    <xdr:pic>
      <xdr:nvPicPr>
        <xdr:cNvPr id="7" name="图片 6">
          <a:extLst>
            <a:ext uri="{FF2B5EF4-FFF2-40B4-BE49-F238E27FC236}">
              <a16:creationId xmlns:a16="http://schemas.microsoft.com/office/drawing/2014/main" xmlns="" id="{0620042A-ECA8-42B4-BB35-CE8819B0890D}"/>
            </a:ext>
          </a:extLst>
        </xdr:cNvPr>
        <xdr:cNvPicPr>
          <a:picLocks noChangeAspect="1"/>
        </xdr:cNvPicPr>
      </xdr:nvPicPr>
      <xdr:blipFill>
        <a:blip xmlns:r="http://schemas.openxmlformats.org/officeDocument/2006/relationships" r:embed="rId2" cstate="print"/>
        <a:stretch>
          <a:fillRect/>
        </a:stretch>
      </xdr:blipFill>
      <xdr:spPr>
        <a:xfrm>
          <a:off x="6705601" y="7645400"/>
          <a:ext cx="6859999" cy="1800000"/>
        </a:xfrm>
        <a:prstGeom prst="rect">
          <a:avLst/>
        </a:prstGeom>
      </xdr:spPr>
    </xdr:pic>
    <xdr:clientData/>
  </xdr:twoCellAnchor>
  <xdr:twoCellAnchor editAs="oneCell">
    <xdr:from>
      <xdr:col>0</xdr:col>
      <xdr:colOff>0</xdr:colOff>
      <xdr:row>21</xdr:row>
      <xdr:rowOff>50800</xdr:rowOff>
    </xdr:from>
    <xdr:to>
      <xdr:col>11</xdr:col>
      <xdr:colOff>181572</xdr:colOff>
      <xdr:row>41</xdr:row>
      <xdr:rowOff>94800</xdr:rowOff>
    </xdr:to>
    <xdr:pic>
      <xdr:nvPicPr>
        <xdr:cNvPr id="8" name="图片 7">
          <a:extLst>
            <a:ext uri="{FF2B5EF4-FFF2-40B4-BE49-F238E27FC236}">
              <a16:creationId xmlns:a16="http://schemas.microsoft.com/office/drawing/2014/main" xmlns="" id="{26314C0F-542C-4923-A220-88FC75F330CB}"/>
            </a:ext>
          </a:extLst>
        </xdr:cNvPr>
        <xdr:cNvPicPr>
          <a:picLocks noChangeAspect="1"/>
        </xdr:cNvPicPr>
      </xdr:nvPicPr>
      <xdr:blipFill>
        <a:blip xmlns:r="http://schemas.openxmlformats.org/officeDocument/2006/relationships" r:embed="rId3" cstate="print"/>
        <a:stretch>
          <a:fillRect/>
        </a:stretch>
      </xdr:blipFill>
      <xdr:spPr>
        <a:xfrm>
          <a:off x="0" y="11430000"/>
          <a:ext cx="6887172" cy="3600000"/>
        </a:xfrm>
        <a:prstGeom prst="rect">
          <a:avLst/>
        </a:prstGeom>
      </xdr:spPr>
    </xdr:pic>
    <xdr:clientData/>
  </xdr:twoCellAnchor>
  <xdr:twoCellAnchor editAs="oneCell">
    <xdr:from>
      <xdr:col>11</xdr:col>
      <xdr:colOff>152401</xdr:colOff>
      <xdr:row>21</xdr:row>
      <xdr:rowOff>63500</xdr:rowOff>
    </xdr:from>
    <xdr:to>
      <xdr:col>22</xdr:col>
      <xdr:colOff>368312</xdr:colOff>
      <xdr:row>31</xdr:row>
      <xdr:rowOff>85499</xdr:rowOff>
    </xdr:to>
    <xdr:pic>
      <xdr:nvPicPr>
        <xdr:cNvPr id="9" name="图片 8">
          <a:extLst>
            <a:ext uri="{FF2B5EF4-FFF2-40B4-BE49-F238E27FC236}">
              <a16:creationId xmlns:a16="http://schemas.microsoft.com/office/drawing/2014/main" xmlns="" id="{443B35AB-A2FD-4C26-9C47-4AF3A9CB52EE}"/>
            </a:ext>
          </a:extLst>
        </xdr:cNvPr>
        <xdr:cNvPicPr>
          <a:picLocks noChangeAspect="1"/>
        </xdr:cNvPicPr>
      </xdr:nvPicPr>
      <xdr:blipFill>
        <a:blip xmlns:r="http://schemas.openxmlformats.org/officeDocument/2006/relationships" r:embed="rId4" cstate="print"/>
        <a:stretch>
          <a:fillRect/>
        </a:stretch>
      </xdr:blipFill>
      <xdr:spPr>
        <a:xfrm>
          <a:off x="6858001" y="11442700"/>
          <a:ext cx="6921511" cy="1800000"/>
        </a:xfrm>
        <a:prstGeom prst="rect">
          <a:avLst/>
        </a:prstGeom>
      </xdr:spPr>
    </xdr:pic>
    <xdr:clientData/>
  </xdr:twoCellAnchor>
  <xdr:twoCellAnchor editAs="oneCell">
    <xdr:from>
      <xdr:col>0</xdr:col>
      <xdr:colOff>0</xdr:colOff>
      <xdr:row>42</xdr:row>
      <xdr:rowOff>0</xdr:rowOff>
    </xdr:from>
    <xdr:to>
      <xdr:col>11</xdr:col>
      <xdr:colOff>598676</xdr:colOff>
      <xdr:row>62</xdr:row>
      <xdr:rowOff>44000</xdr:rowOff>
    </xdr:to>
    <xdr:pic>
      <xdr:nvPicPr>
        <xdr:cNvPr id="10" name="图片 9">
          <a:extLst>
            <a:ext uri="{FF2B5EF4-FFF2-40B4-BE49-F238E27FC236}">
              <a16:creationId xmlns:a16="http://schemas.microsoft.com/office/drawing/2014/main" xmlns="" id="{ECB46224-0BF8-4651-ACAC-4F43FBE8821D}"/>
            </a:ext>
          </a:extLst>
        </xdr:cNvPr>
        <xdr:cNvPicPr>
          <a:picLocks noChangeAspect="1"/>
        </xdr:cNvPicPr>
      </xdr:nvPicPr>
      <xdr:blipFill>
        <a:blip xmlns:r="http://schemas.openxmlformats.org/officeDocument/2006/relationships" r:embed="rId5" cstate="print"/>
        <a:stretch>
          <a:fillRect/>
        </a:stretch>
      </xdr:blipFill>
      <xdr:spPr>
        <a:xfrm>
          <a:off x="0" y="15113000"/>
          <a:ext cx="7304276" cy="3600000"/>
        </a:xfrm>
        <a:prstGeom prst="rect">
          <a:avLst/>
        </a:prstGeom>
      </xdr:spPr>
    </xdr:pic>
    <xdr:clientData/>
  </xdr:twoCellAnchor>
  <xdr:twoCellAnchor editAs="oneCell">
    <xdr:from>
      <xdr:col>12</xdr:col>
      <xdr:colOff>0</xdr:colOff>
      <xdr:row>42</xdr:row>
      <xdr:rowOff>0</xdr:rowOff>
    </xdr:from>
    <xdr:to>
      <xdr:col>26</xdr:col>
      <xdr:colOff>513219</xdr:colOff>
      <xdr:row>52</xdr:row>
      <xdr:rowOff>2951</xdr:rowOff>
    </xdr:to>
    <xdr:pic>
      <xdr:nvPicPr>
        <xdr:cNvPr id="11" name="图片 10">
          <a:extLst>
            <a:ext uri="{FF2B5EF4-FFF2-40B4-BE49-F238E27FC236}">
              <a16:creationId xmlns:a16="http://schemas.microsoft.com/office/drawing/2014/main" xmlns="" id="{5EC7B80D-6031-4196-8BAB-AF370C7FD31B}"/>
            </a:ext>
          </a:extLst>
        </xdr:cNvPr>
        <xdr:cNvPicPr>
          <a:picLocks noChangeAspect="1"/>
        </xdr:cNvPicPr>
      </xdr:nvPicPr>
      <xdr:blipFill>
        <a:blip xmlns:r="http://schemas.openxmlformats.org/officeDocument/2006/relationships" r:embed="rId6" cstate="print"/>
        <a:stretch>
          <a:fillRect/>
        </a:stretch>
      </xdr:blipFill>
      <xdr:spPr>
        <a:xfrm>
          <a:off x="7315200" y="15113000"/>
          <a:ext cx="9047619" cy="1780952"/>
        </a:xfrm>
        <a:prstGeom prst="rect">
          <a:avLst/>
        </a:prstGeom>
      </xdr:spPr>
    </xdr:pic>
    <xdr:clientData/>
  </xdr:twoCellAnchor>
  <xdr:twoCellAnchor editAs="oneCell">
    <xdr:from>
      <xdr:col>26</xdr:col>
      <xdr:colOff>612321</xdr:colOff>
      <xdr:row>0</xdr:row>
      <xdr:rowOff>0</xdr:rowOff>
    </xdr:from>
    <xdr:to>
      <xdr:col>46</xdr:col>
      <xdr:colOff>268156</xdr:colOff>
      <xdr:row>41</xdr:row>
      <xdr:rowOff>13144</xdr:rowOff>
    </xdr:to>
    <xdr:pic>
      <xdr:nvPicPr>
        <xdr:cNvPr id="2" name="图片 1"/>
        <xdr:cNvPicPr>
          <a:picLocks noChangeAspect="1"/>
        </xdr:cNvPicPr>
      </xdr:nvPicPr>
      <xdr:blipFill>
        <a:blip xmlns:r="http://schemas.openxmlformats.org/officeDocument/2006/relationships" r:embed="rId7" cstate="print"/>
        <a:stretch>
          <a:fillRect/>
        </a:stretch>
      </xdr:blipFill>
      <xdr:spPr>
        <a:xfrm>
          <a:off x="18301607" y="0"/>
          <a:ext cx="13262978" cy="7265751"/>
        </a:xfrm>
        <a:prstGeom prst="rect">
          <a:avLst/>
        </a:prstGeom>
      </xdr:spPr>
    </xdr:pic>
    <xdr:clientData/>
  </xdr:twoCellAnchor>
  <xdr:twoCellAnchor editAs="oneCell">
    <xdr:from>
      <xdr:col>27</xdr:col>
      <xdr:colOff>0</xdr:colOff>
      <xdr:row>41</xdr:row>
      <xdr:rowOff>0</xdr:rowOff>
    </xdr:from>
    <xdr:to>
      <xdr:col>46</xdr:col>
      <xdr:colOff>397024</xdr:colOff>
      <xdr:row>80</xdr:row>
      <xdr:rowOff>5940</xdr:rowOff>
    </xdr:to>
    <xdr:pic>
      <xdr:nvPicPr>
        <xdr:cNvPr id="3" name="图片 2"/>
        <xdr:cNvPicPr>
          <a:picLocks noChangeAspect="1"/>
        </xdr:cNvPicPr>
      </xdr:nvPicPr>
      <xdr:blipFill>
        <a:blip xmlns:r="http://schemas.openxmlformats.org/officeDocument/2006/relationships" r:embed="rId8" cstate="print"/>
        <a:stretch>
          <a:fillRect/>
        </a:stretch>
      </xdr:blipFill>
      <xdr:spPr>
        <a:xfrm>
          <a:off x="18369643" y="7252607"/>
          <a:ext cx="13323810" cy="6904762"/>
        </a:xfrm>
        <a:prstGeom prst="rect">
          <a:avLst/>
        </a:prstGeom>
      </xdr:spPr>
    </xdr:pic>
    <xdr:clientData/>
  </xdr:twoCellAnchor>
  <xdr:twoCellAnchor editAs="oneCell">
    <xdr:from>
      <xdr:col>27</xdr:col>
      <xdr:colOff>0</xdr:colOff>
      <xdr:row>81</xdr:row>
      <xdr:rowOff>0</xdr:rowOff>
    </xdr:from>
    <xdr:to>
      <xdr:col>36</xdr:col>
      <xdr:colOff>9875</xdr:colOff>
      <xdr:row>88</xdr:row>
      <xdr:rowOff>61477</xdr:rowOff>
    </xdr:to>
    <xdr:pic>
      <xdr:nvPicPr>
        <xdr:cNvPr id="5" name="图片 4"/>
        <xdr:cNvPicPr>
          <a:picLocks noChangeAspect="1"/>
        </xdr:cNvPicPr>
      </xdr:nvPicPr>
      <xdr:blipFill>
        <a:blip xmlns:r="http://schemas.openxmlformats.org/officeDocument/2006/relationships" r:embed="rId9" cstate="print"/>
        <a:stretch>
          <a:fillRect/>
        </a:stretch>
      </xdr:blipFill>
      <xdr:spPr>
        <a:xfrm>
          <a:off x="18456088" y="13615147"/>
          <a:ext cx="6161905" cy="1238095"/>
        </a:xfrm>
        <a:prstGeom prst="rect">
          <a:avLst/>
        </a:prstGeom>
      </xdr:spPr>
    </xdr:pic>
    <xdr:clientData/>
  </xdr:twoCellAnchor>
  <xdr:twoCellAnchor editAs="oneCell">
    <xdr:from>
      <xdr:col>19</xdr:col>
      <xdr:colOff>560294</xdr:colOff>
      <xdr:row>85</xdr:row>
      <xdr:rowOff>156882</xdr:rowOff>
    </xdr:from>
    <xdr:to>
      <xdr:col>29</xdr:col>
      <xdr:colOff>229468</xdr:colOff>
      <xdr:row>113</xdr:row>
      <xdr:rowOff>164697</xdr:rowOff>
    </xdr:to>
    <xdr:pic>
      <xdr:nvPicPr>
        <xdr:cNvPr id="4" name="图片 3"/>
        <xdr:cNvPicPr>
          <a:picLocks noChangeAspect="1"/>
        </xdr:cNvPicPr>
      </xdr:nvPicPr>
      <xdr:blipFill>
        <a:blip xmlns:r="http://schemas.openxmlformats.org/officeDocument/2006/relationships" r:embed="rId10" cstate="print"/>
        <a:stretch>
          <a:fillRect/>
        </a:stretch>
      </xdr:blipFill>
      <xdr:spPr>
        <a:xfrm>
          <a:off x="13547912" y="14444382"/>
          <a:ext cx="6504762"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0</xdr:colOff>
      <xdr:row>11</xdr:row>
      <xdr:rowOff>0</xdr:rowOff>
    </xdr:from>
    <xdr:to>
      <xdr:col>18</xdr:col>
      <xdr:colOff>396981</xdr:colOff>
      <xdr:row>23</xdr:row>
      <xdr:rowOff>30342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835063" y="2881313"/>
          <a:ext cx="5504762" cy="49238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444744</xdr:colOff>
      <xdr:row>2</xdr:row>
      <xdr:rowOff>171450</xdr:rowOff>
    </xdr:from>
    <xdr:to>
      <xdr:col>41</xdr:col>
      <xdr:colOff>475380</xdr:colOff>
      <xdr:row>2</xdr:row>
      <xdr:rowOff>4000500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29553144" y="1924050"/>
          <a:ext cx="9631836" cy="3829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9</xdr:col>
      <xdr:colOff>196180</xdr:colOff>
      <xdr:row>35</xdr:row>
      <xdr:rowOff>142238</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8273143"/>
          <a:ext cx="9000001" cy="50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44</xdr:row>
      <xdr:rowOff>0</xdr:rowOff>
    </xdr:from>
    <xdr:to>
      <xdr:col>20</xdr:col>
      <xdr:colOff>152188</xdr:colOff>
      <xdr:row>65</xdr:row>
      <xdr:rowOff>155150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301382" y="16651941"/>
          <a:ext cx="6180953"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shop.fang.com/shou/3_454056934.html?channel=1,16" TargetMode="External"/><Relationship Id="rId1" Type="http://schemas.openxmlformats.org/officeDocument/2006/relationships/hyperlink" Target="https://bj.58.com/shangpu/45317667043989x.shtml?PGTID=0d006b31-0000-0266-bbe0-9735e09e3d18&amp;ClickID=44"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3" Type="http://schemas.openxmlformats.org/officeDocument/2006/relationships/hyperlink" Target="https://office.fang.com/shou/3_448791204.html?channel=1,32" TargetMode="External"/><Relationship Id="rId2" Type="http://schemas.openxmlformats.org/officeDocument/2006/relationships/hyperlink" Target="https://office.fang.com/shou/3_453740741.html?channel=1,32" TargetMode="External"/><Relationship Id="rId1" Type="http://schemas.openxmlformats.org/officeDocument/2006/relationships/hyperlink" Target="https://office.fang.com/shou/3_453028820.html?channel=2,32" TargetMode="External"/><Relationship Id="rId4"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125" style="2600" customWidth="1"/>
    <col min="3" max="18" width="9" style="2594"/>
    <col min="19" max="19" width="17.875" style="2594" customWidth="1"/>
    <col min="20" max="51" width="9" style="2594"/>
    <col min="52" max="52" width="13.1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2635</v>
      </c>
      <c r="B1" s="2604" t="s">
        <v>2732</v>
      </c>
    </row>
    <row r="2" spans="1:55" s="2608" customFormat="1" ht="15" thickTop="1">
      <c r="A2" s="2606" t="s">
        <v>2639</v>
      </c>
      <c r="B2" s="2607" t="str">
        <f>'预评函-封皮'!B37</f>
        <v>北京市出让国有建设用地使用权市场价格预评估</v>
      </c>
      <c r="AX2" s="2609"/>
      <c r="AZ2" s="2609"/>
      <c r="BA2" s="2610"/>
      <c r="BC2" s="2610"/>
    </row>
    <row r="3" spans="1:55" s="2611" customFormat="1">
      <c r="A3" s="2590" t="s">
        <v>2640</v>
      </c>
      <c r="B3" s="2593">
        <f>'预评函-封皮'!B40</f>
        <v>0</v>
      </c>
    </row>
    <row r="4" spans="1:55" s="2592" customFormat="1">
      <c r="A4" s="2590" t="s">
        <v>2641</v>
      </c>
      <c r="B4" s="2591" t="str">
        <f>'预评函-封皮'!B46</f>
        <v>土地估价师、土地估价师</v>
      </c>
      <c r="N4" s="2592" t="str">
        <f>'预评函-1'!A28</f>
        <v>——</v>
      </c>
    </row>
    <row r="5" spans="1:55" s="2605" customFormat="1" ht="15" thickBot="1">
      <c r="A5" s="2612" t="s">
        <v>2642</v>
      </c>
      <c r="B5" s="2613" t="str">
        <f>'预评函-封皮'!B49</f>
        <v>康正预评字号</v>
      </c>
    </row>
    <row r="6" spans="1:55" s="2614" customFormat="1" ht="15" thickTop="1">
      <c r="A6" s="2606" t="s">
        <v>2684</v>
      </c>
      <c r="B6" s="2607" t="str">
        <f>'预评函-1'!A4</f>
        <v>受贵公司委托，我公司对北京市出让国有建设用地使用权市场价格进行了预评估。</v>
      </c>
      <c r="AM6" s="2615"/>
    </row>
    <row r="7" spans="1:55" s="2589" customFormat="1">
      <c r="A7" s="2590" t="s">
        <v>2636</v>
      </c>
      <c r="B7" s="2591" t="str">
        <f>'预评函-1'!A6</f>
        <v>估价对象为使用的、位于北京市出让国有建设用地使用权。根据《国有土地使用证》[]，估价对象（分摊）出让国有建设用地使用权面积为60461.7平方米。根据《建设工程规划许可证》[]、《出让合同》[]，估价对象规划建筑面积为121547.97平方米。</v>
      </c>
    </row>
    <row r="8" spans="1:55" s="2589" customFormat="1">
      <c r="A8" s="2590" t="s">
        <v>2637</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2687</v>
      </c>
      <c r="B9" s="2591" t="str">
        <f>'预评函-1'!A9</f>
        <v>本次评估为委托估价方了解标的物之市场价格提供参考依据而评估出让国有建设用地使用权市场价格。</v>
      </c>
    </row>
    <row r="10" spans="1:55" s="2589" customFormat="1">
      <c r="A10" s="2590" t="s">
        <v>2638</v>
      </c>
      <c r="B10" s="2591" t="str">
        <f>'预评函-1'!A11</f>
        <v>2021年8月4日（评估专业人员勘察现场之日）</v>
      </c>
    </row>
    <row r="11" spans="1:55" s="2589" customFormat="1">
      <c r="A11" s="2590" t="s">
        <v>2644</v>
      </c>
      <c r="B11" s="2591" t="str">
        <f>'预评函-1'!A14</f>
        <v>根据《国有土地使用证》[]，本次评估估价对象证载（地类）用途为商业、办公、地下商业、地下办公、地下车库。</v>
      </c>
    </row>
    <row r="12" spans="1:55" s="2589" customFormat="1">
      <c r="A12" s="2590" t="s">
        <v>2645</v>
      </c>
      <c r="B12" s="2591" t="str">
        <f>'预评函-1'!A15</f>
        <v>本次评估设定用途即为证载用途。</v>
      </c>
    </row>
    <row r="13" spans="1:55" s="2589" customFormat="1">
      <c r="A13" s="2590" t="s">
        <v>2646</v>
      </c>
      <c r="B13" s="2591" t="str">
        <f>'预评函-1'!A17</f>
        <v>根据委托估价方介绍及评估专业人员现场勘查，本次评估估价对象实际土地开发程度为红线外市政基础设施达“七通”（即通路、通电、通讯、通上水、通下水、通热、燃气）、宗地红线内场地平整。</v>
      </c>
    </row>
    <row r="14" spans="1:55" s="2589" customFormat="1">
      <c r="A14" s="2590" t="s">
        <v>2647</v>
      </c>
      <c r="B14" s="2591" t="str">
        <f>'预评函-1'!A18</f>
        <v>。本次评估设定土地开发程度为红线外市政基础设施达“七通”、宗地红线内场地平整。</v>
      </c>
    </row>
    <row r="15" spans="1:55" s="2589" customFormat="1">
      <c r="A15" s="2590" t="s">
        <v>2643</v>
      </c>
      <c r="B15" s="2591" t="str">
        <f>'预评函-1'!A20</f>
        <v>根据《国有土地使用证》[]，估价对象（分摊）出让国有建设用地使用权面积为60461.7平方米。根据《建设工程规划许可证》[]、《出让合同》[]，估价对象规划建筑面积为121547.97平方米。</v>
      </c>
    </row>
    <row r="16" spans="1:55" s="2589" customFormat="1">
      <c r="A16" s="2590" t="s">
        <v>2648</v>
      </c>
      <c r="B16" s="2591" t="str">
        <f>'预评函-1'!A22</f>
        <v>本次估价对象为出让国有建设用地使用权，《国有土地使用证》[]证载土地终止日期为住宅2074年9月11日、商业2044年9月11日、办公2072年1月1日、地下车库2054年9月11日。截至估价期日，出让国有建设用地使用权剩余土地使用年限为。</v>
      </c>
    </row>
    <row r="17" spans="1:48" s="2589" customFormat="1">
      <c r="A17" s="2590" t="s">
        <v>2649</v>
      </c>
      <c r="B17" s="2591" t="str">
        <f>'预评函-1'!A23</f>
        <v>本次评估设定估价对象剩余土地使用年限为。</v>
      </c>
    </row>
    <row r="18" spans="1:48" s="2589" customFormat="1">
      <c r="A18" s="2590" t="s">
        <v>2650</v>
      </c>
      <c r="B18" s="2591" t="str">
        <f>'预评函-1'!A25</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row>
    <row r="19" spans="1:48" s="2589" customFormat="1">
      <c r="A19" s="2590" t="s">
        <v>2651</v>
      </c>
      <c r="B19" s="2591" t="str">
        <f>'预评函-1'!A26</f>
        <v>——</v>
      </c>
    </row>
    <row r="20" spans="1:48" s="2589" customFormat="1">
      <c r="A20" s="2590" t="s">
        <v>2652</v>
      </c>
      <c r="B20" s="2591" t="str">
        <f>'预评函-1'!A27</f>
        <v>——</v>
      </c>
    </row>
    <row r="21" spans="1:48" s="2605" customFormat="1" ht="15" thickBot="1">
      <c r="A21" s="2612" t="s">
        <v>2653</v>
      </c>
      <c r="B21" s="2613" t="str">
        <f>'预评函-1'!A28</f>
        <v>——</v>
      </c>
    </row>
    <row r="22" spans="1:48" ht="15" thickTop="1">
      <c r="A22" s="2601" t="s">
        <v>2654</v>
      </c>
      <c r="B22" s="260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0" t="s">
        <v>2655</v>
      </c>
      <c r="B23" s="2591" t="str">
        <f>'预评函-2'!K2</f>
        <v>估价期日：2021年8月4日</v>
      </c>
    </row>
    <row r="24" spans="1:48">
      <c r="A24" s="2590" t="s">
        <v>2656</v>
      </c>
      <c r="B24" s="2591" t="str">
        <f>'预评函-2'!R2</f>
        <v>估价期日的国有建设用地使用权性质：出让</v>
      </c>
    </row>
    <row r="25" spans="1:48">
      <c r="A25" s="2590" t="s">
        <v>2712</v>
      </c>
      <c r="B25" s="2591" t="str">
        <f>'预评函-2'!A3</f>
        <v>估价期日土地使用者</v>
      </c>
    </row>
    <row r="26" spans="1:48">
      <c r="A26" s="2590" t="s">
        <v>2688</v>
      </c>
      <c r="B26" s="2591" t="str">
        <f>'预评函-2'!A5</f>
        <v>中信开发</v>
      </c>
    </row>
    <row r="27" spans="1:48">
      <c r="A27" s="2590" t="s">
        <v>2713</v>
      </c>
      <c r="B27" s="2591" t="str">
        <f>'预评函-2'!B3</f>
        <v>宗地编号/不动产单元号</v>
      </c>
    </row>
    <row r="28" spans="1:48">
      <c r="A28" s="2590" t="s">
        <v>2689</v>
      </c>
      <c r="B28" s="2591" t="str">
        <f>'预评函-2'!B5</f>
        <v>11111111111</v>
      </c>
    </row>
    <row r="29" spans="1:48">
      <c r="A29" s="2590" t="s">
        <v>2715</v>
      </c>
      <c r="B29" s="2591">
        <f>'预评函-2'!C5</f>
        <v>22</v>
      </c>
    </row>
    <row r="30" spans="1:48">
      <c r="A30" s="2590" t="s">
        <v>2716</v>
      </c>
      <c r="B30" s="2591" t="str">
        <f>'预评函-2'!D3</f>
        <v>土地使用证编号/不动产权证书编号</v>
      </c>
    </row>
    <row r="31" spans="1:48">
      <c r="A31" s="2590" t="s">
        <v>2690</v>
      </c>
      <c r="B31" s="2591" t="str">
        <f>'预评函-2'!D5</f>
        <v>京国土字第111号</v>
      </c>
    </row>
    <row r="32" spans="1:48">
      <c r="A32" s="2590" t="s">
        <v>2691</v>
      </c>
      <c r="B32" s="2591" t="str">
        <f>'预评函-2'!E5</f>
        <v>商业、办公、地下商业、地下办公、地下车库</v>
      </c>
      <c r="AV32" s="2595"/>
    </row>
    <row r="33" spans="1:2">
      <c r="A33" s="2590" t="s">
        <v>2692</v>
      </c>
      <c r="B33" s="2591">
        <f>'预评函-2'!F5</f>
        <v>258</v>
      </c>
    </row>
    <row r="34" spans="1:2">
      <c r="A34" s="2590" t="s">
        <v>2693</v>
      </c>
      <c r="B34" s="2591">
        <f>'预评函-2'!G5</f>
        <v>0</v>
      </c>
    </row>
    <row r="35" spans="1:2">
      <c r="A35" s="2590" t="s">
        <v>2694</v>
      </c>
      <c r="B35" s="2591">
        <f>'预评函-2'!H5</f>
        <v>1.5</v>
      </c>
    </row>
    <row r="36" spans="1:2">
      <c r="A36" s="2590" t="s">
        <v>2695</v>
      </c>
      <c r="B36" s="2591">
        <f>'预评函-2'!I5</f>
        <v>1.5</v>
      </c>
    </row>
    <row r="37" spans="1:2">
      <c r="A37" s="2590" t="s">
        <v>2696</v>
      </c>
      <c r="B37" s="2591">
        <f>'预评函-2'!J5</f>
        <v>1.5</v>
      </c>
    </row>
    <row r="38" spans="1:2">
      <c r="A38" s="2590" t="s">
        <v>2697</v>
      </c>
      <c r="B38" s="2591" t="str">
        <f>'预评函-2'!K5</f>
        <v>红线外七通、宗地红线内</v>
      </c>
    </row>
    <row r="39" spans="1:2">
      <c r="A39" s="2590" t="s">
        <v>2698</v>
      </c>
      <c r="B39" s="2591" t="str">
        <f>'预评函-2'!L5</f>
        <v>红线外七通、宗地红线内场地平整</v>
      </c>
    </row>
    <row r="40" spans="1:2">
      <c r="A40" s="2590" t="s">
        <v>2717</v>
      </c>
      <c r="B40" s="2591" t="str">
        <f>'预评函-2'!M3</f>
        <v>（剩余）土地使用年限/年</v>
      </c>
    </row>
    <row r="41" spans="1:2">
      <c r="A41" s="2590" t="s">
        <v>2699</v>
      </c>
      <c r="B41" s="2591">
        <f>'预评函-2'!M5</f>
        <v>0</v>
      </c>
    </row>
    <row r="42" spans="1:2">
      <c r="A42" s="2590" t="s">
        <v>2718</v>
      </c>
      <c r="B42" s="2591" t="str">
        <f>'预评函-2'!N3</f>
        <v>（分摊）出让国有建设用地使用权面积/㎡</v>
      </c>
    </row>
    <row r="43" spans="1:2">
      <c r="A43" s="2590" t="s">
        <v>2700</v>
      </c>
      <c r="B43" s="2591">
        <f>'预评函-2'!N5</f>
        <v>60461.7</v>
      </c>
    </row>
    <row r="44" spans="1:2">
      <c r="A44" s="2590" t="s">
        <v>2719</v>
      </c>
      <c r="B44" s="2591" t="str">
        <f>'预评函-2'!O3</f>
        <v>规划建筑面积/㎡</v>
      </c>
    </row>
    <row r="45" spans="1:2">
      <c r="A45" s="2590" t="s">
        <v>2701</v>
      </c>
      <c r="B45" s="2591">
        <f>'预评函-2'!O5</f>
        <v>121547.97</v>
      </c>
    </row>
    <row r="46" spans="1:2">
      <c r="A46" s="2590" t="s">
        <v>2702</v>
      </c>
      <c r="B46" s="2591">
        <f ca="1">'预评函-2'!P5</f>
        <v>7159</v>
      </c>
    </row>
    <row r="47" spans="1:2">
      <c r="A47" s="2590" t="s">
        <v>2703</v>
      </c>
      <c r="B47" s="2591">
        <f ca="1">'预评函-2'!Q5</f>
        <v>3561</v>
      </c>
    </row>
    <row r="48" spans="1:2">
      <c r="A48" s="2590" t="s">
        <v>2704</v>
      </c>
      <c r="B48" s="2591">
        <f ca="1">'预评函-2'!R5</f>
        <v>43286</v>
      </c>
    </row>
    <row r="49" spans="1:2">
      <c r="A49" s="2590" t="s">
        <v>2720</v>
      </c>
      <c r="B49" s="2591" t="str">
        <f>'预评函-2'!A6</f>
        <v>——</v>
      </c>
    </row>
    <row r="50" spans="1:2">
      <c r="A50" s="2590" t="s">
        <v>2705</v>
      </c>
      <c r="B50" s="2591" t="str">
        <f>'预评函-2'!R6</f>
        <v>——</v>
      </c>
    </row>
    <row r="51" spans="1:2">
      <c r="A51" s="2590" t="s">
        <v>2721</v>
      </c>
      <c r="B51" s="2591" t="str">
        <f>'预评函-2'!A7</f>
        <v>——</v>
      </c>
    </row>
    <row r="52" spans="1:2">
      <c r="A52" s="2590" t="s">
        <v>2706</v>
      </c>
      <c r="B52" s="2591" t="str">
        <f>'预评函-2'!R7</f>
        <v>——</v>
      </c>
    </row>
    <row r="53" spans="1:2">
      <c r="A53" s="2590" t="s">
        <v>2722</v>
      </c>
      <c r="B53" s="2591" t="str">
        <f>'预评函-2'!A8</f>
        <v>——</v>
      </c>
    </row>
    <row r="54" spans="1:2" s="2605" customFormat="1" ht="15" thickBot="1">
      <c r="A54" s="2612" t="s">
        <v>2707</v>
      </c>
      <c r="B54" s="2613" t="str">
        <f>'预评函-2'!R8</f>
        <v>——</v>
      </c>
    </row>
    <row r="55" spans="1:2" ht="15" thickTop="1">
      <c r="A55" s="2601" t="s">
        <v>2657</v>
      </c>
      <c r="B55" s="2602" t="str">
        <f>'预评函-3'!A2</f>
        <v>1.权利限制：根据估价对象《不动产权证书》原件、《国有土地使用权》复印件，截至估价期日，估价对象抵押权未见登记。未设定租赁等其他他项权利。</v>
      </c>
    </row>
    <row r="56" spans="1:2">
      <c r="A56" s="2590" t="s">
        <v>2658</v>
      </c>
      <c r="B56" s="2591" t="str">
        <f>'预评函-3'!A3</f>
        <v>2.基础设施条件：估价对象实际开发程度为红线外七通、宗地红线内；本次评估设定开发程度为红线外七通、宗地红线内场地平整。</v>
      </c>
    </row>
    <row r="57" spans="1:2">
      <c r="A57" s="2590" t="s">
        <v>2659</v>
      </c>
      <c r="B57" s="2591" t="str">
        <f>'预评函-3'!A4</f>
        <v>3.估价规划限制条件：详见《建设工程规划许可证》[]、《出让合同》[]。</v>
      </c>
    </row>
    <row r="58" spans="1:2" s="2605" customFormat="1" ht="15" thickBot="1">
      <c r="A58" s="2612" t="s">
        <v>2708</v>
      </c>
      <c r="B58" s="2613" t="str">
        <f>'预评函-3'!A5</f>
        <v>4.影响价格的其他限定条件：无。</v>
      </c>
    </row>
    <row r="59" spans="1:2" ht="15" thickTop="1">
      <c r="A59" s="2601" t="s">
        <v>2660</v>
      </c>
      <c r="B59" s="2602" t="str">
        <f>'预评函-3'!A8</f>
        <v>2.本次评估设定估价对象宗地权属无争议，未被查封或者以其他形式限制其房地产权利，未设定抵押权等他项权利，不涉及第三方权利义务。</v>
      </c>
    </row>
    <row r="60" spans="1:2">
      <c r="A60" s="2590" t="s">
        <v>2661</v>
      </c>
      <c r="B60" s="2591" t="str">
        <f>'预评函-3'!A9</f>
        <v>——</v>
      </c>
    </row>
    <row r="61" spans="1:2">
      <c r="A61" s="2590" t="s">
        <v>2663</v>
      </c>
      <c r="B61" s="2591" t="str">
        <f>'预评函-3'!A10</f>
        <v>——</v>
      </c>
    </row>
    <row r="62" spans="1:2">
      <c r="A62" s="2590" t="s">
        <v>2662</v>
      </c>
      <c r="B62" s="2591" t="str">
        <f>'预评函-3'!A11</f>
        <v>——</v>
      </c>
    </row>
    <row r="63" spans="1:2">
      <c r="A63" s="2590" t="s">
        <v>2664</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2665</v>
      </c>
      <c r="B64" s="2596" t="str">
        <f>'预评函-3'!A13</f>
        <v>（3）。</v>
      </c>
    </row>
    <row r="65" spans="1:2">
      <c r="A65" s="2590" t="s">
        <v>2666</v>
      </c>
      <c r="B65" s="2597" t="str">
        <f>'预评函-3'!A14</f>
        <v>——</v>
      </c>
    </row>
    <row r="66" spans="1:2">
      <c r="A66" s="2590" t="s">
        <v>2667</v>
      </c>
      <c r="B66" s="25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2668</v>
      </c>
      <c r="B67" s="25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2671</v>
      </c>
      <c r="B68" s="2616">
        <f>'预评函-3'!D30</f>
        <v>42558</v>
      </c>
    </row>
    <row r="69" spans="1:2" ht="15" thickTop="1">
      <c r="A69" s="2601" t="s">
        <v>2669</v>
      </c>
      <c r="B69" s="2602" t="str">
        <f>'预评函-3'!A20</f>
        <v>土地估价师</v>
      </c>
    </row>
    <row r="70" spans="1:2">
      <c r="A70" s="2590" t="s">
        <v>2669</v>
      </c>
      <c r="B70" s="2597">
        <f>'预评函-3'!B20</f>
        <v>0</v>
      </c>
    </row>
    <row r="71" spans="1:2">
      <c r="A71" s="2590" t="s">
        <v>2670</v>
      </c>
      <c r="B71" s="2591" t="str">
        <f>'预评函-3'!A21</f>
        <v>土地估价师</v>
      </c>
    </row>
    <row r="72" spans="1:2" s="2605" customFormat="1" ht="15" thickBot="1">
      <c r="A72" s="2612" t="s">
        <v>2670</v>
      </c>
      <c r="B72" s="2618">
        <f>'预评函-3'!B21</f>
        <v>0</v>
      </c>
    </row>
    <row r="73" spans="1:2" ht="15" thickTop="1">
      <c r="A73" s="2601" t="s">
        <v>2729</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2730</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2731</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2765</v>
      </c>
      <c r="B76" s="260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topLeftCell="A7" zoomScaleNormal="100" zoomScaleSheetLayoutView="100" workbookViewId="0">
      <selection activeCell="B23" sqref="B23"/>
    </sheetView>
  </sheetViews>
  <sheetFormatPr defaultColWidth="10" defaultRowHeight="14.25"/>
  <cols>
    <col min="1" max="1" width="15.375" style="1609" customWidth="1"/>
    <col min="2" max="2" width="11.375" style="1609" customWidth="1"/>
    <col min="3" max="3" width="12.625" style="1609" customWidth="1"/>
    <col min="4" max="4" width="11.8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3" customWidth="1"/>
    <col min="12" max="13" width="10" style="3064" customWidth="1"/>
    <col min="14" max="14" width="10" style="3049" customWidth="1"/>
    <col min="15" max="15" width="10" style="3065" customWidth="1"/>
    <col min="16" max="17" width="10" style="3049"/>
    <col min="18" max="18" width="10" style="3049" customWidth="1"/>
    <col min="19" max="28" width="10" style="3049"/>
    <col min="29" max="16384" width="10" style="1609"/>
  </cols>
  <sheetData>
    <row r="1" spans="1:21" ht="15" thickBot="1">
      <c r="A1" s="1582" t="s">
        <v>1925</v>
      </c>
      <c r="B1" s="3550" t="str">
        <f>IF(B10="北京市","北京市",C10)&amp;F10&amp;B16&amp;"国有建设用地使用权"&amp;B9&amp;"预评估"</f>
        <v>北京市出让国有建设用地使用权市场价格预评估</v>
      </c>
      <c r="C1" s="3551"/>
      <c r="D1" s="3551"/>
      <c r="E1" s="3551"/>
      <c r="F1" s="3551"/>
      <c r="G1" s="3551"/>
      <c r="H1" s="3551"/>
      <c r="I1" s="3552"/>
      <c r="J1" s="3067"/>
      <c r="K1" s="2305" t="str">
        <f>IF(B10="北京市","北京市",C10)&amp;F10&amp;B16&amp;"国有建设用地使用权"&amp;B9</f>
        <v>北京市出让国有建设用地使用权市场价格</v>
      </c>
      <c r="L1" s="3046"/>
      <c r="M1" s="3046"/>
      <c r="N1" s="3047"/>
      <c r="O1" s="3048"/>
      <c r="P1" s="3047"/>
      <c r="Q1" s="3047"/>
      <c r="R1" s="3047"/>
      <c r="S1" s="3047"/>
      <c r="T1" s="3047"/>
      <c r="U1" s="3047"/>
    </row>
    <row r="2" spans="1:21">
      <c r="A2" s="1583" t="s">
        <v>1926</v>
      </c>
      <c r="B2" s="1750"/>
      <c r="D2" s="3067"/>
      <c r="E2" s="3067"/>
      <c r="F2" s="3067"/>
      <c r="G2" s="3067"/>
      <c r="H2" s="3068"/>
      <c r="I2" s="3069"/>
      <c r="J2" s="3067"/>
      <c r="K2" s="2305" t="str">
        <f>IF(B10="北京市","北京市",C10)&amp;F10&amp;B16&amp;"国有建设用地使用权"</f>
        <v>北京市出让国有建设用地使用权</v>
      </c>
      <c r="L2" s="3046"/>
      <c r="M2" s="3046"/>
      <c r="N2" s="3047"/>
      <c r="O2" s="3048"/>
      <c r="P2" s="3047"/>
      <c r="Q2" s="3047"/>
      <c r="R2" s="3047"/>
      <c r="S2" s="3047"/>
      <c r="T2" s="3047"/>
      <c r="U2" s="3047"/>
    </row>
    <row r="3" spans="1:21">
      <c r="A3" s="1584" t="s">
        <v>1927</v>
      </c>
      <c r="B3" s="1585">
        <v>44412</v>
      </c>
      <c r="C3" s="2990" t="s">
        <v>1983</v>
      </c>
      <c r="D3" s="1585">
        <v>44412</v>
      </c>
      <c r="E3" s="3067"/>
      <c r="F3" s="3067"/>
      <c r="G3" s="3067"/>
      <c r="H3" s="3068"/>
      <c r="I3" s="3069"/>
      <c r="J3" s="3067"/>
      <c r="K3" s="3050"/>
      <c r="L3" s="3046"/>
      <c r="M3" s="3046"/>
      <c r="N3" s="3047"/>
      <c r="O3" s="3048"/>
      <c r="P3" s="3047"/>
      <c r="Q3" s="3047"/>
      <c r="R3" s="3047"/>
      <c r="S3" s="3047"/>
      <c r="T3" s="3047"/>
      <c r="U3" s="3047"/>
    </row>
    <row r="4" spans="1:21" ht="15" thickBot="1">
      <c r="A4" s="1587" t="s">
        <v>1928</v>
      </c>
      <c r="B4" s="1751" t="s">
        <v>2866</v>
      </c>
      <c r="C4" s="1754">
        <f>SUMIF(土地估价师,B4,估价师及机构信息!E3:E16)</f>
        <v>0</v>
      </c>
      <c r="D4" s="1751" t="s">
        <v>2866</v>
      </c>
      <c r="E4" s="1754">
        <f>SUMIF(土地估价师,D4,估价师及机构信息!E3:E16)</f>
        <v>0</v>
      </c>
      <c r="F4" s="1751" t="s">
        <v>943</v>
      </c>
      <c r="G4" s="1754">
        <f>SUMIF(土地估价师,F4,估价师及机构信息!E3:E16)</f>
        <v>0</v>
      </c>
      <c r="H4" s="1751" t="s">
        <v>943</v>
      </c>
      <c r="I4" s="1754">
        <f>SUMIF(土地估价师,H4,估价师及机构信息!E3:E16)</f>
        <v>0</v>
      </c>
      <c r="J4" s="3067"/>
      <c r="K4" s="2305" t="str">
        <f>IF(AND(F4="——",H4="——"),B4&amp;"、"&amp;D4,IF(AND(F4&lt;&gt;"——",H4="——"),B4&amp;"、"&amp;D4&amp;"、"&amp;F4,B4&amp;"、"&amp;D4&amp;"、"&amp;F4&amp;"、"&amp;H4))</f>
        <v>土地估价师、土地估价师</v>
      </c>
      <c r="L4" s="3046"/>
      <c r="M4" s="3046"/>
      <c r="N4" s="3047"/>
      <c r="O4" s="3048"/>
      <c r="P4" s="3047"/>
      <c r="Q4" s="3047"/>
      <c r="R4" s="3047"/>
      <c r="S4" s="3047"/>
      <c r="T4" s="3047"/>
      <c r="U4" s="3047"/>
    </row>
    <row r="5" spans="1:21" ht="15" thickTop="1">
      <c r="A5" s="1588" t="s">
        <v>1929</v>
      </c>
      <c r="B5" s="1698"/>
      <c r="C5" s="1589"/>
      <c r="D5" s="1590"/>
      <c r="E5" s="3067"/>
      <c r="F5" s="3067"/>
      <c r="G5" s="3067"/>
      <c r="H5" s="3068"/>
      <c r="I5" s="3069"/>
      <c r="J5" s="3067"/>
      <c r="K5" s="3050"/>
      <c r="L5" s="3046"/>
      <c r="M5" s="3046"/>
      <c r="N5" s="3047"/>
      <c r="O5" s="3048"/>
      <c r="P5" s="3047"/>
      <c r="Q5" s="3047"/>
      <c r="R5" s="3047"/>
      <c r="S5" s="3047"/>
      <c r="T5" s="3047"/>
      <c r="U5" s="3047"/>
    </row>
    <row r="6" spans="1:21" ht="26.25">
      <c r="A6" s="1586" t="s">
        <v>2685</v>
      </c>
      <c r="B6" s="1698"/>
      <c r="C6" s="1673"/>
      <c r="D6" s="1591"/>
      <c r="E6" s="3067"/>
      <c r="F6" s="3067"/>
      <c r="G6" s="3067"/>
      <c r="H6" s="3068"/>
      <c r="I6" s="3069"/>
      <c r="J6" s="3067"/>
      <c r="K6" s="3051" t="str">
        <f>IF(COUNTIF(B6,"*上海银行*"),"上海银行","")</f>
        <v/>
      </c>
      <c r="L6" s="3046"/>
      <c r="M6" s="3046"/>
      <c r="N6" s="3047"/>
      <c r="O6" s="3048"/>
      <c r="P6" s="3047"/>
      <c r="Q6" s="3047"/>
      <c r="R6" s="3047"/>
      <c r="S6" s="3047"/>
      <c r="T6" s="3047"/>
      <c r="U6" s="3047"/>
    </row>
    <row r="7" spans="1:21">
      <c r="A7" s="1592" t="s">
        <v>2686</v>
      </c>
      <c r="B7" s="1698"/>
      <c r="C7" s="1673"/>
      <c r="D7" s="1591"/>
      <c r="E7" s="3067"/>
      <c r="F7" s="3067"/>
      <c r="G7" s="3067"/>
      <c r="H7" s="3068"/>
      <c r="I7" s="3069"/>
      <c r="J7" s="3067"/>
      <c r="K7" s="3050"/>
      <c r="L7" s="3046"/>
      <c r="M7" s="3046"/>
      <c r="N7" s="3047"/>
      <c r="O7" s="3048"/>
      <c r="P7" s="3047"/>
      <c r="Q7" s="3047"/>
      <c r="R7" s="3047"/>
      <c r="S7" s="3047"/>
      <c r="T7" s="3047"/>
      <c r="U7" s="3047"/>
    </row>
    <row r="8" spans="1:21">
      <c r="A8" s="2991" t="s">
        <v>1930</v>
      </c>
      <c r="B8" s="1593" t="s">
        <v>3002</v>
      </c>
      <c r="C8" s="1594"/>
      <c r="D8" s="3556" t="s">
        <v>1932</v>
      </c>
      <c r="E8" s="1752"/>
      <c r="F8" s="1595"/>
      <c r="G8" s="3068"/>
      <c r="H8" s="3068"/>
      <c r="I8" s="3071"/>
      <c r="J8" s="3067"/>
      <c r="K8" s="3050"/>
      <c r="L8" s="3046"/>
      <c r="M8" s="3046"/>
      <c r="N8" s="3047"/>
      <c r="O8" s="3048"/>
      <c r="P8" s="3047"/>
      <c r="Q8" s="3047"/>
      <c r="R8" s="3047"/>
      <c r="S8" s="3047"/>
      <c r="T8" s="3047"/>
      <c r="U8" s="3047"/>
    </row>
    <row r="9" spans="1:21" ht="15" thickBot="1">
      <c r="A9" s="2992" t="s">
        <v>1931</v>
      </c>
      <c r="B9" s="1596" t="s">
        <v>3003</v>
      </c>
      <c r="C9" s="1597"/>
      <c r="D9" s="3557"/>
      <c r="E9" s="1596"/>
      <c r="F9" s="1659"/>
      <c r="G9" s="3072"/>
      <c r="H9" s="3072"/>
      <c r="I9" s="3073"/>
      <c r="J9" s="3067"/>
      <c r="K9" s="3050"/>
      <c r="L9" s="3046"/>
      <c r="M9" s="3046"/>
      <c r="N9" s="3047"/>
      <c r="O9" s="3048"/>
      <c r="P9" s="3047"/>
      <c r="Q9" s="3047"/>
      <c r="R9" s="3047"/>
      <c r="S9" s="3047"/>
      <c r="T9" s="3047"/>
      <c r="U9" s="3047"/>
    </row>
    <row r="10" spans="1:21" ht="15" thickTop="1">
      <c r="A10" s="2993" t="s">
        <v>1987</v>
      </c>
      <c r="B10" s="1635" t="s">
        <v>1933</v>
      </c>
      <c r="C10" s="1598"/>
      <c r="D10" s="1590"/>
      <c r="E10" s="1599" t="s">
        <v>1934</v>
      </c>
      <c r="F10" s="1600"/>
      <c r="G10" s="1657"/>
      <c r="H10" s="1658"/>
      <c r="I10" s="1590"/>
      <c r="J10" s="3067"/>
      <c r="K10" s="3050"/>
      <c r="L10" s="3046"/>
      <c r="M10" s="3046"/>
      <c r="N10" s="3047"/>
      <c r="O10" s="3048"/>
      <c r="P10" s="3047"/>
      <c r="Q10" s="3047"/>
      <c r="R10" s="3047"/>
      <c r="S10" s="3047"/>
      <c r="T10" s="3047"/>
      <c r="U10" s="3047"/>
    </row>
    <row r="11" spans="1:21">
      <c r="A11" s="2994" t="s">
        <v>1988</v>
      </c>
      <c r="B11" s="1615" t="s">
        <v>3004</v>
      </c>
      <c r="C11" s="1601"/>
      <c r="D11" s="1674"/>
      <c r="E11" s="3066"/>
      <c r="F11" s="3066"/>
      <c r="G11" s="3066"/>
      <c r="H11" s="3066"/>
      <c r="I11" s="3066"/>
      <c r="J11" s="3067"/>
      <c r="K11" s="3050"/>
      <c r="L11" s="3046"/>
      <c r="M11" s="3046"/>
      <c r="N11" s="3047"/>
      <c r="O11" s="3048"/>
      <c r="P11" s="3047"/>
      <c r="Q11" s="3047"/>
      <c r="R11" s="3047"/>
      <c r="S11" s="3047"/>
      <c r="T11" s="3047"/>
      <c r="U11" s="3047"/>
    </row>
    <row r="12" spans="1:21">
      <c r="A12" s="1694" t="s">
        <v>2046</v>
      </c>
      <c r="B12" s="3568" t="s">
        <v>3020</v>
      </c>
      <c r="C12" s="3569"/>
      <c r="D12" s="3570"/>
      <c r="E12" s="1616" t="s">
        <v>2049</v>
      </c>
      <c r="F12" s="3574" t="s">
        <v>2867</v>
      </c>
      <c r="G12" s="3575"/>
      <c r="H12" s="3575"/>
      <c r="I12" s="3576"/>
      <c r="J12" s="3067"/>
      <c r="K12" s="3050"/>
      <c r="L12" s="3046"/>
      <c r="M12" s="3046"/>
      <c r="N12" s="3047"/>
      <c r="O12" s="3048"/>
      <c r="P12" s="3047"/>
      <c r="Q12" s="3047"/>
      <c r="R12" s="3047"/>
      <c r="S12" s="3047"/>
      <c r="T12" s="3047"/>
      <c r="U12" s="3047"/>
    </row>
    <row r="13" spans="1:21">
      <c r="A13" s="1607" t="s">
        <v>2047</v>
      </c>
      <c r="B13" s="3553"/>
      <c r="C13" s="3554"/>
      <c r="D13" s="3555"/>
      <c r="E13" s="1616" t="s">
        <v>2049</v>
      </c>
      <c r="F13" s="3574" t="s">
        <v>2868</v>
      </c>
      <c r="G13" s="3575"/>
      <c r="H13" s="3575"/>
      <c r="I13" s="3576"/>
      <c r="J13" s="3067"/>
      <c r="K13" s="3050"/>
      <c r="L13" s="3046"/>
      <c r="M13" s="3046"/>
      <c r="N13" s="3047"/>
      <c r="O13" s="3048"/>
      <c r="P13" s="3047"/>
      <c r="Q13" s="3047"/>
      <c r="R13" s="3047"/>
      <c r="S13" s="3047"/>
      <c r="T13" s="3047"/>
      <c r="U13" s="3047"/>
    </row>
    <row r="14" spans="1:21">
      <c r="A14" s="1584" t="s">
        <v>2050</v>
      </c>
      <c r="B14" s="1616"/>
      <c r="C14" s="1753" t="s">
        <v>3005</v>
      </c>
      <c r="D14" s="1649" t="str">
        <f>IF(C14="不一致","是否符合证载地类范围","")</f>
        <v/>
      </c>
      <c r="E14" s="1616"/>
      <c r="F14" s="1699"/>
      <c r="G14" s="1644"/>
      <c r="H14" s="1644"/>
      <c r="I14" s="1746"/>
      <c r="J14" s="3067"/>
      <c r="K14" s="3050"/>
      <c r="L14" s="3046"/>
      <c r="M14" s="3046"/>
      <c r="N14" s="3047"/>
      <c r="O14" s="3048"/>
      <c r="P14" s="3047"/>
      <c r="Q14" s="3047"/>
      <c r="R14" s="3047"/>
      <c r="S14" s="3047"/>
      <c r="T14" s="3047"/>
      <c r="U14" s="3047"/>
    </row>
    <row r="15" spans="1:21" hidden="1">
      <c r="A15" s="2482"/>
      <c r="B15" s="1586"/>
      <c r="C15" s="1586"/>
      <c r="D15" s="1678" t="s">
        <v>1937</v>
      </c>
      <c r="E15" s="1678" t="s">
        <v>1938</v>
      </c>
      <c r="F15" s="1678" t="s">
        <v>1939</v>
      </c>
      <c r="G15" s="1606" t="s">
        <v>1940</v>
      </c>
      <c r="H15" s="1606" t="s">
        <v>1941</v>
      </c>
      <c r="I15" s="1606" t="s">
        <v>1942</v>
      </c>
      <c r="J15" s="3067"/>
      <c r="K15" s="3050"/>
      <c r="L15" s="3046"/>
      <c r="M15" s="3046"/>
      <c r="N15" s="3047"/>
      <c r="O15" s="3048"/>
      <c r="P15" s="3047"/>
      <c r="Q15" s="3047"/>
      <c r="R15" s="3047"/>
      <c r="S15" s="3047"/>
      <c r="T15" s="3047"/>
      <c r="U15" s="3047"/>
    </row>
    <row r="16" spans="1:21" ht="42.75">
      <c r="A16" s="2995" t="s">
        <v>1935</v>
      </c>
      <c r="B16" s="1602" t="s">
        <v>3002</v>
      </c>
      <c r="C16" s="1616" t="s">
        <v>1936</v>
      </c>
      <c r="D16" s="2483" t="s">
        <v>1937</v>
      </c>
      <c r="E16" s="1638" t="s">
        <v>2998</v>
      </c>
      <c r="F16" s="1638" t="s">
        <v>1667</v>
      </c>
      <c r="G16" s="1638" t="s">
        <v>35</v>
      </c>
      <c r="H16" s="1638"/>
      <c r="I16" s="1606" t="s">
        <v>1942</v>
      </c>
      <c r="J16" s="3067"/>
      <c r="K16" s="2306" t="str">
        <f>IF(D17="","",D16&amp;TEXT(D17,"yyyy年m月d日;;"))</f>
        <v>住宅2074年9月11日</v>
      </c>
      <c r="L16" s="1616" t="str">
        <f>IF(OR(K16="",M16=""),"","、")</f>
        <v>、</v>
      </c>
      <c r="M16" s="2306" t="str">
        <f>IF(E17="","",E16&amp;TEXT(E17,"yyyy年m月d日;;"))</f>
        <v>商业2044年9月11日</v>
      </c>
      <c r="N16" s="1616" t="str">
        <f>IF(OR(M16="",O16=""),"","、")</f>
        <v>、</v>
      </c>
      <c r="O16" s="2306" t="str">
        <f>IF(F17="","",F16&amp;TEXT(F17,"yyyy年m月d日;;"))</f>
        <v>办公2072年1月1日</v>
      </c>
      <c r="P16" s="1616" t="str">
        <f>IF(OR(O16="",Q16=""),"","、")</f>
        <v>、</v>
      </c>
      <c r="Q16" s="2306" t="str">
        <f>IF(G17="","",G16&amp;TEXT(G17,"yyyy年m月d日;;"))</f>
        <v>地下车库2054年9月11日</v>
      </c>
      <c r="R16" s="1616" t="str">
        <f>IF(OR(Q16="",S16=""),"","、")</f>
        <v/>
      </c>
      <c r="S16" s="2306" t="str">
        <f>IF(H17="","",H16&amp;TEXT(H17,"yyyy年m月d日;;"))</f>
        <v/>
      </c>
      <c r="T16" s="1616" t="str">
        <f>IF(OR(S16="",U16=""),"","、")</f>
        <v/>
      </c>
      <c r="U16" s="2306" t="str">
        <f>IF(I17="","",I16&amp;TEXT(I17,"yyyy年m月d日;;"))</f>
        <v/>
      </c>
    </row>
    <row r="17" spans="1:21">
      <c r="A17" s="1675"/>
      <c r="B17" s="1603"/>
      <c r="C17" s="2996" t="s">
        <v>1943</v>
      </c>
      <c r="D17" s="3270">
        <v>63808</v>
      </c>
      <c r="E17" s="3270">
        <v>52851</v>
      </c>
      <c r="F17" s="3270">
        <v>62824</v>
      </c>
      <c r="G17" s="3270">
        <v>56503</v>
      </c>
      <c r="H17" s="3270"/>
      <c r="I17" s="3270"/>
      <c r="J17" s="3067"/>
      <c r="K17" s="3045" t="str">
        <f>CONCATENATE(K16,L16,M16,N16,O16,P16,Q16,R16,S16,T16,,U16)</f>
        <v>住宅2074年9月11日、商业2044年9月11日、办公2072年1月1日、地下车库2054年9月11日</v>
      </c>
      <c r="L17" s="3046"/>
      <c r="M17" s="3046"/>
      <c r="N17" s="3047"/>
      <c r="O17" s="3048"/>
      <c r="P17" s="3047"/>
      <c r="Q17" s="3047"/>
      <c r="R17" s="3047"/>
      <c r="S17" s="3047"/>
      <c r="T17" s="3047"/>
      <c r="U17" s="3047"/>
    </row>
    <row r="18" spans="1:21">
      <c r="A18" s="1675"/>
      <c r="B18" s="1603"/>
      <c r="C18" s="2996" t="s">
        <v>1944</v>
      </c>
      <c r="D18" s="1604">
        <v>70</v>
      </c>
      <c r="E18" s="1604">
        <v>40</v>
      </c>
      <c r="F18" s="1604">
        <v>50</v>
      </c>
      <c r="G18" s="1604">
        <v>50</v>
      </c>
      <c r="H18" s="1604"/>
      <c r="I18" s="1604"/>
      <c r="J18" s="3067"/>
      <c r="K18" s="3050"/>
      <c r="L18" s="3046"/>
      <c r="M18" s="3046"/>
      <c r="N18" s="3047"/>
      <c r="O18" s="3048"/>
      <c r="P18" s="3047"/>
      <c r="Q18" s="3047"/>
      <c r="R18" s="3047"/>
      <c r="S18" s="3047"/>
      <c r="T18" s="3047"/>
      <c r="U18" s="3047"/>
    </row>
    <row r="19" spans="1:21">
      <c r="A19" s="1675"/>
      <c r="B19" s="1603"/>
      <c r="C19" s="1583" t="s">
        <v>1945</v>
      </c>
      <c r="D19" s="1670">
        <f>IF(B16="出让",IF(D17="","",ROUNDDOWN(MIN((D17-$D$3)/365,D18),2)),D18)</f>
        <v>53.13</v>
      </c>
      <c r="E19" s="1605">
        <f>IF(B16="出让",IF(E17="","",ROUNDDOWN(MIN((E17-$D$3)/365,E18),2)),E18)</f>
        <v>23.12</v>
      </c>
      <c r="F19" s="1605">
        <f>IF(B16="出让",IF(F17="","",ROUNDDOWN(MIN((F17-$D$3)/365,F18),2)),F18)</f>
        <v>50</v>
      </c>
      <c r="G19" s="1605">
        <f>IF(B16="出让",IF(G17="","",ROUNDDOWN(MIN((G17-$D$3)/365,G18),2)),G18)</f>
        <v>33.119999999999997</v>
      </c>
      <c r="H19" s="1605" t="str">
        <f>IF(B16="出让",IF(H17="","",ROUNDDOWN(MIN((H17-$D$3)/365,H18),2)),H18)</f>
        <v/>
      </c>
      <c r="I19" s="1605" t="str">
        <f>IF(B16="出让",IF(I17="","",ROUNDDOWN(MIN((I17-$D$3)/365,I18),2)),I18)</f>
        <v/>
      </c>
      <c r="J19" s="3067"/>
      <c r="K19" s="3050"/>
      <c r="L19" s="3046"/>
      <c r="M19" s="3046"/>
      <c r="N19" s="3047"/>
      <c r="O19" s="3048"/>
      <c r="P19" s="3047"/>
      <c r="Q19" s="3047"/>
      <c r="R19" s="3047"/>
      <c r="S19" s="3047"/>
      <c r="T19" s="3047"/>
      <c r="U19" s="3047"/>
    </row>
    <row r="20" spans="1:21">
      <c r="A20" s="1695"/>
      <c r="B20" s="1696"/>
      <c r="C20" s="1697" t="s">
        <v>2048</v>
      </c>
      <c r="D20" s="3571"/>
      <c r="E20" s="3572"/>
      <c r="F20" s="3572"/>
      <c r="G20" s="3572"/>
      <c r="H20" s="3572"/>
      <c r="I20" s="3573"/>
      <c r="J20" s="3067"/>
      <c r="K20" s="3050"/>
      <c r="L20" s="3046"/>
      <c r="M20" s="3046"/>
      <c r="N20" s="3047"/>
      <c r="O20" s="3048"/>
      <c r="P20" s="3047"/>
      <c r="Q20" s="3047"/>
      <c r="R20" s="3047"/>
      <c r="S20" s="3047"/>
      <c r="T20" s="3047"/>
      <c r="U20" s="3047"/>
    </row>
    <row r="21" spans="1:21">
      <c r="A21" s="1675" t="s">
        <v>1946</v>
      </c>
      <c r="B21" s="1676" t="s">
        <v>1947</v>
      </c>
      <c r="C21" s="1671">
        <f>'数据-汇总表'!E3</f>
        <v>121547.97</v>
      </c>
      <c r="D21" s="1672" t="s">
        <v>1948</v>
      </c>
      <c r="E21" s="3558" t="s">
        <v>1986</v>
      </c>
      <c r="F21" s="3559"/>
      <c r="G21" s="3559"/>
      <c r="H21" s="3559"/>
      <c r="I21" s="3560"/>
      <c r="J21" s="3067"/>
      <c r="K21" s="3050"/>
      <c r="L21" s="3046"/>
      <c r="M21" s="3046"/>
      <c r="N21" s="3047"/>
      <c r="O21" s="3048"/>
      <c r="P21" s="3047"/>
      <c r="Q21" s="3047"/>
      <c r="R21" s="3047"/>
      <c r="S21" s="3047"/>
      <c r="T21" s="3047"/>
      <c r="U21" s="3047"/>
    </row>
    <row r="22" spans="1:21">
      <c r="A22" s="2795" t="s">
        <v>943</v>
      </c>
      <c r="B22" s="1584" t="s">
        <v>1949</v>
      </c>
      <c r="C22" s="1606">
        <f>'数据-汇总表'!D3</f>
        <v>60461.7</v>
      </c>
      <c r="D22" s="1607" t="s">
        <v>1948</v>
      </c>
      <c r="E22" s="3558" t="s">
        <v>2869</v>
      </c>
      <c r="F22" s="3559"/>
      <c r="G22" s="3559"/>
      <c r="H22" s="3559"/>
      <c r="I22" s="3560"/>
      <c r="J22" s="3067"/>
      <c r="K22" s="3050"/>
      <c r="L22" s="3046"/>
      <c r="M22" s="3046"/>
      <c r="N22" s="3047"/>
      <c r="O22" s="3048"/>
      <c r="P22" s="3047"/>
      <c r="Q22" s="3047"/>
      <c r="R22" s="3047"/>
      <c r="S22" s="3047"/>
      <c r="T22" s="3047"/>
      <c r="U22" s="3047"/>
    </row>
    <row r="23" spans="1:21" ht="43.5" thickBot="1">
      <c r="A23" s="1677" t="s">
        <v>1950</v>
      </c>
      <c r="B23" s="1617" t="s">
        <v>1951</v>
      </c>
      <c r="C23" s="1618"/>
      <c r="D23" s="1619" t="s">
        <v>1952</v>
      </c>
      <c r="E23" s="1620"/>
      <c r="F23" s="1621" t="str">
        <f>IF(AND(C23="是",E23="否"),"是否提供他项权证或相关说明","")</f>
        <v/>
      </c>
      <c r="G23" s="1622"/>
      <c r="H23" s="3067"/>
      <c r="I23" s="3071"/>
      <c r="J23" s="3067"/>
      <c r="K23" s="3050"/>
      <c r="L23" s="3046"/>
      <c r="M23" s="3046"/>
      <c r="N23" s="3047"/>
      <c r="O23" s="3048"/>
      <c r="P23" s="3047"/>
      <c r="Q23" s="3047"/>
      <c r="R23" s="3047"/>
      <c r="S23" s="3047"/>
      <c r="T23" s="3047"/>
      <c r="U23" s="3047"/>
    </row>
    <row r="24" spans="1:21">
      <c r="A24" s="1662" t="s">
        <v>1953</v>
      </c>
      <c r="B24" s="3561" t="s">
        <v>1954</v>
      </c>
      <c r="C24" s="3562"/>
      <c r="D24" s="3563" t="s">
        <v>1955</v>
      </c>
      <c r="E24" s="3564"/>
      <c r="F24" s="1624" t="s">
        <v>1956</v>
      </c>
      <c r="G24" s="3067"/>
      <c r="H24" s="3067"/>
      <c r="I24" s="3071"/>
      <c r="J24" s="3067"/>
      <c r="K24" s="3549" t="s">
        <v>1957</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7"/>
      <c r="O24" s="3048"/>
      <c r="P24" s="3047"/>
      <c r="Q24" s="3047"/>
      <c r="R24" s="3047"/>
      <c r="S24" s="3047"/>
      <c r="T24" s="3047"/>
      <c r="U24" s="3047"/>
    </row>
    <row r="25" spans="1:21" ht="28.5">
      <c r="A25" s="1663"/>
      <c r="B25" s="1660" t="s">
        <v>2312</v>
      </c>
      <c r="C25" s="1625" t="s">
        <v>1958</v>
      </c>
      <c r="D25" s="1626"/>
      <c r="E25" s="1627" t="s">
        <v>943</v>
      </c>
      <c r="F25" s="1628"/>
      <c r="G25" s="3067"/>
      <c r="H25" s="3067"/>
      <c r="I25" s="3071"/>
      <c r="J25" s="3067"/>
      <c r="K25" s="3549"/>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7"/>
      <c r="O25" s="3048"/>
      <c r="P25" s="3047"/>
      <c r="Q25" s="3047"/>
      <c r="R25" s="3047"/>
      <c r="S25" s="3047"/>
      <c r="T25" s="3047"/>
      <c r="U25" s="3047"/>
    </row>
    <row r="26" spans="1:21" ht="29.25" thickBot="1">
      <c r="A26" s="1664"/>
      <c r="B26" s="1661" t="s">
        <v>1959</v>
      </c>
      <c r="C26" s="1625" t="s">
        <v>2313</v>
      </c>
      <c r="D26" s="3068"/>
      <c r="E26" s="3068"/>
      <c r="F26" s="3074"/>
      <c r="G26" s="3067"/>
      <c r="H26" s="3067"/>
      <c r="I26" s="3071"/>
      <c r="J26" s="3067"/>
      <c r="K26" s="3549"/>
      <c r="L26" s="2307" t="str">
        <f>IF(E24="否","",IF('结果表(商业）'!H33="同一抵押权人同一抵押物续贷","由于本次评估为同一抵押权人的续贷土地抵押估价，故未将已抵押担保的债权数额（"&amp;C31&amp;"）作为法定优先受偿款予以扣减。",IF('结果表(商业）'!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7"/>
      <c r="O26" s="3048"/>
      <c r="P26" s="3047"/>
      <c r="Q26" s="3047"/>
      <c r="R26" s="3047"/>
      <c r="S26" s="3047"/>
      <c r="T26" s="3047"/>
      <c r="U26" s="3047"/>
    </row>
    <row r="27" spans="1:21">
      <c r="A27" s="1667" t="s">
        <v>1960</v>
      </c>
      <c r="B27" s="1665" t="s">
        <v>1961</v>
      </c>
      <c r="C27" s="1629"/>
      <c r="D27" s="2488" t="s">
        <v>1961</v>
      </c>
      <c r="E27" s="1630"/>
      <c r="F27" s="3074"/>
      <c r="G27" s="3067"/>
      <c r="H27" s="3067"/>
      <c r="I27" s="3071"/>
      <c r="J27" s="3067"/>
      <c r="K27" s="3050"/>
      <c r="L27" s="3046"/>
      <c r="M27" s="3046"/>
      <c r="N27" s="3047"/>
      <c r="O27" s="3048"/>
      <c r="P27" s="3047"/>
      <c r="Q27" s="3047"/>
      <c r="R27" s="3047"/>
      <c r="S27" s="3047"/>
      <c r="T27" s="3047"/>
      <c r="U27" s="3047"/>
    </row>
    <row r="28" spans="1:21">
      <c r="A28" s="1668"/>
      <c r="B28" s="1665" t="s">
        <v>1962</v>
      </c>
      <c r="C28" s="1631"/>
      <c r="D28" s="2489" t="s">
        <v>1962</v>
      </c>
      <c r="E28" s="1632"/>
      <c r="F28" s="3074"/>
      <c r="G28" s="3067"/>
      <c r="H28" s="3067"/>
      <c r="I28" s="3071"/>
      <c r="J28" s="3067"/>
      <c r="K28" s="3050"/>
      <c r="L28" s="3046"/>
      <c r="M28" s="3046"/>
      <c r="N28" s="3047"/>
      <c r="O28" s="3048"/>
      <c r="P28" s="3047"/>
      <c r="Q28" s="3047"/>
      <c r="R28" s="3047"/>
      <c r="S28" s="3047"/>
      <c r="T28" s="3047"/>
      <c r="U28" s="3047"/>
    </row>
    <row r="29" spans="1:21">
      <c r="A29" s="1668"/>
      <c r="B29" s="1665" t="s">
        <v>1963</v>
      </c>
      <c r="C29" s="1631"/>
      <c r="D29" s="2489" t="s">
        <v>1963</v>
      </c>
      <c r="E29" s="1632"/>
      <c r="F29" s="3074"/>
      <c r="G29" s="3067"/>
      <c r="H29" s="3067"/>
      <c r="I29" s="3071"/>
      <c r="J29" s="3067"/>
      <c r="K29" s="3050"/>
      <c r="L29" s="3046"/>
      <c r="M29" s="3046"/>
      <c r="N29" s="3047"/>
      <c r="O29" s="3048"/>
      <c r="P29" s="3047"/>
      <c r="Q29" s="3047"/>
      <c r="R29" s="3047"/>
      <c r="S29" s="3047"/>
      <c r="T29" s="3047"/>
      <c r="U29" s="3047"/>
    </row>
    <row r="30" spans="1:21" ht="15" thickBot="1">
      <c r="A30" s="1669"/>
      <c r="B30" s="1666" t="s">
        <v>1964</v>
      </c>
      <c r="C30" s="1633"/>
      <c r="D30" s="2490" t="s">
        <v>1964</v>
      </c>
      <c r="E30" s="1634"/>
      <c r="F30" s="3075"/>
      <c r="G30" s="3072"/>
      <c r="H30" s="3072"/>
      <c r="I30" s="3073"/>
      <c r="J30" s="3067"/>
      <c r="K30" s="3050"/>
      <c r="L30" s="3046"/>
      <c r="M30" s="3046"/>
      <c r="N30" s="3047"/>
      <c r="O30" s="3048"/>
      <c r="P30" s="3047"/>
      <c r="Q30" s="3047"/>
      <c r="R30" s="3047"/>
      <c r="S30" s="3047"/>
      <c r="T30" s="3047"/>
      <c r="U30" s="3047"/>
    </row>
    <row r="31" spans="1:21" ht="15" thickTop="1">
      <c r="A31" s="3535" t="s">
        <v>1989</v>
      </c>
      <c r="B31" s="1676" t="s">
        <v>1990</v>
      </c>
      <c r="C31" s="3577" t="s">
        <v>3011</v>
      </c>
      <c r="D31" s="3578"/>
      <c r="E31" s="3067"/>
      <c r="F31" s="3067"/>
      <c r="G31" s="3067"/>
      <c r="H31" s="3067"/>
      <c r="I31" s="3071"/>
      <c r="J31" s="3067"/>
      <c r="K31" s="3053"/>
      <c r="L31" s="3047"/>
      <c r="M31" s="3047"/>
      <c r="N31" s="3047"/>
      <c r="O31" s="3047"/>
      <c r="P31" s="3047"/>
      <c r="Q31" s="3047"/>
      <c r="R31" s="3047"/>
      <c r="S31" s="3047"/>
      <c r="T31" s="3047"/>
      <c r="U31" s="3047"/>
    </row>
    <row r="32" spans="1:21">
      <c r="A32" s="3535"/>
      <c r="B32" s="1584" t="s">
        <v>1991</v>
      </c>
      <c r="C32" s="1635"/>
      <c r="D32" s="1636"/>
      <c r="E32" s="3067"/>
      <c r="F32" s="3067"/>
      <c r="G32" s="3067"/>
      <c r="H32" s="3067"/>
      <c r="I32" s="3071"/>
      <c r="J32" s="3067"/>
      <c r="K32" s="3053"/>
      <c r="L32" s="3047"/>
      <c r="M32" s="3047"/>
      <c r="N32" s="3047"/>
      <c r="O32" s="3047"/>
      <c r="P32" s="3047"/>
      <c r="Q32" s="3047"/>
      <c r="R32" s="3047"/>
      <c r="S32" s="3047"/>
      <c r="T32" s="3047"/>
      <c r="U32" s="3047"/>
    </row>
    <row r="33" spans="1:28">
      <c r="A33" s="3535"/>
      <c r="B33" s="1584" t="s">
        <v>1992</v>
      </c>
      <c r="C33" s="1637"/>
      <c r="D33" s="1747"/>
      <c r="E33" s="3067"/>
      <c r="F33" s="3067"/>
      <c r="G33" s="3067"/>
      <c r="H33" s="3067"/>
      <c r="I33" s="3071"/>
      <c r="J33" s="3067"/>
      <c r="K33" s="3053"/>
      <c r="L33" s="3047"/>
      <c r="M33" s="3047"/>
      <c r="N33" s="3047"/>
      <c r="O33" s="3047"/>
      <c r="P33" s="3047"/>
      <c r="Q33" s="3047"/>
      <c r="R33" s="3047"/>
      <c r="S33" s="3047"/>
      <c r="T33" s="3047"/>
      <c r="U33" s="3047"/>
    </row>
    <row r="34" spans="1:28">
      <c r="A34" s="3536"/>
      <c r="B34" s="1584" t="s">
        <v>1993</v>
      </c>
      <c r="C34" s="3537"/>
      <c r="D34" s="3538"/>
      <c r="E34" s="3067"/>
      <c r="F34" s="3067"/>
      <c r="G34" s="3067"/>
      <c r="H34" s="3067"/>
      <c r="I34" s="3071"/>
      <c r="J34" s="3067"/>
      <c r="K34" s="3053"/>
      <c r="L34" s="3047"/>
      <c r="M34" s="3047"/>
      <c r="N34" s="3047"/>
      <c r="O34" s="3047"/>
      <c r="P34" s="3047"/>
      <c r="Q34" s="3047"/>
      <c r="R34" s="3047"/>
      <c r="S34" s="3047"/>
      <c r="T34" s="3047"/>
      <c r="U34" s="3047"/>
    </row>
    <row r="35" spans="1:28">
      <c r="A35" s="3539" t="s">
        <v>839</v>
      </c>
      <c r="B35" s="1638"/>
      <c r="C35" s="1685" t="str">
        <f>IF(B35="场地平整","——","具体情况：")</f>
        <v>具体情况：</v>
      </c>
      <c r="D35" s="3541"/>
      <c r="E35" s="3542"/>
      <c r="F35" s="3542"/>
      <c r="G35" s="3542"/>
      <c r="H35" s="3542"/>
      <c r="I35" s="3543"/>
      <c r="J35" s="3067"/>
      <c r="K35" s="3054"/>
      <c r="L35" s="3046"/>
      <c r="M35" s="3046"/>
      <c r="N35" s="3047"/>
      <c r="O35" s="3048"/>
      <c r="P35" s="3047"/>
      <c r="Q35" s="3047"/>
      <c r="R35" s="3047"/>
      <c r="S35" s="3047"/>
      <c r="T35" s="3047"/>
      <c r="U35" s="3047"/>
    </row>
    <row r="36" spans="1:28">
      <c r="A36" s="3535"/>
      <c r="B36" s="3544" t="s">
        <v>2042</v>
      </c>
      <c r="C36" s="3545"/>
      <c r="D36" s="1701" t="s">
        <v>3012</v>
      </c>
      <c r="E36" s="3546"/>
      <c r="F36" s="3546"/>
      <c r="G36" s="1607" t="str">
        <f>IF(B35="场地未平整","估价结果处理","")</f>
        <v/>
      </c>
      <c r="H36" s="3547"/>
      <c r="I36" s="3547"/>
      <c r="J36" s="3067"/>
      <c r="K36" s="3054"/>
      <c r="L36" s="3046"/>
      <c r="M36" s="3046"/>
      <c r="N36" s="3047"/>
      <c r="O36" s="3048"/>
      <c r="P36" s="3047"/>
      <c r="Q36" s="3047"/>
      <c r="R36" s="3047"/>
      <c r="S36" s="3047"/>
      <c r="T36" s="3047"/>
      <c r="U36" s="3047"/>
    </row>
    <row r="37" spans="1:28" ht="28.5">
      <c r="A37" s="3535"/>
      <c r="B37" s="3565" t="s">
        <v>840</v>
      </c>
      <c r="C37" s="1640" t="s">
        <v>841</v>
      </c>
      <c r="D37" s="1641"/>
      <c r="E37" s="1642"/>
      <c r="F37" s="3067"/>
      <c r="G37" s="3067"/>
      <c r="H37" s="3067"/>
      <c r="I37" s="3071"/>
      <c r="J37" s="3067"/>
      <c r="K37" s="3054"/>
      <c r="L37" s="3047"/>
      <c r="M37" s="3047"/>
      <c r="N37" s="3047"/>
      <c r="O37" s="3047"/>
      <c r="P37" s="3047"/>
      <c r="Q37" s="3047"/>
      <c r="R37" s="3047"/>
      <c r="S37" s="3047"/>
      <c r="T37" s="3047"/>
      <c r="U37" s="3047"/>
    </row>
    <row r="38" spans="1:28">
      <c r="A38" s="3535"/>
      <c r="B38" s="3566"/>
      <c r="C38" s="1592" t="s">
        <v>842</v>
      </c>
      <c r="D38" s="1700">
        <f>ROUNDDOWN(MIN(('数据-取费表'!$B$2-D37)/365,D34),1)</f>
        <v>121.6</v>
      </c>
      <c r="E38" s="1643" t="s">
        <v>843</v>
      </c>
      <c r="F38" s="3067"/>
      <c r="G38" s="3067"/>
      <c r="H38" s="3067"/>
      <c r="I38" s="3071"/>
      <c r="J38" s="3067"/>
      <c r="K38" s="3054"/>
      <c r="L38" s="3047"/>
      <c r="M38" s="3047"/>
      <c r="N38" s="3047"/>
      <c r="O38" s="3047"/>
      <c r="P38" s="3047"/>
      <c r="Q38" s="3047"/>
      <c r="R38" s="3047"/>
      <c r="S38" s="3047"/>
      <c r="T38" s="3047"/>
      <c r="U38" s="3047"/>
    </row>
    <row r="39" spans="1:28">
      <c r="A39" s="3536"/>
      <c r="B39" s="3567"/>
      <c r="C39" s="1614" t="str">
        <f>IF(D38&lt;1,"不存在土地闲置",IF(B35="宗地内已开工建设","已开工，不存在土地闲置","估价对象已涉嫌土地闲置"))</f>
        <v>估价对象已涉嫌土地闲置</v>
      </c>
      <c r="D39" s="1644"/>
      <c r="E39" s="1645"/>
      <c r="F39" s="3067"/>
      <c r="G39" s="3067"/>
      <c r="H39" s="3067"/>
      <c r="I39" s="3071"/>
      <c r="J39" s="3067"/>
      <c r="K39" s="3050"/>
      <c r="L39" s="3046"/>
      <c r="M39" s="3046"/>
      <c r="N39" s="3047"/>
      <c r="O39" s="3048"/>
      <c r="P39" s="3047"/>
      <c r="Q39" s="3047"/>
      <c r="R39" s="3047"/>
      <c r="S39" s="3047"/>
      <c r="T39" s="3047"/>
      <c r="U39" s="3047"/>
    </row>
    <row r="40" spans="1:28">
      <c r="A40" s="1607" t="s">
        <v>1965</v>
      </c>
      <c r="B40" s="1608" t="s">
        <v>3013</v>
      </c>
      <c r="C40" s="1608" t="s">
        <v>3014</v>
      </c>
      <c r="D40" s="1608" t="s">
        <v>3015</v>
      </c>
      <c r="E40" s="1608" t="s">
        <v>3016</v>
      </c>
      <c r="F40" s="1608" t="s">
        <v>3017</v>
      </c>
      <c r="G40" s="1608" t="s">
        <v>3018</v>
      </c>
      <c r="H40" s="1608" t="s">
        <v>3019</v>
      </c>
      <c r="I40" s="3071"/>
      <c r="J40" s="3067"/>
      <c r="K40" s="3015">
        <f>COUNTIF(B40:H40,"——")</f>
        <v>0</v>
      </c>
      <c r="L40" s="1616" t="s">
        <v>1966</v>
      </c>
      <c r="M40" s="1613" t="s">
        <v>1967</v>
      </c>
      <c r="N40" s="1613" t="s">
        <v>1968</v>
      </c>
      <c r="O40" s="1613" t="s">
        <v>1969</v>
      </c>
      <c r="P40" s="1613" t="s">
        <v>1970</v>
      </c>
      <c r="Q40" s="1613" t="s">
        <v>1971</v>
      </c>
      <c r="R40" s="1613" t="s">
        <v>1972</v>
      </c>
      <c r="S40" s="3548" t="s">
        <v>1973</v>
      </c>
      <c r="T40" s="1647" t="str">
        <f>NUMBERSTRING(7-K40,1)&amp;"通"</f>
        <v>七通</v>
      </c>
      <c r="U40" s="3047"/>
    </row>
    <row r="41" spans="1:28">
      <c r="A41" s="1586"/>
      <c r="B41" s="3540" t="s">
        <v>1711</v>
      </c>
      <c r="C41" s="3540"/>
      <c r="D41" s="3540"/>
      <c r="E41" s="3540"/>
      <c r="F41" s="1648">
        <f>C10</f>
        <v>0</v>
      </c>
      <c r="G41" s="3067"/>
      <c r="H41" s="3067"/>
      <c r="I41" s="3071"/>
      <c r="J41" s="3067"/>
      <c r="K41" s="1616"/>
      <c r="L41" s="1613" t="str">
        <f>B40</f>
        <v>通路</v>
      </c>
      <c r="M41" s="1649" t="str">
        <f>B40&amp;"、"&amp;C40</f>
        <v>通路、通电</v>
      </c>
      <c r="N41" s="1650" t="str">
        <f>B40&amp;"、"&amp;C40&amp;"、"&amp;D40</f>
        <v>通路、通电、通讯</v>
      </c>
      <c r="O41" s="1650" t="str">
        <f>B40&amp;"、"&amp;C40&amp;"、"&amp;D40&amp;"、"&amp;E40</f>
        <v>通路、通电、通讯、通上水</v>
      </c>
      <c r="P41" s="1650" t="str">
        <f>B40&amp;"、"&amp;C40&amp;"、"&amp;D40&amp;"、"&amp;E40&amp;"、"&amp;F40</f>
        <v>通路、通电、通讯、通上水、通下水</v>
      </c>
      <c r="Q41" s="1650" t="str">
        <f>B40&amp;"、"&amp;C40&amp;"、"&amp;D40&amp;"、"&amp;E40&amp;"、"&amp;F40&amp;"、"&amp;G40</f>
        <v>通路、通电、通讯、通上水、通下水、通热</v>
      </c>
      <c r="R41" s="1650" t="str">
        <f>B40&amp;"、"&amp;C40&amp;"、"&amp;D40&amp;"、"&amp;E40&amp;"、"&amp;F40&amp;"、"&amp;G40&amp;"、"&amp;H40</f>
        <v>通路、通电、通讯、通上水、通下水、通热、燃气</v>
      </c>
      <c r="S41" s="3548"/>
      <c r="T41" s="1649" t="str">
        <f>IF(T40="一通",L41,IF(T40="二通",M41,IF(T40="三通",N41,IF(T40="四通",O41,IF(T40="五通",P41,IF(T40="六通",Q41,R41))))))</f>
        <v>通路、通电、通讯、通上水、通下水、通热、燃气</v>
      </c>
      <c r="U41" s="3047"/>
    </row>
    <row r="42" spans="1:28">
      <c r="A42" s="1651"/>
      <c r="B42" s="1678" t="s">
        <v>1887</v>
      </c>
      <c r="C42" s="1678" t="s">
        <v>1888</v>
      </c>
      <c r="D42" s="1678" t="s">
        <v>1889</v>
      </c>
      <c r="E42" s="1616" t="s">
        <v>1890</v>
      </c>
      <c r="F42" s="1652"/>
      <c r="G42" s="3067"/>
      <c r="H42" s="3067"/>
      <c r="I42" s="3071"/>
      <c r="J42" s="3067"/>
      <c r="K42" s="3050"/>
      <c r="L42" s="3046"/>
      <c r="M42" s="3046"/>
      <c r="N42" s="3047"/>
      <c r="O42" s="3048"/>
      <c r="P42" s="3047"/>
      <c r="Q42" s="3047"/>
      <c r="R42" s="3047"/>
      <c r="S42" s="3047"/>
      <c r="T42" s="3047"/>
      <c r="U42" s="3047"/>
    </row>
    <row r="43" spans="1:28">
      <c r="A43" s="3018" t="s">
        <v>1696</v>
      </c>
      <c r="B43" s="1653" t="s">
        <v>1398</v>
      </c>
      <c r="C43" s="1653" t="s">
        <v>1398</v>
      </c>
      <c r="D43" s="1653" t="s">
        <v>1398</v>
      </c>
      <c r="E43" s="1653"/>
      <c r="F43" s="1654"/>
      <c r="G43" s="3067"/>
      <c r="H43" s="3067"/>
      <c r="I43" s="3071"/>
      <c r="J43" s="3067"/>
      <c r="K43" s="3050"/>
      <c r="L43" s="3046"/>
      <c r="M43" s="3046"/>
      <c r="N43" s="3047"/>
      <c r="O43" s="3048"/>
      <c r="P43" s="3047"/>
      <c r="Q43" s="3047"/>
      <c r="R43" s="3047"/>
      <c r="S43" s="3047"/>
      <c r="T43" s="3047"/>
      <c r="U43" s="3047"/>
    </row>
    <row r="44" spans="1:28">
      <c r="A44" s="3018" t="s">
        <v>1697</v>
      </c>
      <c r="B44" s="1653" t="s">
        <v>1106</v>
      </c>
      <c r="C44" s="1653" t="s">
        <v>1106</v>
      </c>
      <c r="D44" s="1653" t="s">
        <v>1092</v>
      </c>
      <c r="E44" s="1701"/>
      <c r="F44" s="1654"/>
      <c r="G44" s="3067"/>
      <c r="H44" s="3067"/>
      <c r="I44" s="3071"/>
      <c r="J44" s="3067"/>
      <c r="K44" s="3050"/>
      <c r="L44" s="3046"/>
      <c r="M44" s="3046"/>
      <c r="N44" s="3047"/>
      <c r="O44" s="3048"/>
      <c r="P44" s="3047"/>
      <c r="Q44" s="3047"/>
      <c r="R44" s="3047"/>
      <c r="S44" s="3047"/>
      <c r="T44" s="3047"/>
      <c r="U44" s="3047"/>
    </row>
    <row r="45" spans="1:28" s="2766" customFormat="1" ht="21" thickBot="1">
      <c r="A45" s="2767" t="s">
        <v>2870</v>
      </c>
      <c r="B45" s="2765"/>
      <c r="C45" s="2765"/>
      <c r="D45" s="2765"/>
      <c r="E45" s="2765"/>
      <c r="F45" s="2765"/>
      <c r="G45" s="3057"/>
      <c r="H45" s="3057"/>
      <c r="I45" s="3058"/>
      <c r="J45" s="3070"/>
      <c r="K45" s="3055"/>
      <c r="L45" s="3056"/>
      <c r="M45" s="3056"/>
      <c r="N45" s="3057"/>
      <c r="O45" s="3058"/>
      <c r="P45" s="3057"/>
      <c r="Q45" s="3057"/>
      <c r="R45" s="3057"/>
      <c r="S45" s="3057"/>
      <c r="T45" s="3057"/>
      <c r="U45" s="3057"/>
      <c r="V45" s="3059"/>
      <c r="W45" s="3059"/>
      <c r="X45" s="3059"/>
      <c r="Y45" s="3059"/>
      <c r="Z45" s="3059"/>
      <c r="AA45" s="3059"/>
      <c r="AB45" s="3059"/>
    </row>
    <row r="46" spans="1:28">
      <c r="A46" s="1611"/>
      <c r="B46" s="1611"/>
      <c r="C46" s="1611"/>
      <c r="D46" s="1611"/>
      <c r="E46" s="1611"/>
      <c r="F46" s="1611"/>
      <c r="G46" s="1611"/>
      <c r="H46" s="1611"/>
      <c r="I46" s="1623"/>
      <c r="J46" s="1611"/>
      <c r="K46" s="3050"/>
      <c r="L46" s="3046"/>
      <c r="M46" s="3046"/>
      <c r="N46" s="3047"/>
      <c r="O46" s="3048"/>
      <c r="P46" s="3047"/>
      <c r="Q46" s="3047"/>
      <c r="R46" s="3047"/>
      <c r="S46" s="3047"/>
      <c r="T46" s="3047"/>
      <c r="U46" s="3047"/>
    </row>
    <row r="47" spans="1:28">
      <c r="A47" s="1655" t="s">
        <v>1994</v>
      </c>
      <c r="B47" s="1656"/>
      <c r="C47" s="1645"/>
      <c r="D47" s="1611"/>
      <c r="E47" s="1611"/>
      <c r="F47" s="1611"/>
      <c r="G47" s="1611"/>
      <c r="H47" s="1611"/>
      <c r="I47" s="1612"/>
      <c r="J47" s="1611"/>
      <c r="K47" s="3050"/>
      <c r="L47" s="3046"/>
      <c r="M47" s="3046"/>
      <c r="N47" s="3047"/>
      <c r="O47" s="3048"/>
      <c r="P47" s="3047"/>
      <c r="Q47" s="3047"/>
      <c r="R47" s="3047"/>
      <c r="S47" s="3047"/>
      <c r="T47" s="3047"/>
      <c r="U47" s="3047"/>
    </row>
    <row r="48" spans="1:28" ht="28.5">
      <c r="A48" s="1616" t="s">
        <v>1995</v>
      </c>
      <c r="B48" s="1606" t="s">
        <v>1996</v>
      </c>
      <c r="C48" s="1606" t="s">
        <v>1997</v>
      </c>
      <c r="D48" s="1606" t="s">
        <v>1998</v>
      </c>
      <c r="E48" s="1606" t="s">
        <v>1999</v>
      </c>
      <c r="F48" s="1606" t="s">
        <v>2000</v>
      </c>
      <c r="G48" s="1606" t="s">
        <v>2001</v>
      </c>
      <c r="H48" s="1606" t="s">
        <v>2002</v>
      </c>
      <c r="I48" s="1606" t="s">
        <v>2003</v>
      </c>
      <c r="J48" s="1684" t="s">
        <v>2004</v>
      </c>
      <c r="K48" s="3060" t="s">
        <v>2005</v>
      </c>
      <c r="L48" s="3060" t="s">
        <v>2006</v>
      </c>
      <c r="M48" s="3060" t="s">
        <v>2007</v>
      </c>
      <c r="N48" s="3061" t="s">
        <v>2008</v>
      </c>
      <c r="O48" s="3061" t="s">
        <v>2009</v>
      </c>
      <c r="P48" s="3061" t="s">
        <v>2010</v>
      </c>
      <c r="Q48" s="3052" t="s">
        <v>2011</v>
      </c>
      <c r="R48" s="3052" t="s">
        <v>2012</v>
      </c>
      <c r="S48" s="3047"/>
      <c r="T48" s="3047"/>
      <c r="U48" s="3047"/>
    </row>
    <row r="49" spans="1:21">
      <c r="A49" s="1613"/>
      <c r="B49" s="1646"/>
      <c r="C49" s="1646"/>
      <c r="D49" s="1646"/>
      <c r="E49" s="1646"/>
      <c r="F49" s="1646"/>
      <c r="G49" s="1646"/>
      <c r="H49" s="1646"/>
      <c r="I49" s="1646"/>
      <c r="J49" s="1748"/>
      <c r="K49" s="3062"/>
      <c r="L49" s="3062"/>
      <c r="M49" s="1652"/>
      <c r="N49" s="1652"/>
      <c r="O49" s="1652"/>
      <c r="P49" s="1652"/>
      <c r="Q49" s="1652"/>
      <c r="R49" s="1652"/>
      <c r="S49" s="3047"/>
      <c r="T49" s="3047"/>
      <c r="U49" s="3047"/>
    </row>
    <row r="50" spans="1:21">
      <c r="A50" s="1613"/>
      <c r="B50" s="1613"/>
      <c r="C50" s="1646"/>
      <c r="D50" s="1646"/>
      <c r="E50" s="1646"/>
      <c r="F50" s="1646"/>
      <c r="G50" s="1646"/>
      <c r="H50" s="1646"/>
      <c r="I50" s="1646"/>
      <c r="J50" s="1748"/>
      <c r="K50" s="3062"/>
      <c r="L50" s="3062"/>
      <c r="M50" s="1652"/>
      <c r="N50" s="1652"/>
      <c r="O50" s="1652"/>
      <c r="P50" s="1652"/>
      <c r="Q50" s="1652"/>
      <c r="R50" s="1652"/>
      <c r="S50" s="3047"/>
      <c r="T50" s="3047"/>
      <c r="U50" s="3047"/>
    </row>
    <row r="51" spans="1:21">
      <c r="A51" s="1613"/>
      <c r="B51" s="1613"/>
      <c r="C51" s="1646"/>
      <c r="D51" s="1646"/>
      <c r="E51" s="1646"/>
      <c r="F51" s="1646"/>
      <c r="G51" s="1646"/>
      <c r="H51" s="1646"/>
      <c r="I51" s="1646"/>
      <c r="J51" s="1748"/>
      <c r="K51" s="3062"/>
      <c r="L51" s="3062"/>
      <c r="M51" s="1652"/>
      <c r="N51" s="1652"/>
      <c r="O51" s="1652"/>
      <c r="P51" s="1652"/>
      <c r="Q51" s="1652"/>
      <c r="R51" s="1652"/>
      <c r="S51" s="3047"/>
      <c r="T51" s="3047"/>
      <c r="U51" s="3047"/>
    </row>
    <row r="52" spans="1:21">
      <c r="A52" s="1613"/>
      <c r="B52" s="1613"/>
      <c r="C52" s="1646"/>
      <c r="D52" s="1646"/>
      <c r="E52" s="1646"/>
      <c r="F52" s="1646"/>
      <c r="G52" s="1646"/>
      <c r="H52" s="1646"/>
      <c r="I52" s="1646"/>
      <c r="J52" s="1748"/>
      <c r="K52" s="3062"/>
      <c r="L52" s="3062"/>
      <c r="M52" s="1652"/>
      <c r="N52" s="1652"/>
      <c r="O52" s="1652"/>
      <c r="P52" s="1652"/>
      <c r="Q52" s="1652"/>
      <c r="R52" s="1652"/>
      <c r="S52" s="3047"/>
      <c r="T52" s="3047"/>
      <c r="U52" s="3047"/>
    </row>
    <row r="53" spans="1:21">
      <c r="A53" s="1613"/>
      <c r="B53" s="1613"/>
      <c r="C53" s="1646"/>
      <c r="D53" s="1646"/>
      <c r="E53" s="1646"/>
      <c r="F53" s="1646"/>
      <c r="G53" s="1646"/>
      <c r="H53" s="1646"/>
      <c r="I53" s="1646"/>
      <c r="J53" s="1748"/>
      <c r="K53" s="3062"/>
      <c r="L53" s="3062"/>
      <c r="M53" s="1652"/>
      <c r="N53" s="1652"/>
      <c r="O53" s="1652"/>
      <c r="P53" s="1652"/>
      <c r="Q53" s="1652"/>
      <c r="R53" s="1652"/>
      <c r="S53" s="3047"/>
      <c r="T53" s="3047"/>
      <c r="U53" s="3047"/>
    </row>
    <row r="54" spans="1:21">
      <c r="A54" s="1613"/>
      <c r="B54" s="1613"/>
      <c r="C54" s="1613"/>
      <c r="D54" s="1613"/>
      <c r="E54" s="1613"/>
      <c r="F54" s="1646"/>
      <c r="G54" s="1613"/>
      <c r="H54" s="1613"/>
      <c r="I54" s="1613"/>
      <c r="J54" s="1749"/>
      <c r="K54" s="3062"/>
      <c r="L54" s="3062"/>
      <c r="M54" s="3062"/>
      <c r="N54" s="3014"/>
      <c r="O54" s="3014"/>
      <c r="P54" s="3014"/>
      <c r="Q54" s="3014"/>
      <c r="R54" s="3014"/>
      <c r="S54" s="3047"/>
      <c r="T54" s="3047"/>
      <c r="U54" s="3047"/>
    </row>
    <row r="55" spans="1:21">
      <c r="A55" s="1613"/>
      <c r="B55" s="1613"/>
      <c r="C55" s="1613"/>
      <c r="D55" s="1613"/>
      <c r="E55" s="1613"/>
      <c r="F55" s="1646"/>
      <c r="G55" s="1613"/>
      <c r="H55" s="1613"/>
      <c r="I55" s="1613"/>
      <c r="J55" s="1749"/>
      <c r="K55" s="3062"/>
      <c r="L55" s="3062"/>
      <c r="M55" s="3062"/>
      <c r="N55" s="3014"/>
      <c r="O55" s="3014"/>
      <c r="P55" s="3014"/>
      <c r="Q55" s="3014"/>
      <c r="R55" s="3014"/>
      <c r="S55" s="3047"/>
      <c r="T55" s="3047"/>
      <c r="U55" s="3047"/>
    </row>
    <row r="56" spans="1:21">
      <c r="A56" s="1613"/>
      <c r="B56" s="1613"/>
      <c r="C56" s="1613"/>
      <c r="D56" s="1613"/>
      <c r="E56" s="1613"/>
      <c r="F56" s="1646"/>
      <c r="G56" s="1613"/>
      <c r="H56" s="1613"/>
      <c r="I56" s="1613"/>
      <c r="J56" s="1749"/>
      <c r="K56" s="3062"/>
      <c r="L56" s="3062"/>
      <c r="M56" s="3062"/>
      <c r="N56" s="3014"/>
      <c r="O56" s="3014"/>
      <c r="P56" s="3014"/>
      <c r="Q56" s="3014"/>
      <c r="R56" s="3014"/>
      <c r="S56" s="3047"/>
      <c r="T56" s="3047"/>
      <c r="U56" s="3047"/>
    </row>
    <row r="57" spans="1:21">
      <c r="A57" s="1613"/>
      <c r="B57" s="1613"/>
      <c r="C57" s="1613"/>
      <c r="D57" s="1613"/>
      <c r="E57" s="1613"/>
      <c r="F57" s="1646"/>
      <c r="G57" s="1613"/>
      <c r="H57" s="1613"/>
      <c r="I57" s="1613"/>
      <c r="J57" s="1749"/>
      <c r="K57" s="3062"/>
      <c r="L57" s="3062"/>
      <c r="M57" s="3062"/>
      <c r="N57" s="3014"/>
      <c r="O57" s="3014"/>
      <c r="P57" s="3014"/>
      <c r="Q57" s="3014"/>
      <c r="R57" s="3014"/>
      <c r="S57" s="3047"/>
      <c r="T57" s="3047"/>
      <c r="U57" s="3047"/>
    </row>
    <row r="58" spans="1:21">
      <c r="A58" s="1613"/>
      <c r="B58" s="1613"/>
      <c r="C58" s="1613"/>
      <c r="D58" s="1613"/>
      <c r="E58" s="1613"/>
      <c r="F58" s="1646"/>
      <c r="G58" s="1613"/>
      <c r="H58" s="1613"/>
      <c r="I58" s="1613"/>
      <c r="J58" s="1749"/>
      <c r="K58" s="3062"/>
      <c r="L58" s="3062"/>
      <c r="M58" s="3062"/>
      <c r="N58" s="3014"/>
      <c r="O58" s="3014"/>
      <c r="P58" s="3014"/>
      <c r="Q58" s="3014"/>
      <c r="R58" s="3014"/>
      <c r="S58" s="3047"/>
      <c r="T58" s="3047"/>
      <c r="U58" s="304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sheetPr>
    <tabColor rgb="FFC00000"/>
  </sheetPr>
  <dimension ref="A1:I41"/>
  <sheetViews>
    <sheetView zoomScaleNormal="100" workbookViewId="0">
      <selection activeCell="C5" sqref="C5:D5"/>
    </sheetView>
  </sheetViews>
  <sheetFormatPr defaultColWidth="16.875" defaultRowHeight="13.5"/>
  <cols>
    <col min="1" max="1" width="3.875" style="2" customWidth="1"/>
    <col min="2" max="2" width="7.25" style="2" customWidth="1"/>
    <col min="3" max="3" width="9.875" style="2" customWidth="1"/>
    <col min="4" max="4" width="10.875" style="2" customWidth="1"/>
    <col min="5" max="5" width="11" style="2" customWidth="1"/>
    <col min="6" max="6" width="12.875" style="2" customWidth="1"/>
    <col min="7" max="7" width="11.5" style="2" customWidth="1"/>
    <col min="8" max="16384" width="16.875" style="2"/>
  </cols>
  <sheetData>
    <row r="1" spans="1:9">
      <c r="A1" s="3585" t="s">
        <v>3647</v>
      </c>
      <c r="B1" s="3585"/>
      <c r="C1" s="3585" t="s">
        <v>3648</v>
      </c>
      <c r="D1" s="3585"/>
      <c r="E1" s="3443" t="s">
        <v>3839</v>
      </c>
      <c r="F1" s="3443" t="s">
        <v>3840</v>
      </c>
      <c r="G1" s="3443" t="s">
        <v>3841</v>
      </c>
      <c r="I1" s="3454" t="s">
        <v>3709</v>
      </c>
    </row>
    <row r="2" spans="1:9">
      <c r="A2" s="3585" t="s">
        <v>3652</v>
      </c>
      <c r="B2" s="3585" t="s">
        <v>3653</v>
      </c>
      <c r="C2" s="3585" t="s">
        <v>3654</v>
      </c>
      <c r="D2" s="3585"/>
      <c r="E2" s="3478">
        <v>51733</v>
      </c>
      <c r="F2" s="3478">
        <v>51607.64</v>
      </c>
      <c r="G2" s="3478">
        <f>F2-E2</f>
        <v>-125.36000000000058</v>
      </c>
      <c r="H2" s="3477">
        <f>G2/E2</f>
        <v>-2.423211489764765E-3</v>
      </c>
    </row>
    <row r="3" spans="1:9">
      <c r="A3" s="3585"/>
      <c r="B3" s="3585"/>
      <c r="C3" s="3585" t="s">
        <v>3655</v>
      </c>
      <c r="D3" s="3585"/>
      <c r="E3" s="3478">
        <v>8290</v>
      </c>
      <c r="F3" s="3478">
        <v>8290</v>
      </c>
      <c r="G3" s="3479" t="s">
        <v>3656</v>
      </c>
      <c r="H3" s="3477"/>
    </row>
    <row r="4" spans="1:9">
      <c r="A4" s="3585"/>
      <c r="B4" s="3585"/>
      <c r="C4" s="3585" t="s">
        <v>3657</v>
      </c>
      <c r="D4" s="3585"/>
      <c r="E4" s="3478">
        <v>6510</v>
      </c>
      <c r="F4" s="3478">
        <v>6455.06</v>
      </c>
      <c r="G4" s="3478">
        <f>F4-E4</f>
        <v>-54.9399999999996</v>
      </c>
      <c r="H4" s="3477">
        <f>G4/E4</f>
        <v>-8.4393241167434099E-3</v>
      </c>
    </row>
    <row r="5" spans="1:9">
      <c r="A5" s="3585"/>
      <c r="B5" s="3585"/>
      <c r="C5" s="3585" t="s">
        <v>3658</v>
      </c>
      <c r="D5" s="3585"/>
      <c r="E5" s="3478">
        <v>0</v>
      </c>
      <c r="F5" s="3478">
        <v>101.68</v>
      </c>
      <c r="G5" s="3478">
        <f>F5-E5</f>
        <v>101.68</v>
      </c>
      <c r="I5" s="2">
        <v>50</v>
      </c>
    </row>
    <row r="6" spans="1:9">
      <c r="A6" s="3585"/>
      <c r="B6" s="3460" t="s">
        <v>3659</v>
      </c>
      <c r="C6" s="3585" t="s">
        <v>3660</v>
      </c>
      <c r="D6" s="3585"/>
      <c r="E6" s="3478">
        <v>0</v>
      </c>
      <c r="F6" s="3478">
        <f>23.68+36.08+18.86</f>
        <v>78.62</v>
      </c>
      <c r="G6" s="3478">
        <f t="shared" ref="G6" si="0">F6-E6</f>
        <v>78.62</v>
      </c>
    </row>
    <row r="7" spans="1:9">
      <c r="A7" s="3585"/>
      <c r="B7" s="3579" t="s">
        <v>3661</v>
      </c>
      <c r="C7" s="3579"/>
      <c r="D7" s="3579"/>
      <c r="E7" s="3452">
        <f>SUM(E2:E6)</f>
        <v>66533</v>
      </c>
      <c r="F7" s="3452">
        <f>SUM(F2:F6)</f>
        <v>66532.999999999985</v>
      </c>
      <c r="G7" s="3480" t="s">
        <v>3656</v>
      </c>
    </row>
    <row r="8" spans="1:9">
      <c r="A8" s="3585" t="s">
        <v>3662</v>
      </c>
      <c r="B8" s="3585" t="s">
        <v>3653</v>
      </c>
      <c r="C8" s="3585" t="s">
        <v>3663</v>
      </c>
      <c r="D8" s="3585"/>
      <c r="E8" s="3478">
        <v>0</v>
      </c>
      <c r="F8" s="3481">
        <v>50.63</v>
      </c>
      <c r="G8" s="3478">
        <f>F8-E8</f>
        <v>50.63</v>
      </c>
    </row>
    <row r="9" spans="1:9">
      <c r="A9" s="3585"/>
      <c r="B9" s="3585"/>
      <c r="C9" s="3585" t="s">
        <v>3664</v>
      </c>
      <c r="D9" s="3443" t="s">
        <v>3665</v>
      </c>
      <c r="E9" s="3478">
        <v>0</v>
      </c>
      <c r="F9" s="3478">
        <f>2188.38+875+10</f>
        <v>3073.38</v>
      </c>
      <c r="G9" s="3478">
        <f>F9-E9</f>
        <v>3073.38</v>
      </c>
      <c r="H9" s="2" t="s">
        <v>3666</v>
      </c>
    </row>
    <row r="10" spans="1:9">
      <c r="A10" s="3585"/>
      <c r="B10" s="3585"/>
      <c r="C10" s="3585"/>
      <c r="D10" s="3448" t="s">
        <v>3667</v>
      </c>
      <c r="E10" s="3481">
        <v>0</v>
      </c>
      <c r="F10" s="3481">
        <v>360.7</v>
      </c>
      <c r="G10" s="3481">
        <f>F10-E10</f>
        <v>360.7</v>
      </c>
      <c r="H10" s="2" t="s">
        <v>3668</v>
      </c>
    </row>
    <row r="11" spans="1:9">
      <c r="A11" s="3585"/>
      <c r="B11" s="3585"/>
      <c r="C11" s="3585"/>
      <c r="D11" s="3449" t="s">
        <v>3661</v>
      </c>
      <c r="E11" s="3482">
        <v>0</v>
      </c>
      <c r="F11" s="3482">
        <f>F9+F10</f>
        <v>3434.08</v>
      </c>
      <c r="G11" s="3482">
        <f>G9+G10</f>
        <v>3434.08</v>
      </c>
    </row>
    <row r="12" spans="1:9">
      <c r="A12" s="3585"/>
      <c r="B12" s="3585"/>
      <c r="C12" s="3585" t="s">
        <v>3669</v>
      </c>
      <c r="D12" s="3443" t="s">
        <v>3670</v>
      </c>
      <c r="E12" s="3478">
        <v>0</v>
      </c>
      <c r="F12" s="3481">
        <v>19599.32</v>
      </c>
      <c r="G12" s="3478">
        <f t="shared" ref="G12:G13" si="1">F12-E12</f>
        <v>19599.32</v>
      </c>
    </row>
    <row r="13" spans="1:9">
      <c r="A13" s="3585"/>
      <c r="B13" s="3585"/>
      <c r="C13" s="3585"/>
      <c r="D13" s="3443" t="s">
        <v>3671</v>
      </c>
      <c r="E13" s="3478">
        <v>0</v>
      </c>
      <c r="F13" s="3481">
        <v>644.80999999999995</v>
      </c>
      <c r="G13" s="3478">
        <f t="shared" si="1"/>
        <v>644.80999999999995</v>
      </c>
    </row>
    <row r="14" spans="1:9">
      <c r="A14" s="3585"/>
      <c r="B14" s="3585"/>
      <c r="C14" s="3585"/>
      <c r="D14" s="3446" t="s">
        <v>3661</v>
      </c>
      <c r="E14" s="3452">
        <v>0</v>
      </c>
      <c r="F14" s="3482">
        <f>F12+F13</f>
        <v>20244.13</v>
      </c>
      <c r="G14" s="3482">
        <f>G12+G13</f>
        <v>20244.13</v>
      </c>
    </row>
    <row r="15" spans="1:9">
      <c r="A15" s="3585"/>
      <c r="B15" s="3585"/>
      <c r="C15" s="3585" t="s">
        <v>3672</v>
      </c>
      <c r="D15" s="3585"/>
      <c r="E15" s="3478">
        <v>0</v>
      </c>
      <c r="F15" s="3481">
        <v>23373.33</v>
      </c>
      <c r="G15" s="3478">
        <f>F15-E15</f>
        <v>23373.33</v>
      </c>
    </row>
    <row r="16" spans="1:9" ht="27" hidden="1">
      <c r="A16" s="3585"/>
      <c r="B16" s="3585" t="s">
        <v>3659</v>
      </c>
      <c r="C16" s="3443" t="s">
        <v>3673</v>
      </c>
      <c r="D16" s="3443"/>
      <c r="E16" s="3478">
        <v>0</v>
      </c>
      <c r="F16" s="3478">
        <f>1376.33-875-10</f>
        <v>491.32999999999993</v>
      </c>
      <c r="G16" s="3478">
        <f t="shared" ref="G16:G17" si="2">F16-E16</f>
        <v>491.32999999999993</v>
      </c>
    </row>
    <row r="17" spans="1:7">
      <c r="A17" s="3585"/>
      <c r="B17" s="3585"/>
      <c r="C17" s="3585" t="s">
        <v>3674</v>
      </c>
      <c r="D17" s="3585"/>
      <c r="E17" s="3478">
        <v>0</v>
      </c>
      <c r="F17" s="3478">
        <f>7472.1+440.7</f>
        <v>7912.8</v>
      </c>
      <c r="G17" s="3478">
        <f t="shared" si="2"/>
        <v>7912.8</v>
      </c>
    </row>
    <row r="18" spans="1:7">
      <c r="A18" s="3585"/>
      <c r="B18" s="3579" t="s">
        <v>3661</v>
      </c>
      <c r="C18" s="3579"/>
      <c r="D18" s="3579"/>
      <c r="E18" s="3452">
        <f>SUM(E9:E17)</f>
        <v>0</v>
      </c>
      <c r="F18" s="3452">
        <f>SUM(F8:F17)-F16-F11-F14</f>
        <v>55014.97</v>
      </c>
      <c r="G18" s="3452">
        <f>SUM(G8:G17)-G16-G11-G14</f>
        <v>55014.97</v>
      </c>
    </row>
    <row r="19" spans="1:7">
      <c r="A19" s="3579" t="s">
        <v>3675</v>
      </c>
      <c r="B19" s="3579"/>
      <c r="C19" s="3579"/>
      <c r="D19" s="3579"/>
      <c r="E19" s="3452">
        <f>E7+E18</f>
        <v>66533</v>
      </c>
      <c r="F19" s="3452">
        <f>F7+F18</f>
        <v>121547.96999999999</v>
      </c>
      <c r="G19" s="3452">
        <f>0+G18</f>
        <v>55014.97</v>
      </c>
    </row>
    <row r="26" spans="1:7">
      <c r="A26" s="3580" t="s">
        <v>3647</v>
      </c>
      <c r="B26" s="3581"/>
      <c r="C26" s="3580" t="s">
        <v>3648</v>
      </c>
      <c r="D26" s="3581"/>
      <c r="E26" s="3443" t="s">
        <v>3649</v>
      </c>
      <c r="F26" s="3443" t="s">
        <v>3650</v>
      </c>
      <c r="G26" s="3443" t="s">
        <v>3651</v>
      </c>
    </row>
    <row r="27" spans="1:7">
      <c r="A27" s="3582" t="s">
        <v>3652</v>
      </c>
      <c r="B27" s="3582" t="s">
        <v>3653</v>
      </c>
      <c r="C27" s="3580" t="s">
        <v>3654</v>
      </c>
      <c r="D27" s="3581"/>
      <c r="E27" s="3443">
        <v>58243</v>
      </c>
      <c r="F27" s="3443">
        <v>51607.64</v>
      </c>
      <c r="G27" s="3443">
        <f>F27-E27</f>
        <v>-6635.3600000000006</v>
      </c>
    </row>
    <row r="28" spans="1:7">
      <c r="A28" s="3583"/>
      <c r="B28" s="3583"/>
      <c r="C28" s="3580" t="s">
        <v>3655</v>
      </c>
      <c r="D28" s="3581"/>
      <c r="E28" s="3443">
        <v>8290</v>
      </c>
      <c r="F28" s="3443">
        <v>8290</v>
      </c>
      <c r="G28" s="3444" t="s">
        <v>3656</v>
      </c>
    </row>
    <row r="29" spans="1:7">
      <c r="A29" s="3583"/>
      <c r="B29" s="3583"/>
      <c r="C29" s="3580" t="s">
        <v>3657</v>
      </c>
      <c r="D29" s="3581"/>
      <c r="E29" s="3443">
        <v>0</v>
      </c>
      <c r="F29" s="3443">
        <v>6455.06</v>
      </c>
      <c r="G29" s="3443">
        <f>F29-E29</f>
        <v>6455.06</v>
      </c>
    </row>
    <row r="30" spans="1:7">
      <c r="A30" s="3583"/>
      <c r="B30" s="3584"/>
      <c r="C30" s="3580" t="s">
        <v>3658</v>
      </c>
      <c r="D30" s="3581"/>
      <c r="E30" s="3443">
        <v>0</v>
      </c>
      <c r="F30" s="3443">
        <v>101.68</v>
      </c>
      <c r="G30" s="3443">
        <f>F30-E30</f>
        <v>101.68</v>
      </c>
    </row>
    <row r="31" spans="1:7">
      <c r="A31" s="3583"/>
      <c r="B31" s="3445" t="s">
        <v>3659</v>
      </c>
      <c r="C31" s="3580" t="s">
        <v>3660</v>
      </c>
      <c r="D31" s="3581"/>
      <c r="E31" s="3443">
        <v>0</v>
      </c>
      <c r="F31" s="3443">
        <f>23.68+36.08+18.86</f>
        <v>78.62</v>
      </c>
      <c r="G31" s="3443">
        <f t="shared" ref="G31" si="3">F31-E31</f>
        <v>78.62</v>
      </c>
    </row>
    <row r="32" spans="1:7">
      <c r="A32" s="3584"/>
      <c r="B32" s="3586" t="s">
        <v>3661</v>
      </c>
      <c r="C32" s="3587"/>
      <c r="D32" s="3588"/>
      <c r="E32" s="3446">
        <f>SUM(E27:E31)</f>
        <v>66533</v>
      </c>
      <c r="F32" s="3446">
        <f>SUM(F27:F31)</f>
        <v>66532.999999999985</v>
      </c>
      <c r="G32" s="3447" t="s">
        <v>3656</v>
      </c>
    </row>
    <row r="33" spans="1:7">
      <c r="A33" s="3582" t="s">
        <v>3662</v>
      </c>
      <c r="B33" s="3582" t="s">
        <v>3653</v>
      </c>
      <c r="C33" s="3580" t="s">
        <v>3663</v>
      </c>
      <c r="D33" s="3581"/>
      <c r="E33" s="3443">
        <v>0</v>
      </c>
      <c r="F33" s="3448">
        <v>50.63</v>
      </c>
      <c r="G33" s="3443">
        <f>F33-E33</f>
        <v>50.63</v>
      </c>
    </row>
    <row r="34" spans="1:7">
      <c r="A34" s="3583"/>
      <c r="B34" s="3583"/>
      <c r="C34" s="3580" t="s">
        <v>3664</v>
      </c>
      <c r="D34" s="3581"/>
      <c r="E34" s="3443">
        <v>0</v>
      </c>
      <c r="F34" s="3443">
        <f>2188.38+875+10+360.7</f>
        <v>3434.08</v>
      </c>
      <c r="G34" s="3443">
        <f>F34-E34</f>
        <v>3434.08</v>
      </c>
    </row>
    <row r="35" spans="1:7">
      <c r="A35" s="3583"/>
      <c r="B35" s="3583"/>
      <c r="C35" s="3585" t="s">
        <v>3669</v>
      </c>
      <c r="D35" s="3443" t="s">
        <v>3670</v>
      </c>
      <c r="E35" s="3443">
        <v>0</v>
      </c>
      <c r="F35" s="3448">
        <v>19599.32</v>
      </c>
      <c r="G35" s="3443">
        <f t="shared" ref="G35:G36" si="4">F35-E35</f>
        <v>19599.32</v>
      </c>
    </row>
    <row r="36" spans="1:7">
      <c r="A36" s="3583"/>
      <c r="B36" s="3583"/>
      <c r="C36" s="3585"/>
      <c r="D36" s="3443" t="s">
        <v>3671</v>
      </c>
      <c r="E36" s="3443">
        <v>0</v>
      </c>
      <c r="F36" s="3448">
        <v>644.80999999999995</v>
      </c>
      <c r="G36" s="3443">
        <f t="shared" si="4"/>
        <v>644.80999999999995</v>
      </c>
    </row>
    <row r="37" spans="1:7">
      <c r="A37" s="3583"/>
      <c r="B37" s="3583"/>
      <c r="C37" s="3585"/>
      <c r="D37" s="3446" t="s">
        <v>3661</v>
      </c>
      <c r="E37" s="3446">
        <v>0</v>
      </c>
      <c r="F37" s="3449">
        <f>F35+F36</f>
        <v>20244.13</v>
      </c>
      <c r="G37" s="3449">
        <f>G35+G36</f>
        <v>20244.13</v>
      </c>
    </row>
    <row r="38" spans="1:7">
      <c r="A38" s="3583"/>
      <c r="B38" s="3583"/>
      <c r="C38" s="3580" t="s">
        <v>3672</v>
      </c>
      <c r="D38" s="3581"/>
      <c r="E38" s="3443">
        <v>0</v>
      </c>
      <c r="F38" s="3448">
        <v>23373.33</v>
      </c>
      <c r="G38" s="3443">
        <f>F38-E38</f>
        <v>23373.33</v>
      </c>
    </row>
    <row r="39" spans="1:7">
      <c r="A39" s="3583"/>
      <c r="B39" s="3445" t="s">
        <v>3659</v>
      </c>
      <c r="C39" s="3580" t="s">
        <v>3674</v>
      </c>
      <c r="D39" s="3581"/>
      <c r="E39" s="3443">
        <v>0</v>
      </c>
      <c r="F39" s="3443">
        <f>7472.1+440.7</f>
        <v>7912.8</v>
      </c>
      <c r="G39" s="3443">
        <f t="shared" ref="G39" si="5">F39-E39</f>
        <v>7912.8</v>
      </c>
    </row>
    <row r="40" spans="1:7">
      <c r="A40" s="3584"/>
      <c r="B40" s="3586" t="s">
        <v>3661</v>
      </c>
      <c r="C40" s="3587"/>
      <c r="D40" s="3588"/>
      <c r="E40" s="3446">
        <f>SUM(E34:E39)</f>
        <v>0</v>
      </c>
      <c r="F40" s="3446">
        <f>SUM(F33:F39)-F37</f>
        <v>55014.97</v>
      </c>
      <c r="G40" s="3446">
        <f>SUM(G33:G39)-G37</f>
        <v>55014.97</v>
      </c>
    </row>
    <row r="41" spans="1:7">
      <c r="A41" s="3586" t="s">
        <v>3675</v>
      </c>
      <c r="B41" s="3587"/>
      <c r="C41" s="3587"/>
      <c r="D41" s="3588"/>
      <c r="E41" s="3446">
        <f>E32+E40</f>
        <v>66533</v>
      </c>
      <c r="F41" s="3452">
        <f>F32+F40</f>
        <v>121547.96999999999</v>
      </c>
      <c r="G41" s="3446">
        <f>0+G40</f>
        <v>55014.97</v>
      </c>
    </row>
  </sheetData>
  <mergeCells count="39">
    <mergeCell ref="A41:D41"/>
    <mergeCell ref="C34:D34"/>
    <mergeCell ref="C39:D39"/>
    <mergeCell ref="C29:D29"/>
    <mergeCell ref="C30:D30"/>
    <mergeCell ref="C31:D31"/>
    <mergeCell ref="B32:D32"/>
    <mergeCell ref="A33:A40"/>
    <mergeCell ref="B33:B38"/>
    <mergeCell ref="C33:D33"/>
    <mergeCell ref="C35:C37"/>
    <mergeCell ref="C38:D38"/>
    <mergeCell ref="B40:D40"/>
    <mergeCell ref="A1:B1"/>
    <mergeCell ref="C1:D1"/>
    <mergeCell ref="A2:A7"/>
    <mergeCell ref="B2:B5"/>
    <mergeCell ref="C2:D2"/>
    <mergeCell ref="C3:D3"/>
    <mergeCell ref="C4:D4"/>
    <mergeCell ref="C5:D5"/>
    <mergeCell ref="C6:D6"/>
    <mergeCell ref="B7:D7"/>
    <mergeCell ref="A8:A18"/>
    <mergeCell ref="B8:B15"/>
    <mergeCell ref="C8:D8"/>
    <mergeCell ref="C9:C11"/>
    <mergeCell ref="C12:C14"/>
    <mergeCell ref="C15:D15"/>
    <mergeCell ref="B16:B17"/>
    <mergeCell ref="C17:D17"/>
    <mergeCell ref="B18:D18"/>
    <mergeCell ref="A19:D19"/>
    <mergeCell ref="A26:B26"/>
    <mergeCell ref="C26:D26"/>
    <mergeCell ref="A27:A32"/>
    <mergeCell ref="B27:B30"/>
    <mergeCell ref="C27:D27"/>
    <mergeCell ref="C28:D28"/>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7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39" width="9.5" style="15" customWidth="1"/>
    <col min="40" max="40" width="14.125" style="15" customWidth="1"/>
    <col min="41"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4" t="s">
        <v>2320</v>
      </c>
      <c r="BA2" s="2215" t="s">
        <v>2319</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60461.7</v>
      </c>
      <c r="B3" s="22">
        <f>IF(C3="否",G5-AT5,G5)</f>
        <v>121547.97</v>
      </c>
      <c r="C3" s="23"/>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6"/>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121547.97</v>
      </c>
      <c r="H5" s="27">
        <f t="shared" ref="H5:AT5" si="0">SUM(H13:H641)</f>
        <v>113556.54999999999</v>
      </c>
      <c r="I5" s="27">
        <f t="shared" si="0"/>
        <v>6455.06</v>
      </c>
      <c r="J5" s="27">
        <f t="shared" si="0"/>
        <v>0</v>
      </c>
      <c r="K5" s="27">
        <f t="shared" si="0"/>
        <v>8391.68</v>
      </c>
      <c r="L5" s="27">
        <f t="shared" si="0"/>
        <v>0</v>
      </c>
      <c r="M5" s="27">
        <f t="shared" si="0"/>
        <v>3073.38</v>
      </c>
      <c r="N5" s="27">
        <f t="shared" si="0"/>
        <v>0</v>
      </c>
      <c r="O5" s="27">
        <f t="shared" si="0"/>
        <v>50.63</v>
      </c>
      <c r="P5" s="27">
        <f t="shared" si="0"/>
        <v>0</v>
      </c>
      <c r="Q5" s="27">
        <f t="shared" si="0"/>
        <v>23373.33</v>
      </c>
      <c r="R5" s="27">
        <f t="shared" si="0"/>
        <v>0</v>
      </c>
      <c r="S5" s="27">
        <f t="shared" si="0"/>
        <v>51607.64</v>
      </c>
      <c r="T5" s="27">
        <f t="shared" si="0"/>
        <v>0</v>
      </c>
      <c r="U5" s="27">
        <f t="shared" si="0"/>
        <v>360.7</v>
      </c>
      <c r="V5" s="27">
        <f t="shared" si="0"/>
        <v>0</v>
      </c>
      <c r="W5" s="27">
        <f t="shared" si="0"/>
        <v>19599.32</v>
      </c>
      <c r="X5" s="27">
        <f t="shared" si="0"/>
        <v>0</v>
      </c>
      <c r="Y5" s="27">
        <f t="shared" si="0"/>
        <v>644.80999999999995</v>
      </c>
      <c r="Z5" s="27">
        <f t="shared" si="0"/>
        <v>0</v>
      </c>
      <c r="AA5" s="27">
        <f t="shared" si="0"/>
        <v>0</v>
      </c>
      <c r="AB5" s="27">
        <f t="shared" si="0"/>
        <v>0</v>
      </c>
      <c r="AC5" s="27">
        <f t="shared" si="0"/>
        <v>7991.42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7991.42</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121547.97</v>
      </c>
      <c r="BA5" s="29">
        <f t="shared" si="1"/>
        <v>113556.54999999999</v>
      </c>
      <c r="BB5" s="29">
        <f t="shared" si="1"/>
        <v>6455.06</v>
      </c>
      <c r="BC5" s="29">
        <f t="shared" si="1"/>
        <v>8391.68</v>
      </c>
      <c r="BD5" s="29">
        <f t="shared" si="1"/>
        <v>3073.38</v>
      </c>
      <c r="BE5" s="29">
        <f t="shared" si="1"/>
        <v>50.63</v>
      </c>
      <c r="BF5" s="29">
        <f t="shared" si="1"/>
        <v>23373.33</v>
      </c>
      <c r="BG5" s="29">
        <f t="shared" si="1"/>
        <v>51607.64</v>
      </c>
      <c r="BH5" s="29">
        <f t="shared" si="1"/>
        <v>360.7</v>
      </c>
      <c r="BI5" s="29">
        <f t="shared" si="1"/>
        <v>19599.32</v>
      </c>
      <c r="BJ5" s="29">
        <f t="shared" si="1"/>
        <v>644.80999999999995</v>
      </c>
      <c r="BK5" s="29">
        <f t="shared" si="1"/>
        <v>0</v>
      </c>
      <c r="BL5" s="29">
        <f t="shared" si="1"/>
        <v>7991.42</v>
      </c>
      <c r="BM5" s="29">
        <f t="shared" si="1"/>
        <v>0</v>
      </c>
      <c r="BN5" s="29">
        <f t="shared" si="1"/>
        <v>0</v>
      </c>
      <c r="BO5" s="29">
        <f t="shared" si="1"/>
        <v>0</v>
      </c>
      <c r="BP5" s="29">
        <f t="shared" si="1"/>
        <v>0</v>
      </c>
      <c r="BQ5" s="29">
        <f t="shared" si="1"/>
        <v>0</v>
      </c>
      <c r="BR5" s="29">
        <f t="shared" si="1"/>
        <v>7991.42</v>
      </c>
      <c r="BS5" s="29">
        <f t="shared" si="1"/>
        <v>0</v>
      </c>
      <c r="BT5" s="30">
        <f t="shared" si="1"/>
        <v>0</v>
      </c>
    </row>
    <row r="6" spans="1:72" s="37" customFormat="1" ht="12.75">
      <c r="A6" s="26" t="s">
        <v>169</v>
      </c>
      <c r="B6" s="31"/>
      <c r="C6" s="31"/>
      <c r="D6" s="32"/>
      <c r="E6" s="27">
        <f>H6+AC6+AT6</f>
        <v>60461.689999999995</v>
      </c>
      <c r="F6" s="27" t="s">
        <v>1</v>
      </c>
      <c r="G6" s="27" t="s">
        <v>2</v>
      </c>
      <c r="H6" s="33">
        <f>SUMIF(I$12:AB$12,"总值",I6:AB6)</f>
        <v>56486.509999999995</v>
      </c>
      <c r="I6" s="27">
        <f t="shared" ref="I6:AB6" si="2">ROUND($A$3*I5/$B$3,2)</f>
        <v>3210.95</v>
      </c>
      <c r="J6" s="27">
        <f t="shared" si="2"/>
        <v>0</v>
      </c>
      <c r="K6" s="27">
        <f t="shared" si="2"/>
        <v>4174.28</v>
      </c>
      <c r="L6" s="27">
        <f t="shared" si="2"/>
        <v>0</v>
      </c>
      <c r="M6" s="27">
        <f t="shared" si="2"/>
        <v>1528.79</v>
      </c>
      <c r="N6" s="27">
        <f t="shared" si="2"/>
        <v>0</v>
      </c>
      <c r="O6" s="27">
        <f t="shared" si="2"/>
        <v>25.18</v>
      </c>
      <c r="P6" s="27">
        <f t="shared" si="2"/>
        <v>0</v>
      </c>
      <c r="Q6" s="27">
        <f t="shared" si="2"/>
        <v>11626.61</v>
      </c>
      <c r="R6" s="27">
        <f t="shared" si="2"/>
        <v>0</v>
      </c>
      <c r="S6" s="27">
        <f t="shared" si="2"/>
        <v>25671.23</v>
      </c>
      <c r="T6" s="27">
        <f t="shared" si="2"/>
        <v>0</v>
      </c>
      <c r="U6" s="27">
        <f t="shared" si="2"/>
        <v>179.42</v>
      </c>
      <c r="V6" s="27">
        <f t="shared" si="2"/>
        <v>0</v>
      </c>
      <c r="W6" s="27">
        <f t="shared" si="2"/>
        <v>9749.2999999999993</v>
      </c>
      <c r="X6" s="27">
        <f t="shared" si="2"/>
        <v>0</v>
      </c>
      <c r="Y6" s="27">
        <f t="shared" si="2"/>
        <v>320.75</v>
      </c>
      <c r="Z6" s="27">
        <f t="shared" si="2"/>
        <v>0</v>
      </c>
      <c r="AA6" s="27">
        <f t="shared" si="2"/>
        <v>0</v>
      </c>
      <c r="AB6" s="27">
        <f t="shared" si="2"/>
        <v>0</v>
      </c>
      <c r="AC6" s="33">
        <f>SUMIF(AD$12:AS$12,"总值",AD6:AS6)</f>
        <v>3975.18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3975.18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60461.7</v>
      </c>
      <c r="AZ6" s="27" t="s">
        <v>3</v>
      </c>
      <c r="BA6" s="27">
        <f>ROUND($AY$6*BA5/$AZ$5,2)</f>
        <v>56486.52</v>
      </c>
      <c r="BB6" s="27">
        <f>ROUND($AY$6*BB5/$AZ$5,2)</f>
        <v>3210.95</v>
      </c>
      <c r="BC6" s="27">
        <f t="shared" ref="BC6:BH6" si="4">ROUND($AY$6*BC5/$AZ$5,2)</f>
        <v>4174.28</v>
      </c>
      <c r="BD6" s="27">
        <f t="shared" si="4"/>
        <v>1528.79</v>
      </c>
      <c r="BE6" s="27">
        <f t="shared" si="4"/>
        <v>25.18</v>
      </c>
      <c r="BF6" s="27">
        <f t="shared" si="4"/>
        <v>11626.61</v>
      </c>
      <c r="BG6" s="27">
        <f t="shared" si="4"/>
        <v>25671.23</v>
      </c>
      <c r="BH6" s="27">
        <f t="shared" si="4"/>
        <v>179.42</v>
      </c>
      <c r="BI6" s="27">
        <f t="shared" ref="BI6:BT6" si="5">ROUND($AY$6*BI5/$AZ$5,2)</f>
        <v>9749.2999999999993</v>
      </c>
      <c r="BJ6" s="27">
        <f t="shared" si="5"/>
        <v>320.75</v>
      </c>
      <c r="BK6" s="27">
        <f t="shared" si="5"/>
        <v>0</v>
      </c>
      <c r="BL6" s="27">
        <f t="shared" si="5"/>
        <v>3975.18</v>
      </c>
      <c r="BM6" s="27">
        <f t="shared" si="5"/>
        <v>0</v>
      </c>
      <c r="BN6" s="27">
        <f t="shared" si="5"/>
        <v>0</v>
      </c>
      <c r="BO6" s="27">
        <f t="shared" si="5"/>
        <v>0</v>
      </c>
      <c r="BP6" s="27">
        <f t="shared" si="5"/>
        <v>0</v>
      </c>
      <c r="BQ6" s="27">
        <f t="shared" si="5"/>
        <v>0</v>
      </c>
      <c r="BR6" s="27">
        <f t="shared" si="5"/>
        <v>3975.18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2"/>
      <c r="AT8" s="2203"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6" t="s">
        <v>2996</v>
      </c>
      <c r="J9" s="51"/>
      <c r="K9" s="2726" t="s">
        <v>2996</v>
      </c>
      <c r="L9" s="51"/>
      <c r="M9" s="2726" t="s">
        <v>2997</v>
      </c>
      <c r="N9" s="51"/>
      <c r="O9" s="59" t="s">
        <v>2997</v>
      </c>
      <c r="P9" s="51"/>
      <c r="Q9" s="59" t="s">
        <v>2997</v>
      </c>
      <c r="R9" s="51"/>
      <c r="S9" s="59" t="s">
        <v>2996</v>
      </c>
      <c r="T9" s="51"/>
      <c r="U9" s="59" t="s">
        <v>2997</v>
      </c>
      <c r="V9" s="51"/>
      <c r="W9" s="59" t="s">
        <v>2997</v>
      </c>
      <c r="X9" s="60"/>
      <c r="Y9" s="59" t="s">
        <v>2997</v>
      </c>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4"/>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6" t="s">
        <v>2998</v>
      </c>
      <c r="J10" s="51"/>
      <c r="K10" s="2728" t="s">
        <v>1667</v>
      </c>
      <c r="L10" s="51"/>
      <c r="M10" s="2728" t="s">
        <v>2998</v>
      </c>
      <c r="N10" s="51"/>
      <c r="O10" s="66" t="s">
        <v>1667</v>
      </c>
      <c r="P10" s="51"/>
      <c r="Q10" s="66" t="s">
        <v>2999</v>
      </c>
      <c r="R10" s="51"/>
      <c r="S10" s="66" t="s">
        <v>914</v>
      </c>
      <c r="T10" s="51"/>
      <c r="U10" s="66" t="s">
        <v>3680</v>
      </c>
      <c r="V10" s="51"/>
      <c r="W10" s="66" t="s">
        <v>3683</v>
      </c>
      <c r="X10" s="51"/>
      <c r="Y10" s="66" t="s">
        <v>3683</v>
      </c>
      <c r="Z10" s="51"/>
      <c r="AA10" s="66"/>
      <c r="AB10" s="51"/>
      <c r="AC10" s="55"/>
      <c r="AD10" s="2189" t="s">
        <v>2304</v>
      </c>
      <c r="AE10" s="2211"/>
      <c r="AF10" s="2189" t="s">
        <v>2304</v>
      </c>
      <c r="AG10" s="2211"/>
      <c r="AH10" s="2189" t="s">
        <v>2305</v>
      </c>
      <c r="AI10" s="2211"/>
      <c r="AJ10" s="26" t="s">
        <v>2318</v>
      </c>
      <c r="AK10" s="2208"/>
      <c r="AL10" s="2189" t="s">
        <v>2306</v>
      </c>
      <c r="AM10" s="2190"/>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地下</v>
      </c>
      <c r="BF10" s="69" t="str">
        <f>Q9</f>
        <v>地下</v>
      </c>
      <c r="BG10" s="69" t="str">
        <f>S9</f>
        <v>地上</v>
      </c>
      <c r="BH10" s="69" t="str">
        <f>U9</f>
        <v>地下</v>
      </c>
      <c r="BI10" s="69" t="str">
        <f>W9</f>
        <v>地下</v>
      </c>
      <c r="BJ10" s="69" t="str">
        <f>Y9</f>
        <v>地下</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7" t="s">
        <v>3021</v>
      </c>
      <c r="J11" s="71"/>
      <c r="K11" s="2727" t="s">
        <v>3001</v>
      </c>
      <c r="L11" s="71"/>
      <c r="M11" s="70" t="s">
        <v>3676</v>
      </c>
      <c r="N11" s="71"/>
      <c r="O11" s="70" t="s">
        <v>3000</v>
      </c>
      <c r="P11" s="71"/>
      <c r="Q11" s="70" t="s">
        <v>2999</v>
      </c>
      <c r="R11" s="71"/>
      <c r="S11" s="70" t="s">
        <v>3646</v>
      </c>
      <c r="T11" s="71"/>
      <c r="U11" s="70" t="s">
        <v>3678</v>
      </c>
      <c r="V11" s="71"/>
      <c r="W11" s="70" t="s">
        <v>3686</v>
      </c>
      <c r="X11" s="71"/>
      <c r="Y11" s="70" t="s">
        <v>3688</v>
      </c>
      <c r="Z11" s="71"/>
      <c r="AA11" s="70"/>
      <c r="AB11" s="71"/>
      <c r="AC11" s="55"/>
      <c r="AD11" s="2209" t="s">
        <v>2317</v>
      </c>
      <c r="AE11" s="988"/>
      <c r="AF11" s="2209" t="s">
        <v>2317</v>
      </c>
      <c r="AG11" s="988"/>
      <c r="AH11" s="2209" t="s">
        <v>2316</v>
      </c>
      <c r="AI11" s="2210"/>
      <c r="AJ11" s="2209" t="s">
        <v>2316</v>
      </c>
      <c r="AK11" s="2208"/>
      <c r="AL11" s="986"/>
      <c r="AM11" s="988"/>
      <c r="AN11" s="986"/>
      <c r="AO11" s="988"/>
      <c r="AP11" s="1169"/>
      <c r="AQ11" s="1171"/>
      <c r="AR11" s="1169"/>
      <c r="AS11" s="1171"/>
      <c r="AT11" s="989"/>
      <c r="AU11" s="45"/>
      <c r="AV11" s="55"/>
      <c r="AW11" s="989"/>
      <c r="AX11" s="55"/>
      <c r="AY11" s="62"/>
      <c r="AZ11" s="62"/>
      <c r="BA11" s="62"/>
      <c r="BB11" s="50" t="str">
        <f>I10</f>
        <v>商业</v>
      </c>
      <c r="BC11" s="50" t="str">
        <f>K10</f>
        <v>办公</v>
      </c>
      <c r="BD11" s="50" t="str">
        <f>M10</f>
        <v>商业</v>
      </c>
      <c r="BE11" s="50" t="str">
        <f>O10</f>
        <v>办公</v>
      </c>
      <c r="BF11" s="50" t="str">
        <f>Q10</f>
        <v>车库</v>
      </c>
      <c r="BG11" s="50" t="str">
        <f>S10</f>
        <v>住宅</v>
      </c>
      <c r="BH11" s="50" t="str">
        <f>U10</f>
        <v>车库—办公</v>
      </c>
      <c r="BI11" s="50" t="str">
        <f>W10</f>
        <v>仓储</v>
      </c>
      <c r="BJ11" s="50" t="str">
        <f>Y10</f>
        <v>仓储</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综合体</v>
      </c>
      <c r="BC12" s="79" t="str">
        <f>K11</f>
        <v>商务办公</v>
      </c>
      <c r="BD12" s="79" t="str">
        <f>M11</f>
        <v>地下一层商业</v>
      </c>
      <c r="BE12" s="50" t="str">
        <f>O11</f>
        <v>办公配套用房</v>
      </c>
      <c r="BF12" s="50" t="str">
        <f>Q11</f>
        <v>车库</v>
      </c>
      <c r="BG12" s="50" t="str">
        <f>S11</f>
        <v>平层住宅</v>
      </c>
      <c r="BH12" s="50" t="str">
        <f>U11</f>
        <v>地下二层商业</v>
      </c>
      <c r="BI12" s="50" t="str">
        <f>W11</f>
        <v>地下仓储-住宅</v>
      </c>
      <c r="BJ12" s="50" t="str">
        <f>Y11</f>
        <v>地下仓储-商业</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2"/>
      <c r="B13" s="2722"/>
      <c r="C13" s="3294" t="s">
        <v>3033</v>
      </c>
      <c r="D13" s="2723" t="s">
        <v>1668</v>
      </c>
      <c r="E13" s="27">
        <f t="shared" ref="E13:E20" si="6">IF($C$3="是",ROUND($A$3*G13/$B$3,2),ROUND($A$3*(G13-AT13)/$B$3,2))</f>
        <v>7186.12</v>
      </c>
      <c r="F13" s="81"/>
      <c r="G13" s="82">
        <f t="shared" ref="G13:G20" si="7">H13+AC13+AT13</f>
        <v>14446.48</v>
      </c>
      <c r="H13" s="33">
        <f t="shared" ref="H13:H20" si="8">SUMIF(I$12:AB$12,"总值",I13:AB13)</f>
        <v>6455.06</v>
      </c>
      <c r="I13" s="2725">
        <f>面积信息!F4</f>
        <v>6455.06</v>
      </c>
      <c r="J13" s="2725"/>
      <c r="K13" s="2725"/>
      <c r="L13" s="2725"/>
      <c r="M13" s="2725"/>
      <c r="N13" s="83"/>
      <c r="O13" s="83"/>
      <c r="P13" s="83"/>
      <c r="Q13" s="83"/>
      <c r="R13" s="83"/>
      <c r="S13" s="83"/>
      <c r="T13" s="83"/>
      <c r="U13" s="83"/>
      <c r="V13" s="83"/>
      <c r="W13" s="83"/>
      <c r="X13" s="83"/>
      <c r="Y13" s="83"/>
      <c r="Z13" s="83"/>
      <c r="AA13" s="83"/>
      <c r="AB13" s="83"/>
      <c r="AC13" s="27">
        <f t="shared" ref="AC13:AC20" si="9">SUMIF(AD$12:AS$12,"总值",AD13:AS13)</f>
        <v>7991.42</v>
      </c>
      <c r="AD13" s="2729"/>
      <c r="AE13" s="2729"/>
      <c r="AF13" s="2729"/>
      <c r="AG13" s="2729"/>
      <c r="AH13" s="2729"/>
      <c r="AI13" s="2729"/>
      <c r="AJ13" s="2729"/>
      <c r="AK13" s="2729"/>
      <c r="AL13" s="2729"/>
      <c r="AM13" s="2729"/>
      <c r="AN13" s="2729">
        <f>面积信息!F17+面积信息!F6</f>
        <v>7991.42</v>
      </c>
      <c r="AO13" s="2729"/>
      <c r="AP13" s="2729"/>
      <c r="AQ13" s="2729"/>
      <c r="AR13" s="2729"/>
      <c r="AS13" s="2729"/>
      <c r="AT13" s="2730"/>
      <c r="AU13" s="2731"/>
      <c r="AV13" s="17">
        <f t="shared" ref="AV13:AX20" si="10">A13</f>
        <v>0</v>
      </c>
      <c r="AW13" s="17">
        <f t="shared" si="10"/>
        <v>0</v>
      </c>
      <c r="AX13" s="17" t="str">
        <f t="shared" si="10"/>
        <v>地上商业</v>
      </c>
      <c r="AY13" s="982">
        <f t="shared" ref="AY13:AY20" si="11">ROUND($AY$6*AZ13/$AZ$5,2)</f>
        <v>7186.12</v>
      </c>
      <c r="AZ13" s="27">
        <f t="shared" ref="AZ13:AZ20" si="12">BA13+BL13</f>
        <v>14446.48</v>
      </c>
      <c r="BA13" s="27">
        <f t="shared" ref="BA13:BA20" si="13">SUM(BB13:BK13)</f>
        <v>6455.06</v>
      </c>
      <c r="BB13" s="27">
        <f t="shared" ref="BB13:BB20" si="14">IF($D13="是",I13-J13,0)</f>
        <v>6455.06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7991.42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7991.42</v>
      </c>
      <c r="BS13" s="27">
        <f t="shared" ref="BS13:BS20" si="31">IF($D13="是",AP13-AQ13,0)</f>
        <v>0</v>
      </c>
      <c r="BT13" s="36">
        <f t="shared" ref="BT13:BT20" si="32">IF($D13="是",AR13-AS13,0)</f>
        <v>0</v>
      </c>
    </row>
    <row r="14" spans="1:72" s="18" customFormat="1" ht="12.75">
      <c r="A14" s="2722"/>
      <c r="B14" s="2722"/>
      <c r="C14" s="3294" t="s">
        <v>3034</v>
      </c>
      <c r="D14" s="2723" t="s">
        <v>1668</v>
      </c>
      <c r="E14" s="27">
        <f t="shared" si="6"/>
        <v>4174.28</v>
      </c>
      <c r="F14" s="81"/>
      <c r="G14" s="82">
        <f t="shared" si="7"/>
        <v>8391.68</v>
      </c>
      <c r="H14" s="33">
        <f t="shared" si="8"/>
        <v>8391.68</v>
      </c>
      <c r="I14" s="2725"/>
      <c r="J14" s="2725"/>
      <c r="K14" s="2725">
        <f>面积信息!G5+面积信息!F3</f>
        <v>8391.68</v>
      </c>
      <c r="L14" s="2725"/>
      <c r="M14" s="2725"/>
      <c r="N14" s="83"/>
      <c r="O14" s="83"/>
      <c r="P14" s="83"/>
      <c r="Q14" s="83"/>
      <c r="R14" s="83"/>
      <c r="S14" s="83"/>
      <c r="T14" s="83"/>
      <c r="U14" s="83"/>
      <c r="V14" s="83"/>
      <c r="W14" s="83"/>
      <c r="X14" s="83"/>
      <c r="Y14" s="83"/>
      <c r="Z14" s="83"/>
      <c r="AA14" s="83"/>
      <c r="AB14" s="83"/>
      <c r="AC14" s="27">
        <f t="shared" si="9"/>
        <v>0</v>
      </c>
      <c r="AD14" s="2729"/>
      <c r="AE14" s="2729"/>
      <c r="AF14" s="2729"/>
      <c r="AG14" s="2729"/>
      <c r="AH14" s="2729"/>
      <c r="AI14" s="2729"/>
      <c r="AJ14" s="2729"/>
      <c r="AK14" s="2729"/>
      <c r="AL14" s="2729"/>
      <c r="AM14" s="2729"/>
      <c r="AN14" s="2729"/>
      <c r="AO14" s="2729"/>
      <c r="AP14" s="2729"/>
      <c r="AQ14" s="2729"/>
      <c r="AR14" s="2729"/>
      <c r="AS14" s="2729"/>
      <c r="AT14" s="2730"/>
      <c r="AU14" s="2731"/>
      <c r="AV14" s="17">
        <f t="shared" si="10"/>
        <v>0</v>
      </c>
      <c r="AW14" s="17">
        <f t="shared" si="10"/>
        <v>0</v>
      </c>
      <c r="AX14" s="17" t="str">
        <f t="shared" si="10"/>
        <v>地上办公</v>
      </c>
      <c r="AY14" s="982">
        <f t="shared" si="11"/>
        <v>4174.28</v>
      </c>
      <c r="AZ14" s="27">
        <f t="shared" si="12"/>
        <v>8391.68</v>
      </c>
      <c r="BA14" s="27">
        <f t="shared" si="13"/>
        <v>8391.68</v>
      </c>
      <c r="BB14" s="27">
        <f t="shared" si="14"/>
        <v>0</v>
      </c>
      <c r="BC14" s="27">
        <f t="shared" si="15"/>
        <v>8391.68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722"/>
      <c r="B15" s="2722"/>
      <c r="C15" s="3294" t="s">
        <v>3681</v>
      </c>
      <c r="D15" s="2723" t="s">
        <v>1668</v>
      </c>
      <c r="E15" s="27">
        <f t="shared" si="6"/>
        <v>1528.79</v>
      </c>
      <c r="F15" s="81"/>
      <c r="G15" s="82">
        <f t="shared" si="7"/>
        <v>3073.38</v>
      </c>
      <c r="H15" s="33">
        <f t="shared" si="8"/>
        <v>3073.38</v>
      </c>
      <c r="I15" s="2725"/>
      <c r="J15" s="2725"/>
      <c r="K15" s="2725"/>
      <c r="L15" s="2725"/>
      <c r="M15" s="2725">
        <f>面积信息!G9</f>
        <v>3073.38</v>
      </c>
      <c r="N15" s="83"/>
      <c r="O15" s="83"/>
      <c r="P15" s="83"/>
      <c r="Q15" s="83"/>
      <c r="R15" s="83"/>
      <c r="S15" s="83"/>
      <c r="T15" s="83"/>
      <c r="U15" s="83"/>
      <c r="V15" s="83"/>
      <c r="W15" s="83"/>
      <c r="X15" s="83"/>
      <c r="Y15" s="83"/>
      <c r="Z15" s="83"/>
      <c r="AA15" s="83"/>
      <c r="AB15" s="83"/>
      <c r="AC15" s="27">
        <f t="shared" si="9"/>
        <v>0</v>
      </c>
      <c r="AD15" s="2729"/>
      <c r="AE15" s="2729"/>
      <c r="AF15" s="2729"/>
      <c r="AG15" s="2729"/>
      <c r="AH15" s="2729"/>
      <c r="AI15" s="2729"/>
      <c r="AJ15" s="2729"/>
      <c r="AK15" s="2729"/>
      <c r="AL15" s="2729"/>
      <c r="AM15" s="2729"/>
      <c r="AN15" s="2729"/>
      <c r="AO15" s="2729"/>
      <c r="AP15" s="2729"/>
      <c r="AQ15" s="2729"/>
      <c r="AR15" s="2729"/>
      <c r="AS15" s="2729"/>
      <c r="AT15" s="2730"/>
      <c r="AU15" s="2731"/>
      <c r="AV15" s="17">
        <f t="shared" si="10"/>
        <v>0</v>
      </c>
      <c r="AW15" s="17">
        <f t="shared" si="10"/>
        <v>0</v>
      </c>
      <c r="AX15" s="17" t="str">
        <f t="shared" si="10"/>
        <v>地下一层商业</v>
      </c>
      <c r="AY15" s="982">
        <f t="shared" si="11"/>
        <v>1528.79</v>
      </c>
      <c r="AZ15" s="27">
        <f t="shared" si="12"/>
        <v>3073.38</v>
      </c>
      <c r="BA15" s="27">
        <f t="shared" si="13"/>
        <v>3073.38</v>
      </c>
      <c r="BB15" s="27">
        <f t="shared" si="14"/>
        <v>0</v>
      </c>
      <c r="BC15" s="27">
        <f t="shared" si="15"/>
        <v>0</v>
      </c>
      <c r="BD15" s="27">
        <f t="shared" si="16"/>
        <v>3073.38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722"/>
      <c r="B16" s="2722"/>
      <c r="C16" s="3294" t="s">
        <v>3035</v>
      </c>
      <c r="D16" s="2723" t="s">
        <v>1668</v>
      </c>
      <c r="E16" s="27">
        <f t="shared" si="6"/>
        <v>25.18</v>
      </c>
      <c r="F16" s="81"/>
      <c r="G16" s="82">
        <f t="shared" si="7"/>
        <v>50.63</v>
      </c>
      <c r="H16" s="33">
        <f t="shared" si="8"/>
        <v>50.63</v>
      </c>
      <c r="I16" s="2725"/>
      <c r="J16" s="2725"/>
      <c r="K16" s="2725"/>
      <c r="L16" s="2725"/>
      <c r="M16" s="2725"/>
      <c r="N16" s="83"/>
      <c r="O16" s="83">
        <f>面积信息!G8</f>
        <v>50.63</v>
      </c>
      <c r="P16" s="83"/>
      <c r="Q16" s="83"/>
      <c r="R16" s="83"/>
      <c r="S16" s="83"/>
      <c r="T16" s="83"/>
      <c r="U16" s="83"/>
      <c r="V16" s="83"/>
      <c r="W16" s="83"/>
      <c r="X16" s="83"/>
      <c r="Y16" s="83"/>
      <c r="Z16" s="83"/>
      <c r="AA16" s="83"/>
      <c r="AB16" s="83"/>
      <c r="AC16" s="27">
        <f t="shared" si="9"/>
        <v>0</v>
      </c>
      <c r="AD16" s="2729"/>
      <c r="AE16" s="2729"/>
      <c r="AF16" s="2729"/>
      <c r="AG16" s="2729"/>
      <c r="AH16" s="2729"/>
      <c r="AI16" s="2729"/>
      <c r="AJ16" s="2729"/>
      <c r="AK16" s="2729"/>
      <c r="AL16" s="2729"/>
      <c r="AM16" s="2729"/>
      <c r="AN16" s="2729"/>
      <c r="AO16" s="2729"/>
      <c r="AP16" s="2729"/>
      <c r="AQ16" s="2729"/>
      <c r="AR16" s="2729"/>
      <c r="AS16" s="2729"/>
      <c r="AT16" s="2730"/>
      <c r="AU16" s="2731"/>
      <c r="AV16" s="17">
        <f t="shared" si="10"/>
        <v>0</v>
      </c>
      <c r="AW16" s="17">
        <f t="shared" si="10"/>
        <v>0</v>
      </c>
      <c r="AX16" s="17" t="str">
        <f t="shared" si="10"/>
        <v>地下办公配套用房</v>
      </c>
      <c r="AY16" s="982">
        <f t="shared" si="11"/>
        <v>25.18</v>
      </c>
      <c r="AZ16" s="27">
        <f t="shared" si="12"/>
        <v>50.63</v>
      </c>
      <c r="BA16" s="27">
        <f t="shared" si="13"/>
        <v>50.63</v>
      </c>
      <c r="BB16" s="27">
        <f t="shared" si="14"/>
        <v>0</v>
      </c>
      <c r="BC16" s="27">
        <f t="shared" si="15"/>
        <v>0</v>
      </c>
      <c r="BD16" s="27">
        <f t="shared" si="16"/>
        <v>0</v>
      </c>
      <c r="BE16" s="27">
        <f t="shared" si="17"/>
        <v>50.63</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2"/>
      <c r="B17" s="2722"/>
      <c r="C17" s="3294" t="s">
        <v>3036</v>
      </c>
      <c r="D17" s="2723" t="s">
        <v>1668</v>
      </c>
      <c r="E17" s="27">
        <f t="shared" si="6"/>
        <v>11626.61</v>
      </c>
      <c r="F17" s="81"/>
      <c r="G17" s="82">
        <f t="shared" si="7"/>
        <v>23373.33</v>
      </c>
      <c r="H17" s="33">
        <f t="shared" si="8"/>
        <v>23373.33</v>
      </c>
      <c r="I17" s="2725"/>
      <c r="J17" s="2725"/>
      <c r="K17" s="2725"/>
      <c r="L17" s="2725"/>
      <c r="M17" s="2725"/>
      <c r="N17" s="83"/>
      <c r="O17" s="83"/>
      <c r="P17" s="83"/>
      <c r="Q17" s="83">
        <f>面积信息!F15</f>
        <v>23373.33</v>
      </c>
      <c r="R17" s="83"/>
      <c r="S17" s="83"/>
      <c r="T17" s="83"/>
      <c r="U17" s="83"/>
      <c r="V17" s="83"/>
      <c r="W17" s="83"/>
      <c r="X17" s="83"/>
      <c r="Y17" s="83"/>
      <c r="Z17" s="83"/>
      <c r="AA17" s="83"/>
      <c r="AB17" s="83"/>
      <c r="AC17" s="27">
        <f t="shared" si="9"/>
        <v>0</v>
      </c>
      <c r="AD17" s="2729"/>
      <c r="AE17" s="2729"/>
      <c r="AF17" s="2729"/>
      <c r="AG17" s="2729"/>
      <c r="AH17" s="2729"/>
      <c r="AI17" s="2729"/>
      <c r="AJ17" s="2729"/>
      <c r="AK17" s="2729"/>
      <c r="AL17" s="2729"/>
      <c r="AM17" s="2729"/>
      <c r="AN17" s="2729"/>
      <c r="AO17" s="2729"/>
      <c r="AP17" s="2729"/>
      <c r="AQ17" s="2729"/>
      <c r="AR17" s="2729"/>
      <c r="AS17" s="2729"/>
      <c r="AT17" s="2730"/>
      <c r="AU17" s="2731"/>
      <c r="AV17" s="17">
        <f t="shared" si="10"/>
        <v>0</v>
      </c>
      <c r="AW17" s="17">
        <f t="shared" si="10"/>
        <v>0</v>
      </c>
      <c r="AX17" s="17" t="str">
        <f t="shared" si="10"/>
        <v>地下车库</v>
      </c>
      <c r="AY17" s="982">
        <f t="shared" si="11"/>
        <v>11626.61</v>
      </c>
      <c r="AZ17" s="27">
        <f t="shared" si="12"/>
        <v>23373.33</v>
      </c>
      <c r="BA17" s="27">
        <f t="shared" si="13"/>
        <v>23373.33</v>
      </c>
      <c r="BB17" s="27">
        <f t="shared" si="14"/>
        <v>0</v>
      </c>
      <c r="BC17" s="27">
        <f t="shared" si="15"/>
        <v>0</v>
      </c>
      <c r="BD17" s="27">
        <f t="shared" si="16"/>
        <v>0</v>
      </c>
      <c r="BE17" s="27">
        <f t="shared" si="17"/>
        <v>0</v>
      </c>
      <c r="BF17" s="27">
        <f t="shared" si="18"/>
        <v>23373.33</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3294" t="s">
        <v>3037</v>
      </c>
      <c r="D18" s="2724" t="s">
        <v>3032</v>
      </c>
      <c r="E18" s="87">
        <f t="shared" si="6"/>
        <v>0</v>
      </c>
      <c r="F18" s="88"/>
      <c r="G18" s="89">
        <f t="shared" si="7"/>
        <v>0</v>
      </c>
      <c r="H18" s="90">
        <f t="shared" si="8"/>
        <v>0</v>
      </c>
      <c r="I18" s="3296"/>
      <c r="J18" s="91"/>
      <c r="K18" s="3296"/>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3295">
        <f>面积信息!C20</f>
        <v>0</v>
      </c>
      <c r="AO18" s="92"/>
      <c r="AP18" s="92"/>
      <c r="AQ18" s="92"/>
      <c r="AR18" s="92"/>
      <c r="AS18" s="92"/>
      <c r="AT18" s="93"/>
      <c r="AU18" s="94"/>
      <c r="AV18" s="978">
        <f t="shared" si="10"/>
        <v>0</v>
      </c>
      <c r="AW18" s="978">
        <f t="shared" si="10"/>
        <v>0</v>
      </c>
      <c r="AX18" s="978" t="str">
        <f t="shared" si="10"/>
        <v>非经营性用途</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3294" t="s">
        <v>3645</v>
      </c>
      <c r="D19" s="80" t="s">
        <v>1668</v>
      </c>
      <c r="E19" s="87">
        <f t="shared" si="6"/>
        <v>25671.23</v>
      </c>
      <c r="F19" s="88"/>
      <c r="G19" s="89">
        <f t="shared" si="7"/>
        <v>51607.64</v>
      </c>
      <c r="H19" s="90">
        <f t="shared" si="8"/>
        <v>51607.64</v>
      </c>
      <c r="I19" s="3296"/>
      <c r="J19" s="91"/>
      <c r="K19" s="1340"/>
      <c r="L19" s="91"/>
      <c r="M19" s="91"/>
      <c r="N19" s="91"/>
      <c r="O19" s="91"/>
      <c r="P19" s="91"/>
      <c r="Q19" s="91"/>
      <c r="R19" s="91"/>
      <c r="S19" s="91">
        <f>面积信息!F2</f>
        <v>51607.64</v>
      </c>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t="str">
        <f t="shared" si="10"/>
        <v>地上住宅</v>
      </c>
      <c r="AY19" s="95">
        <f t="shared" si="11"/>
        <v>25671.23</v>
      </c>
      <c r="AZ19" s="87">
        <f t="shared" si="12"/>
        <v>51607.64</v>
      </c>
      <c r="BA19" s="87">
        <f t="shared" si="13"/>
        <v>51607.64</v>
      </c>
      <c r="BB19" s="87">
        <f t="shared" si="14"/>
        <v>0</v>
      </c>
      <c r="BC19" s="87">
        <f t="shared" si="15"/>
        <v>0</v>
      </c>
      <c r="BD19" s="87">
        <f t="shared" si="16"/>
        <v>0</v>
      </c>
      <c r="BE19" s="87">
        <f t="shared" si="17"/>
        <v>0</v>
      </c>
      <c r="BF19" s="87">
        <f t="shared" si="18"/>
        <v>0</v>
      </c>
      <c r="BG19" s="87">
        <f t="shared" si="19"/>
        <v>51607.64</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84"/>
      <c r="B20" s="1344"/>
      <c r="C20" s="3294" t="s">
        <v>3682</v>
      </c>
      <c r="D20" s="80" t="s">
        <v>1668</v>
      </c>
      <c r="E20" s="87">
        <f t="shared" si="6"/>
        <v>179.42</v>
      </c>
      <c r="F20" s="88"/>
      <c r="G20" s="89">
        <f t="shared" si="7"/>
        <v>360.7</v>
      </c>
      <c r="H20" s="90">
        <f t="shared" si="8"/>
        <v>360.7</v>
      </c>
      <c r="I20" s="3296"/>
      <c r="J20" s="91"/>
      <c r="K20" s="1340"/>
      <c r="L20" s="91"/>
      <c r="M20" s="91"/>
      <c r="N20" s="91"/>
      <c r="O20" s="91"/>
      <c r="P20" s="91"/>
      <c r="Q20" s="91"/>
      <c r="R20" s="91"/>
      <c r="S20" s="91"/>
      <c r="T20" s="91"/>
      <c r="U20" s="91">
        <f>面积信息!F10</f>
        <v>360.7</v>
      </c>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t="str">
        <f t="shared" si="10"/>
        <v>地下二层商业</v>
      </c>
      <c r="AY20" s="95">
        <f t="shared" si="11"/>
        <v>179.42</v>
      </c>
      <c r="AZ20" s="87">
        <f t="shared" si="12"/>
        <v>360.7</v>
      </c>
      <c r="BA20" s="87">
        <f t="shared" si="13"/>
        <v>360.7</v>
      </c>
      <c r="BB20" s="87">
        <f t="shared" si="14"/>
        <v>0</v>
      </c>
      <c r="BC20" s="87">
        <f t="shared" si="15"/>
        <v>0</v>
      </c>
      <c r="BD20" s="87">
        <f t="shared" si="16"/>
        <v>0</v>
      </c>
      <c r="BE20" s="87">
        <f t="shared" si="17"/>
        <v>0</v>
      </c>
      <c r="BF20" s="87">
        <f t="shared" si="18"/>
        <v>0</v>
      </c>
      <c r="BG20" s="87">
        <f t="shared" si="19"/>
        <v>0</v>
      </c>
      <c r="BH20" s="87">
        <f t="shared" si="20"/>
        <v>360.7</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84"/>
      <c r="B21" s="1339"/>
      <c r="C21" s="3294" t="s">
        <v>3687</v>
      </c>
      <c r="D21" s="80" t="s">
        <v>1668</v>
      </c>
      <c r="E21" s="87">
        <f t="shared" ref="E21:E112" si="33">IF($C$3="是",ROUND($A$3*G21/$B$3,2),ROUND($A$3*(G21-AT21)/$B$3,2))</f>
        <v>9749.2999999999993</v>
      </c>
      <c r="F21" s="88"/>
      <c r="G21" s="89">
        <f t="shared" ref="G21:G109" si="34">H21+AC21+AT21</f>
        <v>19599.32</v>
      </c>
      <c r="H21" s="90">
        <f t="shared" ref="H21:H109" si="35">SUMIF(I$12:AB$12,"总值",I21:AB21)</f>
        <v>19599.32</v>
      </c>
      <c r="I21" s="1342"/>
      <c r="J21" s="91"/>
      <c r="K21" s="1342"/>
      <c r="L21" s="91"/>
      <c r="M21" s="91"/>
      <c r="N21" s="91"/>
      <c r="O21" s="91"/>
      <c r="P21" s="91"/>
      <c r="Q21" s="91"/>
      <c r="R21" s="91"/>
      <c r="S21" s="91"/>
      <c r="T21" s="91"/>
      <c r="U21" s="91"/>
      <c r="V21" s="91"/>
      <c r="W21" s="91">
        <f>面积信息!G12</f>
        <v>19599.32</v>
      </c>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88">
        <f t="shared" ref="AV21:AV112" si="37">A21</f>
        <v>0</v>
      </c>
      <c r="AW21" s="1888">
        <f t="shared" ref="AW21:AW112" si="38">B21</f>
        <v>0</v>
      </c>
      <c r="AX21" s="1888" t="str">
        <f t="shared" ref="AX21:AX112" si="39">C21</f>
        <v>地下仓储-住宅</v>
      </c>
      <c r="AY21" s="95">
        <f t="shared" ref="AY21:AY109" si="40">ROUND($AY$6*AZ21/$AZ$5,2)</f>
        <v>9749.2999999999993</v>
      </c>
      <c r="AZ21" s="87">
        <f t="shared" ref="AZ21:AZ109" si="41">BA21+BL21</f>
        <v>19599.32</v>
      </c>
      <c r="BA21" s="87">
        <f t="shared" ref="BA21:BA109" si="42">SUM(BB21:BK21)</f>
        <v>19599.32</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19599.32</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39"/>
      <c r="C22" s="1340" t="s">
        <v>3689</v>
      </c>
      <c r="D22" s="80" t="s">
        <v>1668</v>
      </c>
      <c r="E22" s="87">
        <f t="shared" si="33"/>
        <v>320.75</v>
      </c>
      <c r="F22" s="88"/>
      <c r="G22" s="89">
        <f t="shared" si="34"/>
        <v>644.80999999999995</v>
      </c>
      <c r="H22" s="90">
        <f t="shared" si="35"/>
        <v>644.80999999999995</v>
      </c>
      <c r="I22" s="1342"/>
      <c r="J22" s="91"/>
      <c r="K22" s="1342"/>
      <c r="L22" s="91"/>
      <c r="M22" s="1315"/>
      <c r="N22" s="91"/>
      <c r="O22" s="91"/>
      <c r="P22" s="91"/>
      <c r="Q22" s="91"/>
      <c r="R22" s="91"/>
      <c r="S22" s="91"/>
      <c r="T22" s="91"/>
      <c r="U22" s="91"/>
      <c r="V22" s="91"/>
      <c r="W22" s="91"/>
      <c r="X22" s="91"/>
      <c r="Y22" s="91">
        <f>面积信息!F13</f>
        <v>644.80999999999995</v>
      </c>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88">
        <f t="shared" si="37"/>
        <v>0</v>
      </c>
      <c r="AW22" s="1888">
        <f t="shared" si="38"/>
        <v>0</v>
      </c>
      <c r="AX22" s="1888" t="str">
        <f t="shared" si="39"/>
        <v>地下仓储-商业</v>
      </c>
      <c r="AY22" s="95">
        <f t="shared" si="40"/>
        <v>320.75</v>
      </c>
      <c r="AZ22" s="87">
        <f t="shared" si="41"/>
        <v>644.80999999999995</v>
      </c>
      <c r="BA22" s="87">
        <f t="shared" si="42"/>
        <v>644.80999999999995</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644.80999999999995</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589" t="s">
        <v>0</v>
      </c>
      <c r="B1" s="3589" t="s">
        <v>4</v>
      </c>
      <c r="C1" s="3589" t="s">
        <v>5</v>
      </c>
      <c r="D1" s="3590" t="s">
        <v>40</v>
      </c>
      <c r="E1" s="3590" t="s">
        <v>41</v>
      </c>
      <c r="F1" s="3590"/>
      <c r="G1" s="3590"/>
      <c r="H1" s="3590"/>
      <c r="I1" s="3590"/>
      <c r="J1" s="3590"/>
      <c r="K1" s="3590"/>
      <c r="L1" s="3590"/>
      <c r="M1" s="3590"/>
    </row>
    <row r="2" spans="1:13" ht="27" customHeight="1">
      <c r="A2" s="3589"/>
      <c r="B2" s="3589"/>
      <c r="C2" s="3589"/>
      <c r="D2" s="3590"/>
      <c r="E2" s="3590" t="s">
        <v>24</v>
      </c>
      <c r="F2" s="3590" t="s">
        <v>25</v>
      </c>
      <c r="G2" s="3590"/>
      <c r="H2" s="3590"/>
      <c r="I2" s="3590"/>
      <c r="J2" s="3590" t="s">
        <v>26</v>
      </c>
      <c r="K2" s="3590"/>
      <c r="L2" s="3590"/>
      <c r="M2" s="3590"/>
    </row>
    <row r="3" spans="1:13" ht="28.5">
      <c r="A3" s="3589"/>
      <c r="B3" s="3589"/>
      <c r="C3" s="3589"/>
      <c r="D3" s="3590"/>
      <c r="E3" s="35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0" t="s">
        <v>42</v>
      </c>
      <c r="B9" s="3590"/>
      <c r="C9" s="35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Normal="70" zoomScaleSheetLayoutView="100" workbookViewId="0">
      <selection activeCell="F21" sqref="F21"/>
    </sheetView>
  </sheetViews>
  <sheetFormatPr defaultColWidth="9.125" defaultRowHeight="14.25"/>
  <cols>
    <col min="1" max="1" width="8.125" style="1894" customWidth="1"/>
    <col min="2" max="2" width="10.1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1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600" t="s">
        <v>203</v>
      </c>
      <c r="B2" s="3600"/>
      <c r="C2" s="3600"/>
      <c r="D2" s="1884" t="s">
        <v>204</v>
      </c>
      <c r="E2" s="106" t="s">
        <v>205</v>
      </c>
      <c r="F2" s="3076"/>
      <c r="G2" s="1179"/>
      <c r="H2" s="1180"/>
      <c r="I2" s="1181" t="s">
        <v>849</v>
      </c>
      <c r="J2" s="3076"/>
      <c r="K2" s="3076"/>
      <c r="L2" s="3076"/>
      <c r="M2" s="3076"/>
      <c r="N2" s="3076"/>
      <c r="O2" s="3076"/>
      <c r="P2" s="3076"/>
    </row>
    <row r="3" spans="1:16" ht="15.75" thickBot="1">
      <c r="A3" s="3601" t="s">
        <v>206</v>
      </c>
      <c r="B3" s="3601"/>
      <c r="C3" s="3601"/>
      <c r="D3" s="107">
        <f>'数据-基础表'!AY6</f>
        <v>60461.7</v>
      </c>
      <c r="E3" s="107">
        <f>'数据-基础表'!AZ5</f>
        <v>121547.97</v>
      </c>
      <c r="F3" s="3076"/>
      <c r="G3" s="276" t="s">
        <v>850</v>
      </c>
      <c r="H3" s="271" t="s">
        <v>851</v>
      </c>
      <c r="I3" s="1885">
        <f>ROUND('数据-基础表'!B3/'数据-基础表'!A3,2)</f>
        <v>2.0099999999999998</v>
      </c>
      <c r="J3" s="3076"/>
      <c r="K3" s="3076"/>
      <c r="L3" s="3076"/>
      <c r="M3" s="3076"/>
      <c r="N3" s="3076"/>
      <c r="O3" s="3076"/>
      <c r="P3" s="3076"/>
    </row>
    <row r="4" spans="1:16" ht="15">
      <c r="A4" s="3602"/>
      <c r="B4" s="3603"/>
      <c r="C4" s="3604"/>
      <c r="D4" s="108" t="s">
        <v>204</v>
      </c>
      <c r="E4" s="109" t="s">
        <v>205</v>
      </c>
      <c r="F4" s="3076"/>
      <c r="G4" s="1182"/>
      <c r="H4" s="271" t="s">
        <v>852</v>
      </c>
      <c r="I4" s="1885">
        <f>ROUND(SUMIF('数据-基础表'!I9:AS9,"地上",'数据-基础表'!I5:AS5)/'数据-基础表'!A3,2)</f>
        <v>1.1000000000000001</v>
      </c>
      <c r="J4" s="3076"/>
      <c r="K4" s="3076"/>
      <c r="L4" s="3076"/>
      <c r="M4" s="3076"/>
      <c r="N4" s="3076"/>
      <c r="O4" s="3076"/>
      <c r="P4" s="3076"/>
    </row>
    <row r="5" spans="1:16">
      <c r="A5" s="110" t="s">
        <v>207</v>
      </c>
      <c r="B5" s="3605" t="s">
        <v>230</v>
      </c>
      <c r="C5" s="3605"/>
      <c r="D5" s="111">
        <f>ROUND($D$3*E5/$E$3,2)</f>
        <v>25671.23</v>
      </c>
      <c r="E5" s="112">
        <f>SUMIF('数据-基础表'!$11:$11,"住宅",'数据-基础表'!$5:$5)</f>
        <v>51607.64</v>
      </c>
      <c r="F5" s="3076"/>
      <c r="G5" s="276" t="s">
        <v>853</v>
      </c>
      <c r="H5" s="271" t="s">
        <v>851</v>
      </c>
      <c r="I5" s="1885">
        <f>ROUND(E31/D31,2)</f>
        <v>2.0099999999999998</v>
      </c>
      <c r="J5" s="3076"/>
      <c r="K5" s="3076"/>
      <c r="L5" s="3076"/>
      <c r="M5" s="3076"/>
      <c r="N5" s="3076"/>
      <c r="O5" s="3076"/>
      <c r="P5" s="3076"/>
    </row>
    <row r="6" spans="1:16" ht="15" thickBot="1">
      <c r="A6" s="113"/>
      <c r="B6" s="3605" t="s">
        <v>208</v>
      </c>
      <c r="C6" s="3605"/>
      <c r="D6" s="111">
        <f>ROUND($D$3*E6/$E$3,2)</f>
        <v>34790.47</v>
      </c>
      <c r="E6" s="112">
        <f>E3-E5</f>
        <v>69940.33</v>
      </c>
      <c r="F6" s="3076"/>
      <c r="G6" s="1182"/>
      <c r="H6" s="271" t="s">
        <v>852</v>
      </c>
      <c r="I6" s="1885">
        <f>ROUND(F31/D31,2)</f>
        <v>1.1000000000000001</v>
      </c>
      <c r="J6" s="3076"/>
      <c r="K6" s="3076"/>
      <c r="L6" s="3076"/>
      <c r="M6" s="3076"/>
      <c r="N6" s="3076"/>
      <c r="O6" s="3076"/>
      <c r="P6" s="3076"/>
    </row>
    <row r="7" spans="1:16" ht="15">
      <c r="A7" s="3597"/>
      <c r="B7" s="3598"/>
      <c r="C7" s="3599"/>
      <c r="D7" s="108" t="s">
        <v>204</v>
      </c>
      <c r="E7" s="114" t="s">
        <v>231</v>
      </c>
      <c r="F7" s="3076"/>
      <c r="G7" s="1137" t="s">
        <v>1635</v>
      </c>
      <c r="H7" s="1138"/>
      <c r="I7" s="1755"/>
      <c r="J7" s="3076"/>
      <c r="K7" s="3076"/>
      <c r="L7" s="3076"/>
      <c r="M7" s="3076"/>
      <c r="N7" s="3076"/>
      <c r="O7" s="3076"/>
      <c r="P7" s="3076"/>
    </row>
    <row r="8" spans="1:16">
      <c r="A8" s="110" t="s">
        <v>209</v>
      </c>
      <c r="B8" s="115" t="s">
        <v>210</v>
      </c>
      <c r="C8" s="111" t="s">
        <v>211</v>
      </c>
      <c r="D8" s="111">
        <f t="shared" ref="D8:D15" si="0">ROUND($D$3*E8/$E$3,2)</f>
        <v>33056.449999999997</v>
      </c>
      <c r="E8" s="116">
        <f>SUMIF('数据-基础表'!BB10:BK10,"地上",'数据-基础表'!BB5:BK5)</f>
        <v>66454.38</v>
      </c>
      <c r="F8" s="3076"/>
      <c r="G8" s="3077"/>
      <c r="H8" s="3077"/>
      <c r="I8" s="3076"/>
      <c r="J8" s="3076"/>
      <c r="K8" s="3076"/>
      <c r="L8" s="3076"/>
      <c r="M8" s="3076"/>
      <c r="N8" s="3076"/>
      <c r="O8" s="3076"/>
      <c r="P8" s="3076"/>
    </row>
    <row r="9" spans="1:16">
      <c r="A9" s="117"/>
      <c r="B9" s="118"/>
      <c r="C9" s="111" t="s">
        <v>212</v>
      </c>
      <c r="D9" s="111">
        <f t="shared" si="0"/>
        <v>0</v>
      </c>
      <c r="E9" s="119">
        <v>0</v>
      </c>
      <c r="F9" s="3076"/>
      <c r="G9" s="3077"/>
      <c r="H9" s="3077"/>
      <c r="I9" s="3076"/>
      <c r="J9" s="3076"/>
      <c r="K9" s="3076"/>
      <c r="L9" s="3076"/>
      <c r="M9" s="3076"/>
      <c r="N9" s="3076"/>
      <c r="O9" s="3076"/>
      <c r="P9" s="3076"/>
    </row>
    <row r="10" spans="1:16">
      <c r="A10" s="117"/>
      <c r="B10" s="118"/>
      <c r="C10" s="111" t="s">
        <v>213</v>
      </c>
      <c r="D10" s="111">
        <f t="shared" si="0"/>
        <v>1528.79</v>
      </c>
      <c r="E10" s="116">
        <f>SUMPRODUCT(('数据-基础表'!BB10:BK10="地下")*('数据-基础表'!BB11:BK11="商业")*('数据-基础表'!BB5:BK5))</f>
        <v>3073.38</v>
      </c>
      <c r="F10" s="3076"/>
      <c r="G10" s="3077"/>
      <c r="H10" s="3077"/>
      <c r="I10" s="3076"/>
      <c r="J10" s="3076"/>
      <c r="K10" s="3076"/>
      <c r="L10" s="3076"/>
      <c r="M10" s="3076"/>
      <c r="N10" s="3076"/>
      <c r="O10" s="3076"/>
      <c r="P10" s="3076"/>
    </row>
    <row r="11" spans="1:16">
      <c r="A11" s="117"/>
      <c r="B11" s="118"/>
      <c r="C11" s="2206" t="s">
        <v>2314</v>
      </c>
      <c r="D11" s="111">
        <f t="shared" si="0"/>
        <v>25.18</v>
      </c>
      <c r="E11" s="116">
        <f>SUMPRODUCT(('数据-基础表'!BB10:BK10="地下")*('数据-基础表'!BB11:BK11="办公")*('数据-基础表'!BB5:BK5))+'数据-基础表'!AJ5</f>
        <v>50.63</v>
      </c>
      <c r="F11" s="3076"/>
      <c r="G11" s="3077"/>
      <c r="H11" s="3077"/>
      <c r="I11" s="3076"/>
      <c r="J11" s="3076"/>
      <c r="K11" s="3076"/>
      <c r="L11" s="3076"/>
      <c r="M11" s="3076"/>
      <c r="N11" s="3076"/>
      <c r="O11" s="3076"/>
      <c r="P11" s="3076"/>
    </row>
    <row r="12" spans="1:16">
      <c r="A12" s="117"/>
      <c r="B12" s="118"/>
      <c r="C12" s="111" t="s">
        <v>214</v>
      </c>
      <c r="D12" s="111">
        <f t="shared" si="0"/>
        <v>10070.049999999999</v>
      </c>
      <c r="E12" s="116">
        <f>SUMPRODUCT(('数据-基础表'!BB10:BK10="地下")*('数据-基础表'!BB11:BK11="仓储")*('数据-基础表'!BB5:BK5))</f>
        <v>20244.13</v>
      </c>
      <c r="F12" s="3076"/>
      <c r="G12" s="3077"/>
      <c r="H12" s="3077"/>
      <c r="I12" s="3076"/>
      <c r="J12" s="3076"/>
      <c r="K12" s="3076"/>
      <c r="L12" s="3076"/>
      <c r="M12" s="3076"/>
      <c r="N12" s="3076"/>
      <c r="O12" s="3076"/>
      <c r="P12" s="3076"/>
    </row>
    <row r="13" spans="1:16">
      <c r="A13" s="117"/>
      <c r="B13" s="118"/>
      <c r="C13" s="2206" t="s">
        <v>2321</v>
      </c>
      <c r="D13" s="111">
        <f t="shared" si="0"/>
        <v>11626.61</v>
      </c>
      <c r="E13" s="116">
        <f>SUMPRODUCT(('数据-基础表'!BB10:BK10="地下")*('数据-基础表'!BB11:BK11="车库")*('数据-基础表'!BB5:BK5))</f>
        <v>23373.33</v>
      </c>
      <c r="F13" s="3076"/>
      <c r="G13" s="3077"/>
      <c r="H13" s="3077"/>
      <c r="I13" s="3076"/>
      <c r="J13" s="3076"/>
      <c r="K13" s="3076"/>
      <c r="L13" s="3076"/>
      <c r="M13" s="3076"/>
      <c r="N13" s="3076"/>
      <c r="O13" s="3076"/>
      <c r="P13" s="3076"/>
    </row>
    <row r="14" spans="1:16">
      <c r="A14" s="117"/>
      <c r="B14" s="118"/>
      <c r="C14" s="111" t="s">
        <v>232</v>
      </c>
      <c r="D14" s="111">
        <f t="shared" si="0"/>
        <v>0</v>
      </c>
      <c r="E14" s="116">
        <f>SUMPRODUCT(('数据-基础表'!BB10:BK10="地下")*('数据-基础表'!BB11:BK11="车库—商业")*('数据-基础表'!BB5:BK5))</f>
        <v>0</v>
      </c>
      <c r="F14" s="3076"/>
      <c r="G14" s="3077"/>
      <c r="H14" s="3077"/>
      <c r="I14" s="3076"/>
      <c r="J14" s="3076"/>
      <c r="K14" s="3076"/>
      <c r="L14" s="3076"/>
      <c r="M14" s="3076"/>
      <c r="N14" s="3076"/>
      <c r="O14" s="3076"/>
      <c r="P14" s="3076"/>
    </row>
    <row r="15" spans="1:16" ht="15" thickBot="1">
      <c r="A15" s="117"/>
      <c r="B15" s="118"/>
      <c r="C15" s="111" t="s">
        <v>233</v>
      </c>
      <c r="D15" s="111">
        <f t="shared" si="0"/>
        <v>179.42</v>
      </c>
      <c r="E15" s="116">
        <f>SUMPRODUCT(('数据-基础表'!BB10:BK10="地下")*('数据-基础表'!BB11:BK11="车库—办公")*('数据-基础表'!BB5:BK5))</f>
        <v>360.7</v>
      </c>
      <c r="F15" s="3076"/>
      <c r="G15" s="3077"/>
      <c r="H15" s="3077"/>
      <c r="I15" s="3076"/>
      <c r="J15" s="3076"/>
      <c r="K15" s="3076"/>
      <c r="L15" s="3076"/>
      <c r="M15" s="3076"/>
      <c r="N15" s="3076"/>
      <c r="O15" s="3076"/>
      <c r="P15" s="3076"/>
    </row>
    <row r="16" spans="1:16" ht="15.75" thickBot="1">
      <c r="A16" s="113"/>
      <c r="B16" s="118"/>
      <c r="C16" s="115" t="s">
        <v>215</v>
      </c>
      <c r="D16" s="115">
        <f>SUM(D8:D15)</f>
        <v>56486.5</v>
      </c>
      <c r="E16" s="120">
        <f>SUM(E8:E15)</f>
        <v>113556.55000000002</v>
      </c>
      <c r="F16" s="3076"/>
      <c r="G16" s="3077"/>
      <c r="H16" s="954" t="s">
        <v>219</v>
      </c>
      <c r="I16" s="955"/>
      <c r="J16" s="1893"/>
      <c r="K16" s="3591" t="s">
        <v>2547</v>
      </c>
      <c r="L16" s="3592"/>
      <c r="M16" s="3592"/>
      <c r="N16" s="3592"/>
      <c r="O16" s="3592"/>
      <c r="P16" s="3593"/>
    </row>
    <row r="17" spans="1:19" ht="15">
      <c r="A17" s="121" t="s">
        <v>216</v>
      </c>
      <c r="B17" s="122" t="s">
        <v>217</v>
      </c>
      <c r="C17" s="2173" t="s">
        <v>2300</v>
      </c>
      <c r="D17" s="108" t="s">
        <v>204</v>
      </c>
      <c r="E17" s="124" t="s">
        <v>205</v>
      </c>
      <c r="F17" s="125"/>
      <c r="G17" s="1316"/>
      <c r="H17" s="956" t="s">
        <v>218</v>
      </c>
      <c r="I17" s="957" t="s">
        <v>2299</v>
      </c>
      <c r="J17" s="1893"/>
      <c r="K17" s="3594" t="s">
        <v>2548</v>
      </c>
      <c r="L17" s="3595"/>
      <c r="M17" s="3596"/>
      <c r="N17" s="3594" t="s">
        <v>2549</v>
      </c>
      <c r="O17" s="3595"/>
      <c r="P17" s="3596"/>
      <c r="R17" s="2174" t="s">
        <v>2298</v>
      </c>
      <c r="S17" s="140"/>
    </row>
    <row r="18" spans="1:19" ht="15">
      <c r="A18" s="117"/>
      <c r="B18" s="128"/>
      <c r="C18" s="129"/>
      <c r="D18" s="2479"/>
      <c r="E18" s="130" t="s">
        <v>220</v>
      </c>
      <c r="F18" s="131" t="s">
        <v>221</v>
      </c>
      <c r="G18" s="1317" t="s">
        <v>222</v>
      </c>
      <c r="H18" s="958" t="s">
        <v>223</v>
      </c>
      <c r="I18" s="959" t="s">
        <v>224</v>
      </c>
      <c r="J18" s="1893"/>
      <c r="K18" s="2444" t="s">
        <v>2550</v>
      </c>
      <c r="L18" s="2445" t="s">
        <v>2551</v>
      </c>
      <c r="M18" s="2446" t="s">
        <v>2552</v>
      </c>
      <c r="N18" s="2444" t="s">
        <v>2550</v>
      </c>
      <c r="O18" s="2445" t="s">
        <v>2551</v>
      </c>
      <c r="P18" s="2446" t="s">
        <v>2552</v>
      </c>
      <c r="R18" s="2175" t="s">
        <v>2296</v>
      </c>
      <c r="S18" s="2175" t="s">
        <v>2297</v>
      </c>
    </row>
    <row r="19" spans="1:19">
      <c r="A19" s="133"/>
      <c r="B19" s="115" t="s">
        <v>225</v>
      </c>
      <c r="C19" s="3297" t="s">
        <v>3690</v>
      </c>
      <c r="D19" s="111">
        <f t="shared" ref="D19:D26" si="1">ROUND($D$3*E19/$E$3,2)</f>
        <v>25671.23</v>
      </c>
      <c r="E19" s="134">
        <f t="shared" ref="E19:E26" si="2">SUM(F19:G19)</f>
        <v>51607.64</v>
      </c>
      <c r="F19" s="3299">
        <f>'数据-基础表'!S19</f>
        <v>51607.64</v>
      </c>
      <c r="G19" s="3079"/>
      <c r="H19" s="960">
        <f>ROUND($D$3*I19/$E$3,2)</f>
        <v>1806.58</v>
      </c>
      <c r="I19" s="116">
        <f>IF($I$17="自定义",P19,M19)</f>
        <v>3631.83</v>
      </c>
      <c r="J19" s="1893"/>
      <c r="K19" s="2447">
        <f t="shared" ref="K19:K26" si="3">ROUND(E$28*E19/E$27,2)</f>
        <v>3631.83</v>
      </c>
      <c r="L19" s="271">
        <f t="shared" ref="L19:L26" si="4">ROUND(IF(COUNTIF(C19,"*住宅*")&gt;0,E$29*E19/E$32,0),2)</f>
        <v>0</v>
      </c>
      <c r="M19" s="2448">
        <f>K19+L19</f>
        <v>3631.83</v>
      </c>
      <c r="N19" s="2449"/>
      <c r="O19" s="2450"/>
      <c r="P19" s="2451">
        <f>N19+O19</f>
        <v>0</v>
      </c>
      <c r="R19" s="271">
        <f t="shared" ref="R19:S26" si="5">D19+H19</f>
        <v>27477.809999999998</v>
      </c>
      <c r="S19" s="2176">
        <f t="shared" si="5"/>
        <v>55239.47</v>
      </c>
    </row>
    <row r="20" spans="1:19">
      <c r="A20" s="137"/>
      <c r="B20" s="115" t="s">
        <v>226</v>
      </c>
      <c r="C20" s="3297" t="s">
        <v>3691</v>
      </c>
      <c r="D20" s="111">
        <f t="shared" si="1"/>
        <v>3210.95</v>
      </c>
      <c r="E20" s="134">
        <f t="shared" si="2"/>
        <v>6455.06</v>
      </c>
      <c r="F20" s="3299">
        <f>'数据-基础表'!I13</f>
        <v>6455.06</v>
      </c>
      <c r="G20" s="3079"/>
      <c r="H20" s="960">
        <f t="shared" ref="H20:H26" si="6">ROUND($D$3*I20/$E$3,2)</f>
        <v>225.97</v>
      </c>
      <c r="I20" s="116">
        <f t="shared" ref="I20:I26" si="7">IF($I$17="自定义",P20,M20)</f>
        <v>454.27</v>
      </c>
      <c r="J20" s="1893"/>
      <c r="K20" s="2447">
        <f t="shared" si="3"/>
        <v>454.27</v>
      </c>
      <c r="L20" s="271">
        <f t="shared" si="4"/>
        <v>0</v>
      </c>
      <c r="M20" s="2448">
        <f t="shared" ref="M20:M26" si="8">K20+L20</f>
        <v>454.27</v>
      </c>
      <c r="N20" s="2449"/>
      <c r="O20" s="2450"/>
      <c r="P20" s="2451">
        <f t="shared" ref="P20:P26" si="9">N20+O20</f>
        <v>0</v>
      </c>
      <c r="R20" s="271">
        <f t="shared" si="5"/>
        <v>3436.9199999999996</v>
      </c>
      <c r="S20" s="2176">
        <f t="shared" si="5"/>
        <v>6909.33</v>
      </c>
    </row>
    <row r="21" spans="1:19">
      <c r="A21" s="137"/>
      <c r="B21" s="115" t="s">
        <v>226</v>
      </c>
      <c r="C21" s="3297" t="s">
        <v>3692</v>
      </c>
      <c r="D21" s="111">
        <f t="shared" si="1"/>
        <v>4199.46</v>
      </c>
      <c r="E21" s="134">
        <f t="shared" si="2"/>
        <v>8442.31</v>
      </c>
      <c r="F21" s="3078">
        <f>'数据-基础表'!K14</f>
        <v>8391.68</v>
      </c>
      <c r="G21" s="3300">
        <f>'数据-基础表'!O16</f>
        <v>50.63</v>
      </c>
      <c r="H21" s="960">
        <f t="shared" si="6"/>
        <v>295.52999999999997</v>
      </c>
      <c r="I21" s="116">
        <f t="shared" si="7"/>
        <v>594.12</v>
      </c>
      <c r="J21" s="1893"/>
      <c r="K21" s="2447">
        <f t="shared" si="3"/>
        <v>594.12</v>
      </c>
      <c r="L21" s="271">
        <f t="shared" si="4"/>
        <v>0</v>
      </c>
      <c r="M21" s="2448">
        <f t="shared" si="8"/>
        <v>594.12</v>
      </c>
      <c r="N21" s="2449"/>
      <c r="O21" s="2450"/>
      <c r="P21" s="2451">
        <f t="shared" si="9"/>
        <v>0</v>
      </c>
      <c r="R21" s="271">
        <f t="shared" si="5"/>
        <v>4494.99</v>
      </c>
      <c r="S21" s="2176">
        <f t="shared" si="5"/>
        <v>9036.43</v>
      </c>
    </row>
    <row r="22" spans="1:19">
      <c r="A22" s="137"/>
      <c r="B22" s="115" t="s">
        <v>226</v>
      </c>
      <c r="C22" s="3302" t="s">
        <v>3693</v>
      </c>
      <c r="D22" s="111">
        <f t="shared" si="1"/>
        <v>1528.79</v>
      </c>
      <c r="E22" s="134">
        <f t="shared" si="2"/>
        <v>3073.38</v>
      </c>
      <c r="F22" s="3080"/>
      <c r="G22" s="3301">
        <f>'数据-基础表'!M15</f>
        <v>3073.38</v>
      </c>
      <c r="H22" s="960">
        <f t="shared" si="6"/>
        <v>107.59</v>
      </c>
      <c r="I22" s="116">
        <f t="shared" si="7"/>
        <v>216.29</v>
      </c>
      <c r="J22" s="1893"/>
      <c r="K22" s="2447">
        <f t="shared" si="3"/>
        <v>216.29</v>
      </c>
      <c r="L22" s="271">
        <f t="shared" si="4"/>
        <v>0</v>
      </c>
      <c r="M22" s="2448">
        <f t="shared" si="8"/>
        <v>216.29</v>
      </c>
      <c r="N22" s="2449"/>
      <c r="O22" s="2450"/>
      <c r="P22" s="2451">
        <f t="shared" si="9"/>
        <v>0</v>
      </c>
      <c r="R22" s="271">
        <f t="shared" si="5"/>
        <v>1636.3799999999999</v>
      </c>
      <c r="S22" s="2176">
        <f t="shared" si="5"/>
        <v>3289.67</v>
      </c>
    </row>
    <row r="23" spans="1:19">
      <c r="A23" s="137"/>
      <c r="B23" s="115" t="s">
        <v>226</v>
      </c>
      <c r="C23" s="3298" t="s">
        <v>3694</v>
      </c>
      <c r="D23" s="111">
        <f>ROUND($D$3*E23/$E$3,2)</f>
        <v>179.42</v>
      </c>
      <c r="E23" s="134">
        <f>SUM(F23:G23)</f>
        <v>360.7</v>
      </c>
      <c r="F23" s="3080"/>
      <c r="G23" s="3301">
        <f>'数据-基础表'!U20</f>
        <v>360.7</v>
      </c>
      <c r="H23" s="960">
        <f>ROUND($D$3*I23/$E$3,2)</f>
        <v>12.62</v>
      </c>
      <c r="I23" s="116">
        <f t="shared" si="7"/>
        <v>25.38</v>
      </c>
      <c r="J23" s="1893"/>
      <c r="K23" s="2447">
        <f t="shared" si="3"/>
        <v>25.38</v>
      </c>
      <c r="L23" s="271">
        <f t="shared" si="4"/>
        <v>0</v>
      </c>
      <c r="M23" s="2448">
        <f t="shared" si="8"/>
        <v>25.38</v>
      </c>
      <c r="N23" s="2449"/>
      <c r="O23" s="2450"/>
      <c r="P23" s="2451">
        <f t="shared" si="9"/>
        <v>0</v>
      </c>
      <c r="R23" s="271">
        <f t="shared" si="5"/>
        <v>192.04</v>
      </c>
      <c r="S23" s="2176">
        <f t="shared" si="5"/>
        <v>386.08</v>
      </c>
    </row>
    <row r="24" spans="1:19">
      <c r="A24" s="137"/>
      <c r="B24" s="115" t="s">
        <v>226</v>
      </c>
      <c r="C24" s="3298" t="s">
        <v>3696</v>
      </c>
      <c r="D24" s="111">
        <f>ROUND($D$3*E24/$E$3,2)</f>
        <v>9749.2999999999993</v>
      </c>
      <c r="E24" s="134">
        <f>SUM(F24:G24)</f>
        <v>19599.32</v>
      </c>
      <c r="F24" s="3080"/>
      <c r="G24" s="3081">
        <f>'数据-基础表'!W21</f>
        <v>19599.32</v>
      </c>
      <c r="H24" s="960">
        <f>ROUND($D$3*I24/$E$3,2)</f>
        <v>686.1</v>
      </c>
      <c r="I24" s="116">
        <f t="shared" si="7"/>
        <v>1379.28</v>
      </c>
      <c r="J24" s="1893"/>
      <c r="K24" s="2447">
        <f t="shared" si="3"/>
        <v>1379.28</v>
      </c>
      <c r="L24" s="271">
        <f t="shared" si="4"/>
        <v>0</v>
      </c>
      <c r="M24" s="2448">
        <f t="shared" si="8"/>
        <v>1379.28</v>
      </c>
      <c r="N24" s="2449"/>
      <c r="O24" s="2450"/>
      <c r="P24" s="2451">
        <f t="shared" si="9"/>
        <v>0</v>
      </c>
      <c r="R24" s="271">
        <f t="shared" si="5"/>
        <v>10435.4</v>
      </c>
      <c r="S24" s="2176">
        <f t="shared" si="5"/>
        <v>20978.6</v>
      </c>
    </row>
    <row r="25" spans="1:19">
      <c r="A25" s="137"/>
      <c r="B25" s="115" t="s">
        <v>226</v>
      </c>
      <c r="C25" s="3450" t="s">
        <v>3697</v>
      </c>
      <c r="D25" s="111">
        <f t="shared" si="1"/>
        <v>320.75</v>
      </c>
      <c r="E25" s="134">
        <f t="shared" si="2"/>
        <v>644.80999999999995</v>
      </c>
      <c r="F25" s="3080"/>
      <c r="G25" s="3081">
        <f>'数据-基础表'!Y22</f>
        <v>644.80999999999995</v>
      </c>
      <c r="H25" s="110">
        <f t="shared" si="6"/>
        <v>22.57</v>
      </c>
      <c r="I25" s="116">
        <f t="shared" si="7"/>
        <v>45.38</v>
      </c>
      <c r="J25" s="1893"/>
      <c r="K25" s="2447">
        <f t="shared" si="3"/>
        <v>45.38</v>
      </c>
      <c r="L25" s="271">
        <f t="shared" si="4"/>
        <v>0</v>
      </c>
      <c r="M25" s="2448">
        <f t="shared" si="8"/>
        <v>45.38</v>
      </c>
      <c r="N25" s="2449"/>
      <c r="O25" s="2450"/>
      <c r="P25" s="2451">
        <f t="shared" si="9"/>
        <v>0</v>
      </c>
      <c r="R25" s="271">
        <f t="shared" si="5"/>
        <v>343.32</v>
      </c>
      <c r="S25" s="2176">
        <f t="shared" si="5"/>
        <v>690.18999999999994</v>
      </c>
    </row>
    <row r="26" spans="1:19">
      <c r="A26" s="137"/>
      <c r="B26" s="115" t="s">
        <v>226</v>
      </c>
      <c r="C26" s="3450" t="s">
        <v>3695</v>
      </c>
      <c r="D26" s="111">
        <f t="shared" si="1"/>
        <v>11626.61</v>
      </c>
      <c r="E26" s="134">
        <f t="shared" si="2"/>
        <v>23373.33</v>
      </c>
      <c r="F26" s="3080"/>
      <c r="G26" s="3081">
        <f>'数据-基础表'!Q17</f>
        <v>23373.33</v>
      </c>
      <c r="H26" s="110">
        <f t="shared" si="6"/>
        <v>818.21</v>
      </c>
      <c r="I26" s="116">
        <f t="shared" si="7"/>
        <v>1644.87</v>
      </c>
      <c r="J26" s="1893"/>
      <c r="K26" s="2452">
        <f t="shared" si="3"/>
        <v>1644.87</v>
      </c>
      <c r="L26" s="276">
        <f t="shared" si="4"/>
        <v>0</v>
      </c>
      <c r="M26" s="142">
        <f t="shared" si="8"/>
        <v>1644.87</v>
      </c>
      <c r="N26" s="2453"/>
      <c r="O26" s="2454"/>
      <c r="P26" s="2455">
        <f t="shared" si="9"/>
        <v>0</v>
      </c>
      <c r="R26" s="271">
        <f t="shared" si="5"/>
        <v>12444.82</v>
      </c>
      <c r="S26" s="2176">
        <f t="shared" si="5"/>
        <v>25018.2</v>
      </c>
    </row>
    <row r="27" spans="1:19" ht="29.25" thickBot="1">
      <c r="A27" s="137"/>
      <c r="B27" s="111"/>
      <c r="C27" s="127" t="s">
        <v>215</v>
      </c>
      <c r="D27" s="134">
        <f>SUM(D19:D26)</f>
        <v>56486.509999999995</v>
      </c>
      <c r="E27" s="139">
        <f>IF(SUM(E19:E26)='数据-基础表'!BA5,SUM(E19:E26),IF(F27="地上面积有误","面积有误","地下面积有误"))</f>
        <v>113556.55</v>
      </c>
      <c r="F27" s="134">
        <f>IF(SUM(F19:F26)=E8,SUM(F19:F26),"地上面积有误")</f>
        <v>66454.38</v>
      </c>
      <c r="G27" s="112">
        <f>SUM(G19:G26)</f>
        <v>47102.17</v>
      </c>
      <c r="H27" s="961">
        <f>SUM(H19:H26)</f>
        <v>3975.17</v>
      </c>
      <c r="I27" s="962">
        <f>SUM(I19:I26)</f>
        <v>7991.42</v>
      </c>
      <c r="J27" s="1893"/>
      <c r="K27" s="2456">
        <f>SUM(K19:K26)</f>
        <v>7991.42</v>
      </c>
      <c r="L27" s="2457">
        <f>SUM(L19:L26)</f>
        <v>0</v>
      </c>
      <c r="M27" s="2458">
        <f>SUM(M19:M26)</f>
        <v>7991.42</v>
      </c>
      <c r="N27" s="2456">
        <f t="shared" ref="N27:O27" si="10">SUM(N19:N26)</f>
        <v>0</v>
      </c>
      <c r="O27" s="2457">
        <f t="shared" si="10"/>
        <v>0</v>
      </c>
      <c r="P27" s="2459">
        <f>SUM(P19:P26)</f>
        <v>0</v>
      </c>
      <c r="R27" s="2180" t="str">
        <f>IF(SUM(R19:R26)=$D$3,SUM(R19:R26),SUM(R19:R26)&amp;"误差"&amp;ROUND(SUM(R19:R26)-$D$3,2))</f>
        <v>60461.68误差-0.02</v>
      </c>
      <c r="S27" s="271">
        <f>IF(SUM(S19:S26)=$E$3,SUM(S19:S26),SUM(S19:S26)&amp;"误差"&amp;ROUND(SUM(S19:S26)-E3,2))</f>
        <v>121547.97000000002</v>
      </c>
    </row>
    <row r="28" spans="1:19">
      <c r="A28" s="137"/>
      <c r="B28" s="115" t="s">
        <v>227</v>
      </c>
      <c r="C28" s="135" t="s">
        <v>228</v>
      </c>
      <c r="D28" s="111">
        <f>ROUND($D$3*E28/$E$3,2)</f>
        <v>3975.18</v>
      </c>
      <c r="E28" s="134">
        <f>SUM(F28:G28)</f>
        <v>7991.42</v>
      </c>
      <c r="F28" s="140">
        <f>'数据-基础表'!BQ5+'数据-基础表'!BS5</f>
        <v>0</v>
      </c>
      <c r="G28" s="141">
        <f>'数据-基础表'!BR5+'数据-基础表'!BT5</f>
        <v>7991.42</v>
      </c>
      <c r="H28" s="3076"/>
      <c r="I28" s="3076"/>
      <c r="J28" s="3076"/>
      <c r="K28" s="3076"/>
      <c r="L28" s="3076"/>
      <c r="M28" s="3076"/>
      <c r="N28" s="3076"/>
      <c r="O28" s="3076"/>
      <c r="P28" s="3076"/>
    </row>
    <row r="29" spans="1:19">
      <c r="A29" s="137"/>
      <c r="B29" s="115" t="s">
        <v>227</v>
      </c>
      <c r="C29" s="2188" t="s">
        <v>2307</v>
      </c>
      <c r="D29" s="111">
        <f>ROUND($D$3*E29/$E$3,2)</f>
        <v>0</v>
      </c>
      <c r="E29" s="134">
        <f>SUM(F29:G29)</f>
        <v>0</v>
      </c>
      <c r="F29" s="140">
        <f>'数据-基础表'!BM5+'数据-基础表'!BO5</f>
        <v>0</v>
      </c>
      <c r="G29" s="142">
        <f>'数据-基础表'!BN5+'数据-基础表'!BP5</f>
        <v>0</v>
      </c>
      <c r="H29" s="3076"/>
      <c r="I29" s="3076"/>
      <c r="J29" s="3076"/>
      <c r="K29" s="3076"/>
      <c r="L29" s="3076"/>
      <c r="M29" s="3076"/>
      <c r="N29" s="3076"/>
      <c r="O29" s="3076"/>
      <c r="P29" s="3076"/>
    </row>
    <row r="30" spans="1:19">
      <c r="A30" s="137"/>
      <c r="B30" s="111"/>
      <c r="C30" s="143" t="s">
        <v>215</v>
      </c>
      <c r="D30" s="134">
        <f>SUM(D28:D29)</f>
        <v>3975.18</v>
      </c>
      <c r="E30" s="134">
        <f>SUM(E28:E29)</f>
        <v>7991.42</v>
      </c>
      <c r="F30" s="134">
        <f>SUM(F28:F29)</f>
        <v>0</v>
      </c>
      <c r="G30" s="112">
        <f>SUM(G28:G29)</f>
        <v>7991.42</v>
      </c>
      <c r="H30" s="3076"/>
      <c r="I30" s="3076"/>
      <c r="J30" s="3076"/>
      <c r="K30" s="3076"/>
      <c r="L30" s="3076"/>
      <c r="M30" s="3076"/>
      <c r="N30" s="3076"/>
      <c r="O30" s="3076"/>
      <c r="P30" s="3076"/>
    </row>
    <row r="31" spans="1:19" ht="32.25" customHeight="1" thickBot="1">
      <c r="A31" s="1318"/>
      <c r="B31" s="1319" t="s">
        <v>229</v>
      </c>
      <c r="C31" s="2205" t="s">
        <v>2309</v>
      </c>
      <c r="D31" s="1320">
        <f>D27+D30</f>
        <v>60461.689999999995</v>
      </c>
      <c r="E31" s="1320">
        <f>E27+E30</f>
        <v>121547.97</v>
      </c>
      <c r="F31" s="1321">
        <f>F27+F30</f>
        <v>66454.38</v>
      </c>
      <c r="G31" s="1322">
        <f>G27+G30</f>
        <v>55093.59</v>
      </c>
      <c r="H31" s="3076"/>
      <c r="I31" s="3076"/>
      <c r="J31" s="3076"/>
      <c r="K31" s="3076"/>
      <c r="L31" s="3076"/>
      <c r="M31" s="3076"/>
      <c r="N31" s="3076"/>
      <c r="O31" s="3076"/>
      <c r="P31" s="3076"/>
    </row>
    <row r="32" spans="1:19">
      <c r="A32" s="1893"/>
      <c r="B32" s="2217" t="s">
        <v>2308</v>
      </c>
      <c r="C32" s="2484"/>
      <c r="D32" s="1182"/>
      <c r="E32" s="1182">
        <f>SUMIF(C19:C26,"*住宅*",E19:E26)</f>
        <v>71206.959999999992</v>
      </c>
      <c r="F32" s="1182"/>
      <c r="G32" s="1182"/>
      <c r="H32" s="3076"/>
      <c r="I32" s="3076"/>
      <c r="J32" s="3076"/>
      <c r="K32" s="3076"/>
      <c r="L32" s="3076"/>
      <c r="M32" s="3076"/>
      <c r="N32" s="3076"/>
      <c r="O32" s="3076"/>
      <c r="P32" s="3076"/>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7" sqref="L7:L8"/>
    </sheetView>
  </sheetViews>
  <sheetFormatPr defaultColWidth="13.8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8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875" style="1184" customWidth="1"/>
    <col min="25" max="25" width="8.125" style="1184" customWidth="1"/>
    <col min="26" max="30" width="6.875" style="1184" customWidth="1"/>
    <col min="31" max="31" width="6.5" style="1184" customWidth="1"/>
    <col min="32" max="34" width="7.125" style="1184" customWidth="1"/>
    <col min="35" max="39" width="8" style="1184" customWidth="1"/>
    <col min="40" max="41" width="13.875" style="1903"/>
    <col min="42" max="42" width="13.875" style="1903" customWidth="1"/>
    <col min="43" max="83" width="13.875" style="1903"/>
    <col min="84" max="16384" width="13.875" style="1184"/>
  </cols>
  <sheetData>
    <row r="1" spans="1:83" ht="19.5" thickBot="1">
      <c r="A1" s="144" t="s">
        <v>234</v>
      </c>
      <c r="B1" s="1183"/>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3"/>
      <c r="AO1" s="3083"/>
      <c r="AP1" s="3083"/>
      <c r="AQ1" s="3083"/>
      <c r="AR1" s="3083"/>
      <c r="AS1" s="3083"/>
      <c r="AT1" s="3083"/>
      <c r="AU1" s="3083"/>
      <c r="AV1" s="3083"/>
      <c r="AW1" s="3083"/>
      <c r="AX1" s="3083"/>
      <c r="AY1" s="3083"/>
      <c r="AZ1" s="3083"/>
    </row>
    <row r="2" spans="1:83" s="1187" customFormat="1" ht="15.75" thickBot="1">
      <c r="A2" s="145" t="s">
        <v>235</v>
      </c>
      <c r="B2" s="2213">
        <f>项目基本情况!D3</f>
        <v>44412</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6"/>
      <c r="AO2" s="3086"/>
      <c r="AP2" s="3086"/>
      <c r="AQ2" s="3086"/>
      <c r="AR2" s="3086"/>
      <c r="AS2" s="3086"/>
      <c r="AT2" s="3086"/>
      <c r="AU2" s="3086"/>
      <c r="AV2" s="3086"/>
      <c r="AW2" s="3086"/>
      <c r="AX2" s="3086"/>
      <c r="AY2" s="3086"/>
      <c r="AZ2" s="3086"/>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7" customFormat="1" ht="15" thickBot="1">
      <c r="A3" s="1188"/>
      <c r="B3" s="1185"/>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6"/>
      <c r="AO3" s="3086"/>
      <c r="AP3" s="3086"/>
      <c r="AQ3" s="3086"/>
      <c r="AR3" s="3086"/>
      <c r="AS3" s="3086"/>
      <c r="AT3" s="3086"/>
      <c r="AU3" s="3086"/>
      <c r="AV3" s="3086"/>
      <c r="AW3" s="3086"/>
      <c r="AX3" s="3086"/>
      <c r="AY3" s="3086"/>
      <c r="AZ3" s="3086"/>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7" customFormat="1" ht="15" thickBot="1">
      <c r="A4" s="146" t="s">
        <v>856</v>
      </c>
      <c r="B4" s="148"/>
      <c r="C4" s="149"/>
      <c r="D4" s="1189"/>
      <c r="E4" s="1190" t="s">
        <v>857</v>
      </c>
      <c r="F4" s="149"/>
      <c r="G4" s="149"/>
      <c r="H4" s="149"/>
      <c r="I4" s="149"/>
      <c r="J4" s="150"/>
      <c r="K4" s="1191"/>
      <c r="L4" s="1192"/>
      <c r="M4" s="149"/>
      <c r="N4" s="1190" t="s">
        <v>858</v>
      </c>
      <c r="O4" s="149"/>
      <c r="P4" s="149"/>
      <c r="Q4" s="149"/>
      <c r="R4" s="149"/>
      <c r="S4" s="150"/>
      <c r="T4" s="963" t="str">
        <f>'数据-汇总表'!I17</f>
        <v>按面积比例</v>
      </c>
      <c r="U4" s="148" t="s">
        <v>859</v>
      </c>
      <c r="V4" s="149"/>
      <c r="W4" s="149"/>
      <c r="X4" s="149"/>
      <c r="Y4" s="150"/>
      <c r="Z4" s="123" t="s">
        <v>860</v>
      </c>
      <c r="AA4" s="123"/>
      <c r="AB4" s="123"/>
      <c r="AC4" s="123"/>
      <c r="AD4" s="123"/>
      <c r="AE4" s="121" t="s">
        <v>861</v>
      </c>
      <c r="AF4" s="123"/>
      <c r="AG4" s="151"/>
      <c r="AH4" s="148"/>
      <c r="AI4" s="149"/>
      <c r="AJ4" s="149"/>
      <c r="AK4" s="149"/>
      <c r="AL4" s="149"/>
      <c r="AM4" s="150"/>
      <c r="AN4" s="3086"/>
      <c r="AO4" s="3086"/>
      <c r="AP4" s="3086"/>
      <c r="AQ4" s="3086"/>
      <c r="AR4" s="3086"/>
      <c r="AS4" s="3086"/>
      <c r="AT4" s="3086"/>
      <c r="AU4" s="3086"/>
      <c r="AV4" s="3086"/>
      <c r="AW4" s="3086"/>
      <c r="AX4" s="3086"/>
      <c r="AY4" s="3086"/>
      <c r="AZ4" s="3086"/>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3" customFormat="1" ht="54">
      <c r="A5" s="2179" t="s">
        <v>2311</v>
      </c>
      <c r="B5" s="152" t="s">
        <v>236</v>
      </c>
      <c r="C5" s="153" t="s">
        <v>237</v>
      </c>
      <c r="D5" s="154" t="s">
        <v>238</v>
      </c>
      <c r="E5" s="155" t="s">
        <v>239</v>
      </c>
      <c r="F5" s="156" t="s">
        <v>240</v>
      </c>
      <c r="G5" s="155" t="s">
        <v>241</v>
      </c>
      <c r="H5" s="155" t="s">
        <v>854</v>
      </c>
      <c r="I5" s="155" t="s">
        <v>855</v>
      </c>
      <c r="J5" s="157" t="s">
        <v>242</v>
      </c>
      <c r="K5" s="158" t="s">
        <v>243</v>
      </c>
      <c r="L5" s="159" t="s">
        <v>244</v>
      </c>
      <c r="M5" s="160" t="s">
        <v>245</v>
      </c>
      <c r="N5" s="1200" t="s">
        <v>2806</v>
      </c>
      <c r="O5" s="159" t="s">
        <v>246</v>
      </c>
      <c r="P5" s="161" t="s">
        <v>247</v>
      </c>
      <c r="Q5" s="162" t="s">
        <v>248</v>
      </c>
      <c r="R5" s="163" t="s">
        <v>249</v>
      </c>
      <c r="S5" s="2460" t="s">
        <v>2553</v>
      </c>
      <c r="T5" s="164" t="s">
        <v>250</v>
      </c>
      <c r="U5" s="165" t="s">
        <v>251</v>
      </c>
      <c r="V5" s="155" t="s">
        <v>252</v>
      </c>
      <c r="W5" s="155" t="s">
        <v>253</v>
      </c>
      <c r="X5" s="1728"/>
      <c r="Y5" s="166" t="s">
        <v>254</v>
      </c>
      <c r="Z5" s="167" t="s">
        <v>255</v>
      </c>
      <c r="AA5" s="155" t="s">
        <v>252</v>
      </c>
      <c r="AB5" s="155" t="s">
        <v>253</v>
      </c>
      <c r="AC5" s="1729"/>
      <c r="AD5" s="168" t="s">
        <v>254</v>
      </c>
      <c r="AE5" s="1" t="s">
        <v>862</v>
      </c>
      <c r="AF5" s="155" t="s">
        <v>256</v>
      </c>
      <c r="AG5" s="166" t="s">
        <v>257</v>
      </c>
      <c r="AH5" s="1729" t="s">
        <v>2310</v>
      </c>
      <c r="AI5" s="167" t="s">
        <v>2279</v>
      </c>
      <c r="AJ5" s="167" t="s">
        <v>258</v>
      </c>
      <c r="AK5" s="155" t="s">
        <v>259</v>
      </c>
      <c r="AL5" s="155" t="s">
        <v>260</v>
      </c>
      <c r="AM5" s="168" t="s">
        <v>261</v>
      </c>
      <c r="AN5" s="2241" t="s">
        <v>2357</v>
      </c>
      <c r="AO5" s="3097"/>
      <c r="AP5" s="3082" t="s">
        <v>2968</v>
      </c>
      <c r="AQ5" s="3097"/>
      <c r="AR5" s="3097"/>
      <c r="AS5" s="3097"/>
      <c r="AT5" s="3097"/>
      <c r="AU5" s="3097"/>
      <c r="AV5" s="3097"/>
      <c r="AW5" s="3097"/>
      <c r="AX5" s="3097"/>
      <c r="AY5" s="3097"/>
      <c r="AZ5" s="3097"/>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7" customFormat="1" ht="14.25">
      <c r="A6" s="2177" t="str">
        <f>'数据-汇总表'!C19</f>
        <v>地上住宅</v>
      </c>
      <c r="B6" s="2212" t="str">
        <f>IF(A6=0,"","经营性")</f>
        <v>经营性</v>
      </c>
      <c r="C6" s="169" t="s">
        <v>914</v>
      </c>
      <c r="D6" s="2183">
        <f>SUMIF(项目基本情况!D$15:I$15,C6,项目基本情况!D$18:I$18)</f>
        <v>70</v>
      </c>
      <c r="E6" s="2184">
        <f>IF(B6="","",SUMIF(项目基本情况!D$15:I$15,C6,项目基本情况!D$17:I$17))</f>
        <v>63808</v>
      </c>
      <c r="F6" s="170">
        <f>SUMIF(项目基本情况!D$15:I$15,C6,项目基本情况!D$19:I$19)</f>
        <v>53.13</v>
      </c>
      <c r="G6" s="171">
        <f>IF(ISERROR(ROUND(POWER(1+H6,D6-F6)*(POWER(1+H6,F6)-1)/(POWER(1+H6,D6)-1),3)),0,ROUND(POWER(1+H6,D6-F6)*(POWER(1+H6,F6)-1)/(POWER(1+H6,D6)-1),3))</f>
        <v>0.94699999999999995</v>
      </c>
      <c r="H6" s="2732">
        <v>4.4999999999999998E-2</v>
      </c>
      <c r="I6" s="2732">
        <v>4.4999999999999998E-2</v>
      </c>
      <c r="J6" s="172">
        <v>8.5000000000000006E-2</v>
      </c>
      <c r="K6" s="175">
        <f>SUMIF('数据-汇总表'!C$19:C$33,'数据-取费表'!A6,'数据-汇总表'!E$19:E$33)</f>
        <v>51607.64</v>
      </c>
      <c r="L6" s="2733">
        <v>5500</v>
      </c>
      <c r="M6" s="173">
        <f t="shared" ref="M6:M14" si="0">ROUND(K6*L6/10000,0)</f>
        <v>28384</v>
      </c>
      <c r="N6" s="2734">
        <v>0</v>
      </c>
      <c r="O6" s="173">
        <f>IF($N$5="成新度","——",ROUND(M6*N6,0))</f>
        <v>0</v>
      </c>
      <c r="P6" s="174">
        <f>IF($N$5="成新度","——",M6-O6)</f>
        <v>28384</v>
      </c>
      <c r="Q6" s="2735">
        <v>0.25</v>
      </c>
      <c r="R6" s="175">
        <f>SUMIF('数据-汇总表'!C$19:C$33,A6,'数据-汇总表'!R$19:R$33)</f>
        <v>27477.809999999998</v>
      </c>
      <c r="S6" s="132">
        <f>IF('数据-汇总表'!$I$17="按面积比例",SUMIF('数据-汇总表'!C$19:C$33,A6,'数据-汇总表'!K$19:K$33),SUMIF('数据-汇总表'!C$19:C$33,A6,'数据-汇总表'!N$19:N$33))</f>
        <v>3631.83</v>
      </c>
      <c r="T6" s="2109">
        <f>IF($T$4="按面积比例",IF(ISERROR(ROUND($M$14*S6/S$16,0)),"0",ROUND($M$14*S6/S$16,0)),"需自行计算录入")</f>
        <v>0</v>
      </c>
      <c r="U6" s="176"/>
      <c r="V6" s="177"/>
      <c r="W6" s="177"/>
      <c r="X6" s="2196"/>
      <c r="Y6" s="178"/>
      <c r="Z6" s="179"/>
      <c r="AA6" s="172"/>
      <c r="AB6" s="172"/>
      <c r="AC6" s="2199"/>
      <c r="AD6" s="180"/>
      <c r="AE6" s="958">
        <f ca="1">IF(AN6="",0,SUMIF(INDIRECT("'"&amp;AN6&amp;"'"&amp;"!E:E"),$AE$5,INDIRECT("'"&amp;AN6&amp;"'"&amp;"!F:F")))</f>
        <v>0</v>
      </c>
      <c r="AF6" s="138"/>
      <c r="AG6" s="1194">
        <f>IF(AF6="",0,AE6-AF6)</f>
        <v>0</v>
      </c>
      <c r="AH6" s="138"/>
      <c r="AI6" s="183"/>
      <c r="AJ6" s="184"/>
      <c r="AK6" s="185">
        <v>0.02</v>
      </c>
      <c r="AL6" s="186">
        <v>2E-3</v>
      </c>
      <c r="AM6" s="2746">
        <v>0.02</v>
      </c>
      <c r="AN6" s="2242"/>
      <c r="AO6" s="3086"/>
      <c r="AP6" s="1185">
        <f>ROUND(1-1/(1+H6)^F6,3)</f>
        <v>0.90400000000000003</v>
      </c>
      <c r="AQ6" s="3086"/>
      <c r="AR6" s="3086"/>
      <c r="AS6" s="3086"/>
      <c r="AT6" s="3086"/>
      <c r="AU6" s="3086"/>
      <c r="AV6" s="3086"/>
      <c r="AW6" s="3086"/>
      <c r="AX6" s="3086"/>
      <c r="AY6" s="3086"/>
      <c r="AZ6" s="3086"/>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7" customFormat="1" ht="14.25">
      <c r="A7" s="2177" t="str">
        <f>'数据-汇总表'!C20</f>
        <v>地上商业</v>
      </c>
      <c r="B7" s="2212" t="str">
        <f t="shared" ref="B7:B13" si="1">IF(A7=0,"","经营性")</f>
        <v>经营性</v>
      </c>
      <c r="C7" s="169" t="s">
        <v>2998</v>
      </c>
      <c r="D7" s="2183">
        <f>SUMIF(项目基本情况!D$15:I$15,C7,项目基本情况!D$18:I$18)</f>
        <v>40</v>
      </c>
      <c r="E7" s="2184">
        <f>IF(B7="","",SUMIF(项目基本情况!D$15:I$15,C7,项目基本情况!D$17:I$17))</f>
        <v>52851</v>
      </c>
      <c r="F7" s="170">
        <f>SUMIF(项目基本情况!D$15:I$15,C7,项目基本情况!D$19:I$19)</f>
        <v>23.12</v>
      </c>
      <c r="G7" s="171">
        <f t="shared" ref="G7:G11" si="2">IF(ISERROR(ROUND(POWER(1+H7,D7-F7)*(POWER(1+H7,F7)-1)/(POWER(1+H7,D7)-1),3)),0,ROUND(POWER(1+H7,D7-F7)*(POWER(1+H7,F7)-1)/(POWER(1+H7,D7)-1),3))</f>
        <v>0.77100000000000002</v>
      </c>
      <c r="H7" s="2732">
        <v>4.4999999999999998E-2</v>
      </c>
      <c r="I7" s="2732">
        <v>4.4999999999999998E-2</v>
      </c>
      <c r="J7" s="172">
        <v>8.5000000000000006E-2</v>
      </c>
      <c r="K7" s="175">
        <f>SUMIF('数据-汇总表'!C$19:C$33,'数据-取费表'!A7,'数据-汇总表'!E$19:E$33)</f>
        <v>6455.06</v>
      </c>
      <c r="L7" s="2733">
        <v>4000</v>
      </c>
      <c r="M7" s="173">
        <f t="shared" si="0"/>
        <v>2582</v>
      </c>
      <c r="N7" s="2734">
        <v>0</v>
      </c>
      <c r="O7" s="173">
        <f t="shared" ref="O7:O14" si="3">IF($N$5="成新度","——",ROUND(M7*N7,0))</f>
        <v>0</v>
      </c>
      <c r="P7" s="174">
        <f t="shared" ref="P7:P14" si="4">IF($N$5="成新度","——",M7-O7)</f>
        <v>2582</v>
      </c>
      <c r="Q7" s="2735">
        <v>0.25</v>
      </c>
      <c r="R7" s="175">
        <f>SUMIF('数据-汇总表'!C$19:C$33,A7,'数据-汇总表'!R$19:R$33)</f>
        <v>3436.9199999999996</v>
      </c>
      <c r="S7" s="132">
        <f>IF('数据-汇总表'!$I$17="按面积比例",SUMIF('数据-汇总表'!C$19:C$33,A7,'数据-汇总表'!K$19:K$33),SUMIF('数据-汇总表'!C$19:C$33,A7,'数据-汇总表'!N$19:N$33))</f>
        <v>454.27</v>
      </c>
      <c r="T7" s="2109">
        <f t="shared" ref="T7:T13" si="5">IF($T$4="按面积比例",IF(ISERROR(ROUND($M$14*S7/S$16,0)),"0",ROUND($M$14*S7/S$16,0)),"需自行计算录入")</f>
        <v>0</v>
      </c>
      <c r="U7" s="176"/>
      <c r="V7" s="177"/>
      <c r="W7" s="177"/>
      <c r="X7" s="2196"/>
      <c r="Y7" s="178"/>
      <c r="Z7" s="179"/>
      <c r="AA7" s="172"/>
      <c r="AB7" s="172"/>
      <c r="AC7" s="2199"/>
      <c r="AD7" s="180"/>
      <c r="AE7" s="958">
        <f t="shared" ref="AE7:AE13" ca="1" si="6">IF(AN7="",0,SUMIF(INDIRECT("'"&amp;AN7&amp;"'"&amp;"!E:E"),$AE$5,INDIRECT("'"&amp;AN7&amp;"'"&amp;"!F:F")))</f>
        <v>0</v>
      </c>
      <c r="AF7" s="138"/>
      <c r="AG7" s="1194">
        <f t="shared" ref="AG7:AG13" si="7">IF(AF7="",0,AE7-AF7)</f>
        <v>0</v>
      </c>
      <c r="AH7" s="138"/>
      <c r="AI7" s="183"/>
      <c r="AJ7" s="184"/>
      <c r="AK7" s="185">
        <v>0.02</v>
      </c>
      <c r="AL7" s="186">
        <v>2E-3</v>
      </c>
      <c r="AM7" s="2746">
        <v>0.02</v>
      </c>
      <c r="AN7" s="2242"/>
      <c r="AO7" s="3086"/>
      <c r="AP7" s="1185">
        <f t="shared" ref="AP7:AP13" si="8">ROUND(1-1/(1+H7)^F7,3)</f>
        <v>0.63900000000000001</v>
      </c>
      <c r="AQ7" s="3086"/>
      <c r="AR7" s="3086"/>
      <c r="AS7" s="3086"/>
      <c r="AT7" s="3086"/>
      <c r="AU7" s="3086"/>
      <c r="AV7" s="3086"/>
      <c r="AW7" s="3086"/>
      <c r="AX7" s="3086"/>
      <c r="AY7" s="3086"/>
      <c r="AZ7" s="3086"/>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7" customFormat="1" ht="14.25">
      <c r="A8" s="2177" t="str">
        <f>'数据-汇总表'!C21</f>
        <v>地上办公</v>
      </c>
      <c r="B8" s="2212" t="str">
        <f t="shared" si="1"/>
        <v>经营性</v>
      </c>
      <c r="C8" s="169" t="s">
        <v>1667</v>
      </c>
      <c r="D8" s="2183">
        <f>SUMIF(项目基本情况!D$15:I$15,C8,项目基本情况!D$18:I$18)</f>
        <v>50</v>
      </c>
      <c r="E8" s="2184">
        <f>IF(B8="","",SUMIF(项目基本情况!D$15:I$15,C8,项目基本情况!D$17:I$17))</f>
        <v>62824</v>
      </c>
      <c r="F8" s="170">
        <f>SUMIF(项目基本情况!D$15:I$15,C8,项目基本情况!D$19:I$19)</f>
        <v>50</v>
      </c>
      <c r="G8" s="171">
        <f t="shared" si="2"/>
        <v>1</v>
      </c>
      <c r="H8" s="2732">
        <v>0.04</v>
      </c>
      <c r="I8" s="2732">
        <v>0.04</v>
      </c>
      <c r="J8" s="172">
        <v>0.08</v>
      </c>
      <c r="K8" s="3455">
        <f>面积信息!F5</f>
        <v>101.68</v>
      </c>
      <c r="L8" s="2733">
        <v>4000</v>
      </c>
      <c r="M8" s="173">
        <f>ROUND(K8*L8/10000,0)</f>
        <v>41</v>
      </c>
      <c r="N8" s="2734">
        <v>0</v>
      </c>
      <c r="O8" s="173">
        <f t="shared" si="3"/>
        <v>0</v>
      </c>
      <c r="P8" s="174">
        <f t="shared" si="4"/>
        <v>41</v>
      </c>
      <c r="Q8" s="2735">
        <v>0.2</v>
      </c>
      <c r="R8" s="175">
        <f>SUMIF('数据-汇总表'!C$19:C$33,A8,'数据-汇总表'!R$19:R$33)</f>
        <v>4494.99</v>
      </c>
      <c r="S8" s="132">
        <f>IF('数据-汇总表'!$I$17="按面积比例",SUMIF('数据-汇总表'!C$19:C$33,A8,'数据-汇总表'!K$19:K$33),SUMIF('数据-汇总表'!C$19:C$33,A8,'数据-汇总表'!N$19:N$33))</f>
        <v>594.12</v>
      </c>
      <c r="T8" s="2109">
        <f t="shared" si="5"/>
        <v>0</v>
      </c>
      <c r="U8" s="176"/>
      <c r="V8" s="177"/>
      <c r="W8" s="177"/>
      <c r="X8" s="2196"/>
      <c r="Y8" s="178"/>
      <c r="Z8" s="179"/>
      <c r="AA8" s="172"/>
      <c r="AB8" s="172"/>
      <c r="AC8" s="2199"/>
      <c r="AD8" s="180"/>
      <c r="AE8" s="958">
        <f t="shared" ca="1" si="6"/>
        <v>0</v>
      </c>
      <c r="AF8" s="138"/>
      <c r="AG8" s="1194">
        <f t="shared" si="7"/>
        <v>0</v>
      </c>
      <c r="AH8" s="138"/>
      <c r="AI8" s="183"/>
      <c r="AJ8" s="184"/>
      <c r="AK8" s="185">
        <v>0.02</v>
      </c>
      <c r="AL8" s="186">
        <v>2E-3</v>
      </c>
      <c r="AM8" s="2746">
        <v>0.02</v>
      </c>
      <c r="AN8" s="2242"/>
      <c r="AO8" s="3086"/>
      <c r="AP8" s="1185">
        <f t="shared" si="8"/>
        <v>0.85899999999999999</v>
      </c>
      <c r="AQ8" s="3086"/>
      <c r="AR8" s="3086"/>
      <c r="AS8" s="3086"/>
      <c r="AT8" s="3086"/>
      <c r="AU8" s="3086"/>
      <c r="AV8" s="3086"/>
      <c r="AW8" s="3086"/>
      <c r="AX8" s="3086"/>
      <c r="AY8" s="3086"/>
      <c r="AZ8" s="3086"/>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7" customFormat="1" ht="14.25">
      <c r="A9" s="2177" t="str">
        <f>'数据-汇总表'!C22</f>
        <v>地下一层商业</v>
      </c>
      <c r="B9" s="2212" t="str">
        <f t="shared" si="1"/>
        <v>经营性</v>
      </c>
      <c r="C9" s="169" t="s">
        <v>1667</v>
      </c>
      <c r="D9" s="2183">
        <f>SUMIF(项目基本情况!D$15:I$15,C9,项目基本情况!D$18:I$18)</f>
        <v>50</v>
      </c>
      <c r="E9" s="2184">
        <f>IF(B9="","",SUMIF(项目基本情况!D$15:I$15,C9,项目基本情况!D$17:I$17))</f>
        <v>62824</v>
      </c>
      <c r="F9" s="170">
        <f>SUMIF(项目基本情况!D$15:I$15,C9,项目基本情况!D$19:I$19)</f>
        <v>50</v>
      </c>
      <c r="G9" s="171">
        <f t="shared" si="2"/>
        <v>1</v>
      </c>
      <c r="H9" s="2732">
        <v>0.04</v>
      </c>
      <c r="I9" s="2732">
        <v>0.04</v>
      </c>
      <c r="J9" s="172">
        <v>0.08</v>
      </c>
      <c r="K9" s="175">
        <f>SUMIF('数据-汇总表'!C$19:C$33,'数据-取费表'!A9,'数据-汇总表'!E$19:E$33)</f>
        <v>3073.38</v>
      </c>
      <c r="L9" s="189">
        <v>0</v>
      </c>
      <c r="M9" s="173">
        <f t="shared" si="0"/>
        <v>0</v>
      </c>
      <c r="N9" s="190">
        <v>0</v>
      </c>
      <c r="O9" s="173">
        <f t="shared" si="3"/>
        <v>0</v>
      </c>
      <c r="P9" s="174">
        <f t="shared" si="4"/>
        <v>0</v>
      </c>
      <c r="Q9" s="188">
        <v>0</v>
      </c>
      <c r="R9" s="175">
        <f>SUMIF('数据-汇总表'!C$19:C$33,A9,'数据-汇总表'!R$19:R$33)</f>
        <v>1636.3799999999999</v>
      </c>
      <c r="S9" s="132">
        <f>IF('数据-汇总表'!$I$17="按面积比例",SUMIF('数据-汇总表'!C$19:C$33,A9,'数据-汇总表'!K$19:K$33),SUMIF('数据-汇总表'!C$19:C$33,A9,'数据-汇总表'!N$19:N$33))</f>
        <v>216.29</v>
      </c>
      <c r="T9" s="2109">
        <f t="shared" si="5"/>
        <v>0</v>
      </c>
      <c r="U9" s="176"/>
      <c r="V9" s="177"/>
      <c r="W9" s="177"/>
      <c r="X9" s="2196"/>
      <c r="Y9" s="178"/>
      <c r="Z9" s="179"/>
      <c r="AA9" s="172"/>
      <c r="AB9" s="172"/>
      <c r="AC9" s="2199"/>
      <c r="AD9" s="180"/>
      <c r="AE9" s="958">
        <f t="shared" ca="1" si="6"/>
        <v>0</v>
      </c>
      <c r="AF9" s="138"/>
      <c r="AG9" s="1194">
        <f t="shared" si="7"/>
        <v>0</v>
      </c>
      <c r="AH9" s="138"/>
      <c r="AI9" s="183"/>
      <c r="AJ9" s="184"/>
      <c r="AK9" s="185">
        <v>0.02</v>
      </c>
      <c r="AL9" s="186">
        <v>2E-3</v>
      </c>
      <c r="AM9" s="2746">
        <v>0.02</v>
      </c>
      <c r="AN9" s="2242"/>
      <c r="AO9" s="3086"/>
      <c r="AP9" s="1185">
        <f t="shared" si="8"/>
        <v>0.85899999999999999</v>
      </c>
      <c r="AQ9" s="3086"/>
      <c r="AR9" s="3086"/>
      <c r="AS9" s="3086"/>
      <c r="AT9" s="3086"/>
      <c r="AU9" s="3086"/>
      <c r="AV9" s="3086"/>
      <c r="AW9" s="3086"/>
      <c r="AX9" s="3086"/>
      <c r="AY9" s="3086"/>
      <c r="AZ9" s="3086"/>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7" customFormat="1" ht="14.25">
      <c r="A10" s="2177" t="str">
        <f>'数据-汇总表'!C23</f>
        <v>地下二层商业</v>
      </c>
      <c r="B10" s="2212" t="str">
        <f t="shared" si="1"/>
        <v>经营性</v>
      </c>
      <c r="C10" s="169" t="s">
        <v>2999</v>
      </c>
      <c r="D10" s="2183">
        <f>SUMIF(项目基本情况!D$15:I$15,C10,项目基本情况!D$18:I$18)</f>
        <v>50</v>
      </c>
      <c r="E10" s="2184">
        <f>IF(B10="","",SUMIF(项目基本情况!D$15:I$15,C10,项目基本情况!D$17:I$17))</f>
        <v>56503</v>
      </c>
      <c r="F10" s="170">
        <f>SUMIF(项目基本情况!D$15:I$15,C10,项目基本情况!D$19:I$19)</f>
        <v>33.119999999999997</v>
      </c>
      <c r="G10" s="171">
        <f t="shared" si="2"/>
        <v>0.84599999999999997</v>
      </c>
      <c r="H10" s="2732">
        <v>0.04</v>
      </c>
      <c r="I10" s="2732">
        <v>0.04</v>
      </c>
      <c r="J10" s="172">
        <v>0.08</v>
      </c>
      <c r="K10" s="175">
        <f>SUMIF('数据-汇总表'!C$19:C$33,'数据-取费表'!A10,'数据-汇总表'!E$19:E$33)</f>
        <v>360.7</v>
      </c>
      <c r="L10" s="189">
        <v>0</v>
      </c>
      <c r="M10" s="173">
        <f t="shared" si="0"/>
        <v>0</v>
      </c>
      <c r="N10" s="190">
        <v>0</v>
      </c>
      <c r="O10" s="173">
        <f t="shared" si="3"/>
        <v>0</v>
      </c>
      <c r="P10" s="174">
        <f t="shared" si="4"/>
        <v>0</v>
      </c>
      <c r="Q10" s="188">
        <v>0</v>
      </c>
      <c r="R10" s="175">
        <f>SUMIF('数据-汇总表'!C$19:C$33,A10,'数据-汇总表'!R$19:R$33)</f>
        <v>192.04</v>
      </c>
      <c r="S10" s="132">
        <f>IF('数据-汇总表'!$I$17="按面积比例",SUMIF('数据-汇总表'!C$19:C$33,A10,'数据-汇总表'!K$19:K$33),SUMIF('数据-汇总表'!C$19:C$33,A10,'数据-汇总表'!N$19:N$33))</f>
        <v>25.38</v>
      </c>
      <c r="T10" s="2109">
        <f t="shared" si="5"/>
        <v>0</v>
      </c>
      <c r="U10" s="176"/>
      <c r="V10" s="177"/>
      <c r="W10" s="177"/>
      <c r="X10" s="2196"/>
      <c r="Y10" s="178"/>
      <c r="Z10" s="179"/>
      <c r="AA10" s="172"/>
      <c r="AB10" s="172"/>
      <c r="AC10" s="2199"/>
      <c r="AD10" s="180"/>
      <c r="AE10" s="958">
        <f t="shared" ca="1" si="6"/>
        <v>0</v>
      </c>
      <c r="AF10" s="138"/>
      <c r="AG10" s="1194">
        <f t="shared" si="7"/>
        <v>0</v>
      </c>
      <c r="AH10" s="138"/>
      <c r="AI10" s="183"/>
      <c r="AJ10" s="184"/>
      <c r="AK10" s="185">
        <v>0.02</v>
      </c>
      <c r="AL10" s="186">
        <v>2E-3</v>
      </c>
      <c r="AM10" s="2746">
        <v>0.02</v>
      </c>
      <c r="AN10" s="2242"/>
      <c r="AO10" s="3086"/>
      <c r="AP10" s="1185">
        <f t="shared" si="8"/>
        <v>0.72699999999999998</v>
      </c>
      <c r="AQ10" s="3086"/>
      <c r="AR10" s="3086"/>
      <c r="AS10" s="3086"/>
      <c r="AT10" s="3086"/>
      <c r="AU10" s="3086"/>
      <c r="AV10" s="3086"/>
      <c r="AW10" s="3086"/>
      <c r="AX10" s="3086"/>
      <c r="AY10" s="3086"/>
      <c r="AZ10" s="3086"/>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7" customFormat="1" ht="14.25">
      <c r="A11" s="2177" t="str">
        <f>'数据-汇总表'!C24</f>
        <v>地下仓储-住宅</v>
      </c>
      <c r="B11" s="2212" t="str">
        <f t="shared" si="1"/>
        <v>经营性</v>
      </c>
      <c r="C11" s="169"/>
      <c r="D11" s="2183">
        <f>SUMIF(项目基本情况!D$15:I$15,C11,项目基本情况!D$18:I$18)</f>
        <v>0</v>
      </c>
      <c r="E11" s="2184">
        <f>IF(B11="","",SUMIF(项目基本情况!D$15:I$15,C11,项目基本情况!D$17:I$17))</f>
        <v>0</v>
      </c>
      <c r="F11" s="170">
        <f>SUMIF(项目基本情况!D$15:I$15,C11,项目基本情况!D$19:I$19)</f>
        <v>0</v>
      </c>
      <c r="G11" s="171">
        <f t="shared" si="2"/>
        <v>0</v>
      </c>
      <c r="H11" s="172"/>
      <c r="I11" s="172"/>
      <c r="J11" s="172"/>
      <c r="K11" s="175">
        <f>SUMIF('数据-汇总表'!C$19:C$33,'数据-取费表'!A11,'数据-汇总表'!E$19:E$33)</f>
        <v>19599.32</v>
      </c>
      <c r="L11" s="189"/>
      <c r="M11" s="173">
        <f t="shared" si="0"/>
        <v>0</v>
      </c>
      <c r="N11" s="190"/>
      <c r="O11" s="173">
        <f t="shared" si="3"/>
        <v>0</v>
      </c>
      <c r="P11" s="174">
        <f t="shared" si="4"/>
        <v>0</v>
      </c>
      <c r="Q11" s="188"/>
      <c r="R11" s="175">
        <f>SUMIF('数据-汇总表'!C$19:C$33,A11,'数据-汇总表'!R$19:R$33)</f>
        <v>10435.4</v>
      </c>
      <c r="S11" s="132">
        <f>IF('数据-汇总表'!$I$17="按面积比例",SUMIF('数据-汇总表'!C$19:C$33,A11,'数据-汇总表'!K$19:K$33),SUMIF('数据-汇总表'!C$19:C$33,A11,'数据-汇总表'!N$19:N$33))</f>
        <v>1379.28</v>
      </c>
      <c r="T11" s="2109">
        <f t="shared" si="5"/>
        <v>0</v>
      </c>
      <c r="U11" s="181"/>
      <c r="V11" s="172"/>
      <c r="W11" s="172"/>
      <c r="X11" s="2199"/>
      <c r="Y11" s="178"/>
      <c r="Z11" s="191"/>
      <c r="AA11" s="172"/>
      <c r="AB11" s="172"/>
      <c r="AC11" s="2199"/>
      <c r="AD11" s="180"/>
      <c r="AE11" s="958">
        <f t="shared" ca="1" si="6"/>
        <v>0</v>
      </c>
      <c r="AF11" s="138"/>
      <c r="AG11" s="1194">
        <f t="shared" si="7"/>
        <v>0</v>
      </c>
      <c r="AH11" s="138"/>
      <c r="AI11" s="183"/>
      <c r="AJ11" s="184"/>
      <c r="AK11" s="192"/>
      <c r="AL11" s="193"/>
      <c r="AM11" s="1727"/>
      <c r="AN11" s="2242"/>
      <c r="AO11" s="3086"/>
      <c r="AP11" s="1185">
        <f t="shared" si="8"/>
        <v>0</v>
      </c>
      <c r="AQ11" s="3086"/>
      <c r="AR11" s="3086"/>
      <c r="AS11" s="3086"/>
      <c r="AT11" s="3086"/>
      <c r="AU11" s="3086"/>
      <c r="AV11" s="3086"/>
      <c r="AW11" s="3086"/>
      <c r="AX11" s="3086"/>
      <c r="AY11" s="3086"/>
      <c r="AZ11" s="3086"/>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7" customFormat="1" ht="14.25">
      <c r="A12" s="2177" t="str">
        <f>'数据-汇总表'!C25</f>
        <v>地下仓储-商业</v>
      </c>
      <c r="B12" s="2212" t="str">
        <f t="shared" si="1"/>
        <v>经营性</v>
      </c>
      <c r="C12" s="169"/>
      <c r="D12" s="2183">
        <f>SUMIF(项目基本情况!D$15:I$15,C12,项目基本情况!D$18:I$18)</f>
        <v>0</v>
      </c>
      <c r="E12" s="2184">
        <f>IF(B12="","",SUMIF(项目基本情况!D$15:I$15,C12,项目基本情况!D$17:I$17))</f>
        <v>0</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644.80999999999995</v>
      </c>
      <c r="L12" s="189"/>
      <c r="M12" s="173">
        <f>ROUND(K12*L12/10000,0)</f>
        <v>0</v>
      </c>
      <c r="N12" s="190"/>
      <c r="O12" s="173">
        <f t="shared" si="3"/>
        <v>0</v>
      </c>
      <c r="P12" s="174">
        <f t="shared" si="4"/>
        <v>0</v>
      </c>
      <c r="Q12" s="188"/>
      <c r="R12" s="175">
        <f>SUMIF('数据-汇总表'!C$19:C$33,A12,'数据-汇总表'!R$19:R$33)</f>
        <v>343.32</v>
      </c>
      <c r="S12" s="132">
        <f>IF('数据-汇总表'!$I$17="按面积比例",SUMIF('数据-汇总表'!C$19:C$33,A12,'数据-汇总表'!K$19:K$33),SUMIF('数据-汇总表'!C$19:C$33,A12,'数据-汇总表'!N$19:N$33))</f>
        <v>45.38</v>
      </c>
      <c r="T12" s="2109">
        <f t="shared" si="5"/>
        <v>0</v>
      </c>
      <c r="U12" s="181"/>
      <c r="V12" s="172"/>
      <c r="W12" s="172"/>
      <c r="X12" s="2199"/>
      <c r="Y12" s="178"/>
      <c r="Z12" s="191"/>
      <c r="AA12" s="172"/>
      <c r="AB12" s="172"/>
      <c r="AC12" s="2199"/>
      <c r="AD12" s="180"/>
      <c r="AE12" s="958">
        <f t="shared" ca="1" si="6"/>
        <v>0</v>
      </c>
      <c r="AF12" s="138"/>
      <c r="AG12" s="1194">
        <f t="shared" si="7"/>
        <v>0</v>
      </c>
      <c r="AH12" s="138"/>
      <c r="AI12" s="183"/>
      <c r="AJ12" s="184"/>
      <c r="AK12" s="192"/>
      <c r="AL12" s="193"/>
      <c r="AM12" s="1727"/>
      <c r="AN12" s="2242"/>
      <c r="AO12" s="3086"/>
      <c r="AP12" s="1185">
        <f t="shared" si="8"/>
        <v>0</v>
      </c>
      <c r="AQ12" s="3086"/>
      <c r="AR12" s="3086"/>
      <c r="AS12" s="3086"/>
      <c r="AT12" s="3086"/>
      <c r="AU12" s="3086"/>
      <c r="AV12" s="3086"/>
      <c r="AW12" s="3086"/>
      <c r="AX12" s="3086"/>
      <c r="AY12" s="3086"/>
      <c r="AZ12" s="3086"/>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7" customFormat="1" ht="14.25">
      <c r="A13" s="2177" t="str">
        <f>'数据-汇总表'!C26</f>
        <v>地下车库</v>
      </c>
      <c r="B13" s="2212" t="str">
        <f t="shared" si="1"/>
        <v>经营性</v>
      </c>
      <c r="C13" s="169"/>
      <c r="D13" s="2183">
        <f>SUMIF(项目基本情况!D$15:I$15,C13,项目基本情况!D$18:I$18)</f>
        <v>0</v>
      </c>
      <c r="E13" s="2184">
        <f>IF(B13="","",SUMIF(项目基本情况!D$15:I$15,C13,项目基本情况!D$17:I$17))</f>
        <v>0</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23373.33</v>
      </c>
      <c r="L13" s="189"/>
      <c r="M13" s="173">
        <f>ROUND(K13*L13/10000,0)</f>
        <v>0</v>
      </c>
      <c r="N13" s="190"/>
      <c r="O13" s="173">
        <f t="shared" si="3"/>
        <v>0</v>
      </c>
      <c r="P13" s="174">
        <f t="shared" si="4"/>
        <v>0</v>
      </c>
      <c r="Q13" s="188"/>
      <c r="R13" s="175">
        <f>SUMIF('数据-汇总表'!C$19:C$33,A13,'数据-汇总表'!R$19:R$33)</f>
        <v>12444.82</v>
      </c>
      <c r="S13" s="132">
        <f>IF('数据-汇总表'!$I$17="按面积比例",SUMIF('数据-汇总表'!C$19:C$33,A13,'数据-汇总表'!K$19:K$33),SUMIF('数据-汇总表'!C$19:C$33,A13,'数据-汇总表'!N$19:N$33))</f>
        <v>1644.87</v>
      </c>
      <c r="T13" s="2109">
        <f t="shared" si="5"/>
        <v>0</v>
      </c>
      <c r="U13" s="176"/>
      <c r="V13" s="177"/>
      <c r="W13" s="177"/>
      <c r="X13" s="2196"/>
      <c r="Y13" s="178"/>
      <c r="Z13" s="179"/>
      <c r="AA13" s="172"/>
      <c r="AB13" s="172"/>
      <c r="AC13" s="2199"/>
      <c r="AD13" s="180"/>
      <c r="AE13" s="958">
        <f t="shared" ca="1" si="6"/>
        <v>0</v>
      </c>
      <c r="AF13" s="138"/>
      <c r="AG13" s="1194">
        <f t="shared" si="7"/>
        <v>0</v>
      </c>
      <c r="AH13" s="138"/>
      <c r="AI13" s="183"/>
      <c r="AJ13" s="184"/>
      <c r="AK13" s="185"/>
      <c r="AL13" s="186"/>
      <c r="AM13" s="2240"/>
      <c r="AN13" s="2242"/>
      <c r="AO13" s="3086"/>
      <c r="AP13" s="1185">
        <f t="shared" si="8"/>
        <v>0</v>
      </c>
      <c r="AQ13" s="3086"/>
      <c r="AR13" s="3086"/>
      <c r="AS13" s="3086"/>
      <c r="AT13" s="3086"/>
      <c r="AU13" s="3086"/>
      <c r="AV13" s="3086"/>
      <c r="AW13" s="3086"/>
      <c r="AX13" s="3086"/>
      <c r="AY13" s="3086"/>
      <c r="AZ13" s="3086"/>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7" customFormat="1" ht="14.25">
      <c r="A14" s="2178" t="s">
        <v>2301</v>
      </c>
      <c r="B14" s="2181" t="s">
        <v>1669</v>
      </c>
      <c r="C14" s="2182" t="s">
        <v>2301</v>
      </c>
      <c r="D14" s="2183"/>
      <c r="E14" s="2184"/>
      <c r="F14" s="170"/>
      <c r="G14" s="171"/>
      <c r="H14" s="2185"/>
      <c r="I14" s="2185"/>
      <c r="J14" s="2185"/>
      <c r="K14" s="175">
        <f>SUMIF('数据-汇总表'!C$19:C$33,'数据-取费表'!A14,'数据-汇总表'!E$19:E$33)</f>
        <v>7991.42</v>
      </c>
      <c r="L14" s="189"/>
      <c r="M14" s="173">
        <f t="shared" si="0"/>
        <v>0</v>
      </c>
      <c r="N14" s="190"/>
      <c r="O14" s="173">
        <f t="shared" si="3"/>
        <v>0</v>
      </c>
      <c r="P14" s="174">
        <f t="shared" si="4"/>
        <v>0</v>
      </c>
      <c r="Q14" s="2193"/>
      <c r="R14" s="175"/>
      <c r="S14" s="132"/>
      <c r="T14" s="2192"/>
      <c r="U14" s="960"/>
      <c r="V14" s="2195"/>
      <c r="W14" s="2195"/>
      <c r="X14" s="2196"/>
      <c r="Y14" s="2197"/>
      <c r="Z14" s="135"/>
      <c r="AA14" s="2198"/>
      <c r="AB14" s="2198"/>
      <c r="AC14" s="2199"/>
      <c r="AD14" s="2196"/>
      <c r="AE14" s="958"/>
      <c r="AF14" s="2171"/>
      <c r="AG14" s="1194"/>
      <c r="AH14" s="2171"/>
      <c r="AI14" s="1502"/>
      <c r="AJ14" s="1502"/>
      <c r="AK14" s="2200"/>
      <c r="AL14" s="2201"/>
      <c r="AM14" s="2202"/>
      <c r="AN14" s="3086"/>
      <c r="AO14" s="3086"/>
      <c r="AP14" s="3086"/>
      <c r="AQ14" s="3086"/>
      <c r="AR14" s="3086"/>
      <c r="AS14" s="3086"/>
      <c r="AT14" s="3086"/>
      <c r="AU14" s="3086"/>
      <c r="AV14" s="3086"/>
      <c r="AW14" s="3086"/>
      <c r="AX14" s="3086"/>
      <c r="AY14" s="3086"/>
      <c r="AZ14" s="3086"/>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7" customFormat="1" ht="27">
      <c r="A15" s="2187" t="s">
        <v>2303</v>
      </c>
      <c r="B15" s="2181" t="s">
        <v>1669</v>
      </c>
      <c r="C15" s="2182" t="s">
        <v>2302</v>
      </c>
      <c r="D15" s="2183"/>
      <c r="E15" s="2184"/>
      <c r="F15" s="170"/>
      <c r="G15" s="171"/>
      <c r="H15" s="2185"/>
      <c r="I15" s="2185"/>
      <c r="J15" s="2185"/>
      <c r="K15" s="175">
        <f>SUMIF('数据-汇总表'!C$19:C$33,'数据-取费表'!A15,'数据-汇总表'!E$19:E$33)</f>
        <v>0</v>
      </c>
      <c r="L15" s="2191"/>
      <c r="M15" s="173"/>
      <c r="N15" s="2194"/>
      <c r="O15" s="173"/>
      <c r="P15" s="174"/>
      <c r="Q15" s="2193"/>
      <c r="R15" s="175"/>
      <c r="S15" s="132"/>
      <c r="T15" s="2192"/>
      <c r="U15" s="960"/>
      <c r="V15" s="2195"/>
      <c r="W15" s="2195"/>
      <c r="X15" s="2196"/>
      <c r="Y15" s="2197"/>
      <c r="Z15" s="135"/>
      <c r="AA15" s="2198"/>
      <c r="AB15" s="2198"/>
      <c r="AC15" s="2199"/>
      <c r="AD15" s="2196"/>
      <c r="AE15" s="958"/>
      <c r="AF15" s="2171"/>
      <c r="AG15" s="1194"/>
      <c r="AH15" s="2171"/>
      <c r="AI15" s="1502"/>
      <c r="AJ15" s="1502"/>
      <c r="AK15" s="2200"/>
      <c r="AL15" s="2201"/>
      <c r="AM15" s="2202"/>
      <c r="AN15" s="3086"/>
      <c r="AO15" s="3086"/>
      <c r="AP15" s="3086"/>
      <c r="AQ15" s="3086"/>
      <c r="AR15" s="3086"/>
      <c r="AS15" s="3086"/>
      <c r="AT15" s="3086"/>
      <c r="AU15" s="3086"/>
      <c r="AV15" s="3086"/>
      <c r="AW15" s="3086"/>
      <c r="AX15" s="3086"/>
      <c r="AY15" s="3086"/>
      <c r="AZ15" s="3086"/>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7" customFormat="1" ht="15.75" thickBot="1">
      <c r="A16" s="194" t="s">
        <v>262</v>
      </c>
      <c r="B16" s="195"/>
      <c r="C16" s="196"/>
      <c r="D16" s="197"/>
      <c r="E16" s="195"/>
      <c r="F16" s="195"/>
      <c r="G16" s="198">
        <f>ROUND(SUMPRODUCT(G6:G13,K6:K13)/SUMPRODUCT((G6:G13&gt;0)*(K6:K13)),3)</f>
        <v>0.93100000000000005</v>
      </c>
      <c r="H16" s="199">
        <f>ROUND(SUMPRODUCT(H6:H13,K6:K13)/SUMPRODUCT((H6:H13&gt;0)*(K6:K13)),3)</f>
        <v>4.4999999999999998E-2</v>
      </c>
      <c r="I16" s="200"/>
      <c r="J16" s="200"/>
      <c r="K16" s="201">
        <f>SUM(K6:K15)</f>
        <v>113207.34</v>
      </c>
      <c r="L16" s="202">
        <f>ROUND(M16*10000/SUM(K6:K14),0)</f>
        <v>2739</v>
      </c>
      <c r="M16" s="202">
        <f>SUM(M6:M14)</f>
        <v>31007</v>
      </c>
      <c r="N16" s="203">
        <f>ROUND(SUMPRODUCT(M6:M14,N6:N14)/M16,3)</f>
        <v>0</v>
      </c>
      <c r="O16" s="202">
        <f>SUM(O6:O14)</f>
        <v>0</v>
      </c>
      <c r="P16" s="202">
        <f>SUM(P6:P14)</f>
        <v>31007</v>
      </c>
      <c r="Q16" s="204">
        <f>ROUND(SUMPRODUCT(Q6:Q13,K6:K13)/SUMPRODUCT((Q6:Q13&gt;0)*(K6:K13)),2)</f>
        <v>0.25</v>
      </c>
      <c r="R16" s="2186">
        <f>SUM(R6:R13)</f>
        <v>60461.679999999993</v>
      </c>
      <c r="S16" s="205">
        <f>SUM(S6:S13)</f>
        <v>7991.42</v>
      </c>
      <c r="T16" s="206">
        <f>IF(SUMIF(T6:T13,"&lt;9E307")=M14,SUMIF(T6:T13,"&lt;9E307"),"有误，请检查")</f>
        <v>0</v>
      </c>
      <c r="U16" s="207"/>
      <c r="V16" s="208"/>
      <c r="W16" s="208"/>
      <c r="X16" s="211"/>
      <c r="Y16" s="209"/>
      <c r="Z16" s="210"/>
      <c r="AA16" s="208"/>
      <c r="AB16" s="208"/>
      <c r="AC16" s="211"/>
      <c r="AD16" s="211"/>
      <c r="AE16" s="207"/>
      <c r="AF16" s="208"/>
      <c r="AG16" s="209"/>
      <c r="AH16" s="208"/>
      <c r="AI16" s="210"/>
      <c r="AJ16" s="210"/>
      <c r="AK16" s="208"/>
      <c r="AL16" s="208"/>
      <c r="AM16" s="209"/>
      <c r="AN16" s="3086"/>
      <c r="AO16" s="3086"/>
      <c r="AP16" s="1185">
        <f>ROUND(SUMPRODUCT(AP6:AP13,K6:K13)/SUMPRODUCT((AP6:AP13&gt;0)*(K6:K13)),3)</f>
        <v>0.873</v>
      </c>
      <c r="AQ16" s="3086"/>
      <c r="AR16" s="3086"/>
      <c r="AS16" s="3086"/>
      <c r="AT16" s="3086"/>
      <c r="AU16" s="3086"/>
      <c r="AV16" s="3086"/>
      <c r="AW16" s="3086"/>
      <c r="AX16" s="3086"/>
      <c r="AY16" s="3086"/>
      <c r="AZ16" s="3086"/>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5"/>
      <c r="B17" s="3083"/>
      <c r="C17" s="3083"/>
      <c r="D17" s="3084"/>
      <c r="E17" s="3084"/>
      <c r="F17" s="3083"/>
      <c r="G17" s="3083"/>
      <c r="H17" s="3083"/>
      <c r="I17" s="3083"/>
      <c r="J17" s="3083"/>
      <c r="K17" s="3085"/>
      <c r="L17" s="3085"/>
      <c r="M17" s="3083"/>
      <c r="N17" s="3083"/>
      <c r="O17" s="3083"/>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83"/>
      <c r="AS17" s="3083"/>
      <c r="AT17" s="3083"/>
      <c r="AU17" s="3083"/>
      <c r="AV17" s="3083"/>
      <c r="AW17" s="3083"/>
      <c r="AX17" s="3083"/>
      <c r="AY17" s="3083"/>
      <c r="AZ17" s="3083"/>
    </row>
    <row r="18" spans="1:83" ht="15" thickBot="1">
      <c r="A18" s="146" t="s">
        <v>263</v>
      </c>
      <c r="B18" s="3086"/>
      <c r="C18" s="3086"/>
      <c r="D18" s="3087"/>
      <c r="E18" s="3086"/>
      <c r="F18" s="3086"/>
      <c r="G18" s="3086"/>
      <c r="H18" s="3086"/>
      <c r="I18" s="3086"/>
      <c r="J18" s="3086"/>
      <c r="K18" s="3085"/>
      <c r="L18" s="3085"/>
      <c r="M18" s="3083"/>
      <c r="N18" s="3083"/>
      <c r="O18" s="3083"/>
      <c r="P18" s="3083"/>
      <c r="Q18" s="3083"/>
      <c r="R18" s="3083"/>
      <c r="S18" s="3083"/>
      <c r="T18" s="3083"/>
      <c r="U18" s="3083"/>
      <c r="V18" s="3083"/>
      <c r="W18" s="3083"/>
      <c r="X18" s="3083"/>
      <c r="Y18" s="3083"/>
      <c r="Z18" s="3083"/>
      <c r="AA18" s="3083"/>
      <c r="AB18" s="3083"/>
      <c r="AC18" s="3083"/>
      <c r="AD18" s="3083"/>
      <c r="AE18" s="3083"/>
      <c r="AF18" s="3083"/>
      <c r="AG18" s="3083"/>
      <c r="AH18" s="3083"/>
      <c r="AI18" s="3083"/>
      <c r="AJ18" s="3083"/>
      <c r="AK18" s="3083"/>
      <c r="AL18" s="3083"/>
      <c r="AM18" s="3083"/>
      <c r="AN18" s="3083"/>
      <c r="AO18" s="3083"/>
      <c r="AP18" s="3083"/>
      <c r="AQ18" s="3083"/>
      <c r="AR18" s="3083"/>
      <c r="AS18" s="3083"/>
      <c r="AT18" s="3083"/>
      <c r="AU18" s="3083"/>
      <c r="AV18" s="3083"/>
      <c r="AW18" s="3083"/>
      <c r="AX18" s="3083"/>
      <c r="AY18" s="3083"/>
      <c r="AZ18" s="3083"/>
    </row>
    <row r="19" spans="1:83" ht="14.25">
      <c r="A19" s="213" t="s">
        <v>264</v>
      </c>
      <c r="B19" s="214">
        <v>0</v>
      </c>
      <c r="C19" s="3098" t="s">
        <v>2981</v>
      </c>
      <c r="D19" s="3087"/>
      <c r="E19" s="3086"/>
      <c r="F19" s="3086"/>
      <c r="G19" s="3086"/>
      <c r="H19" s="3086"/>
      <c r="I19" s="3086"/>
      <c r="J19" s="3086"/>
      <c r="K19" s="3085"/>
      <c r="L19" s="3085"/>
      <c r="M19" s="3083"/>
      <c r="N19" s="3083"/>
      <c r="O19" s="3083"/>
      <c r="P19" s="3083"/>
      <c r="Q19" s="3083"/>
      <c r="R19" s="3083"/>
      <c r="S19" s="3083"/>
      <c r="T19" s="3083"/>
      <c r="U19" s="3083"/>
      <c r="V19" s="3083"/>
      <c r="W19" s="3083"/>
      <c r="X19" s="3083"/>
      <c r="Y19" s="3083"/>
      <c r="Z19" s="3083"/>
      <c r="AA19" s="3083"/>
      <c r="AB19" s="3083"/>
      <c r="AC19" s="3083"/>
      <c r="AD19" s="3083"/>
      <c r="AE19" s="3083"/>
      <c r="AF19" s="3083"/>
      <c r="AG19" s="3083"/>
      <c r="AH19" s="3083"/>
      <c r="AI19" s="3083"/>
      <c r="AJ19" s="3083"/>
      <c r="AK19" s="3083"/>
      <c r="AL19" s="3083"/>
      <c r="AM19" s="3083"/>
      <c r="AN19" s="3083"/>
      <c r="AO19" s="3083"/>
      <c r="AP19" s="3083"/>
      <c r="AQ19" s="3083"/>
      <c r="AR19" s="3083"/>
      <c r="AS19" s="3083"/>
      <c r="AT19" s="3083"/>
      <c r="AU19" s="3083"/>
      <c r="AV19" s="3083"/>
      <c r="AW19" s="3083"/>
      <c r="AX19" s="3083"/>
      <c r="AY19" s="3083"/>
      <c r="AZ19" s="3083"/>
    </row>
    <row r="20" spans="1:83" ht="14.25">
      <c r="A20" s="215" t="s">
        <v>265</v>
      </c>
      <c r="B20" s="216">
        <v>2</v>
      </c>
      <c r="C20" s="3098" t="s">
        <v>2322</v>
      </c>
      <c r="D20" s="3087"/>
      <c r="E20" s="3086"/>
      <c r="F20" s="3086"/>
      <c r="G20" s="3086"/>
      <c r="H20" s="3086"/>
      <c r="I20" s="3086"/>
      <c r="J20" s="3086"/>
      <c r="K20" s="3085"/>
      <c r="L20" s="3085"/>
      <c r="M20" s="3083"/>
      <c r="N20" s="3083"/>
      <c r="O20" s="3083"/>
      <c r="P20" s="3083"/>
      <c r="Q20" s="3083"/>
      <c r="R20" s="3083"/>
      <c r="S20" s="3083"/>
      <c r="T20" s="3083"/>
      <c r="U20" s="3083"/>
      <c r="V20" s="3083"/>
      <c r="W20" s="3083"/>
      <c r="X20" s="3083"/>
      <c r="Y20" s="3083"/>
      <c r="Z20" s="3083"/>
      <c r="AA20" s="3083"/>
      <c r="AB20" s="3083"/>
      <c r="AC20" s="3083"/>
      <c r="AD20" s="3083"/>
      <c r="AE20" s="3083"/>
      <c r="AF20" s="3083"/>
      <c r="AG20" s="3083"/>
      <c r="AH20" s="3083"/>
      <c r="AI20" s="3083"/>
      <c r="AJ20" s="3083"/>
      <c r="AK20" s="3083"/>
      <c r="AL20" s="3083"/>
      <c r="AM20" s="3083"/>
      <c r="AN20" s="3083"/>
      <c r="AO20" s="3083"/>
      <c r="AP20" s="3083"/>
      <c r="AQ20" s="3083"/>
      <c r="AR20" s="3083"/>
      <c r="AS20" s="3083"/>
      <c r="AT20" s="3083"/>
      <c r="AU20" s="3083"/>
      <c r="AV20" s="3083"/>
      <c r="AW20" s="3083"/>
      <c r="AX20" s="3083"/>
      <c r="AY20" s="3083"/>
      <c r="AZ20" s="3083"/>
    </row>
    <row r="21" spans="1:83" ht="14.25">
      <c r="A21" s="217" t="s">
        <v>266</v>
      </c>
      <c r="B21" s="216">
        <v>0</v>
      </c>
      <c r="C21" s="3086"/>
      <c r="D21" s="3087"/>
      <c r="E21" s="3086"/>
      <c r="F21" s="3086"/>
      <c r="G21" s="3086"/>
      <c r="H21" s="3086"/>
      <c r="I21" s="3086"/>
      <c r="J21" s="3086"/>
      <c r="K21" s="3085"/>
      <c r="L21" s="3085"/>
      <c r="M21" s="3083"/>
      <c r="N21" s="3083"/>
      <c r="O21" s="3083"/>
      <c r="P21" s="3083"/>
      <c r="Q21" s="3083"/>
      <c r="R21" s="3083"/>
      <c r="S21" s="3083"/>
      <c r="T21" s="3083"/>
      <c r="U21" s="3083"/>
      <c r="V21" s="3083"/>
      <c r="W21" s="3083"/>
      <c r="X21" s="3083"/>
      <c r="Y21" s="3083"/>
      <c r="Z21" s="3083"/>
      <c r="AA21" s="3083"/>
      <c r="AB21" s="3083"/>
      <c r="AC21" s="3083"/>
      <c r="AD21" s="3083"/>
      <c r="AE21" s="3083"/>
      <c r="AF21" s="3083"/>
      <c r="AG21" s="3083"/>
      <c r="AH21" s="3083"/>
      <c r="AI21" s="3083"/>
      <c r="AJ21" s="3083"/>
      <c r="AK21" s="3083"/>
      <c r="AL21" s="3083"/>
      <c r="AM21" s="3083"/>
      <c r="AN21" s="3083"/>
      <c r="AO21" s="3083"/>
      <c r="AP21" s="3083"/>
      <c r="AQ21" s="3083"/>
      <c r="AR21" s="3083"/>
      <c r="AS21" s="3083"/>
      <c r="AT21" s="3083"/>
      <c r="AU21" s="3083"/>
      <c r="AV21" s="3083"/>
      <c r="AW21" s="3083"/>
      <c r="AX21" s="3083"/>
      <c r="AY21" s="3083"/>
      <c r="AZ21" s="3083"/>
    </row>
    <row r="22" spans="1:83" ht="14.25">
      <c r="A22" s="215" t="s">
        <v>267</v>
      </c>
      <c r="B22" s="218">
        <f>B19+B20</f>
        <v>2</v>
      </c>
      <c r="C22" s="3086"/>
      <c r="D22" s="3087"/>
      <c r="E22" s="3086"/>
      <c r="F22" s="3086"/>
      <c r="G22" s="3086"/>
      <c r="H22" s="3086"/>
      <c r="I22" s="3086"/>
      <c r="J22" s="3086"/>
      <c r="K22" s="3085"/>
      <c r="L22" s="3085"/>
      <c r="M22" s="3083"/>
      <c r="N22" s="3083"/>
      <c r="O22" s="3083"/>
      <c r="P22" s="3083"/>
      <c r="Q22" s="3083"/>
      <c r="R22" s="3083"/>
      <c r="S22" s="3083"/>
      <c r="T22" s="3083"/>
      <c r="U22" s="3083"/>
      <c r="V22" s="3083"/>
      <c r="W22" s="3083"/>
      <c r="X22" s="3083"/>
      <c r="Y22" s="3083"/>
      <c r="Z22" s="3083"/>
      <c r="AA22" s="3083"/>
      <c r="AB22" s="3083"/>
      <c r="AC22" s="3083"/>
      <c r="AD22" s="3083"/>
      <c r="AE22" s="3083"/>
      <c r="AF22" s="3083"/>
      <c r="AG22" s="3083"/>
      <c r="AH22" s="3083"/>
      <c r="AI22" s="3083"/>
      <c r="AJ22" s="3083"/>
      <c r="AK22" s="3083"/>
      <c r="AL22" s="3083"/>
      <c r="AM22" s="3083"/>
      <c r="AN22" s="3083"/>
      <c r="AO22" s="3083"/>
      <c r="AP22" s="3083"/>
      <c r="AQ22" s="3083"/>
      <c r="AR22" s="3083"/>
      <c r="AS22" s="3083"/>
      <c r="AT22" s="3083"/>
      <c r="AU22" s="3083"/>
      <c r="AV22" s="3083"/>
      <c r="AW22" s="3083"/>
      <c r="AX22" s="3083"/>
      <c r="AY22" s="3083"/>
      <c r="AZ22" s="3083"/>
    </row>
    <row r="23" spans="1:83" ht="14.25">
      <c r="A23" s="217" t="s">
        <v>268</v>
      </c>
      <c r="B23" s="218">
        <f>B19+B21</f>
        <v>0</v>
      </c>
      <c r="C23" s="3086"/>
      <c r="D23" s="3087"/>
      <c r="E23" s="3086"/>
      <c r="F23" s="3086"/>
      <c r="G23" s="3086"/>
      <c r="H23" s="3086"/>
      <c r="I23" s="3086"/>
      <c r="J23" s="3086"/>
      <c r="K23" s="3085"/>
      <c r="L23" s="3085"/>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3"/>
      <c r="AL23" s="3083"/>
      <c r="AM23" s="3083"/>
      <c r="AN23" s="3083"/>
      <c r="AO23" s="3083"/>
      <c r="AP23" s="3083"/>
      <c r="AQ23" s="3083"/>
      <c r="AR23" s="3083"/>
      <c r="AS23" s="3083"/>
      <c r="AT23" s="3083"/>
      <c r="AU23" s="3083"/>
      <c r="AV23" s="3083"/>
      <c r="AW23" s="3083"/>
      <c r="AX23" s="3083"/>
      <c r="AY23" s="3083"/>
      <c r="AZ23" s="3083"/>
    </row>
    <row r="24" spans="1:83" ht="15" thickBot="1">
      <c r="A24" s="219" t="s">
        <v>269</v>
      </c>
      <c r="B24" s="220">
        <f>B20-B21</f>
        <v>2</v>
      </c>
      <c r="C24" s="3086"/>
      <c r="D24" s="3087"/>
      <c r="E24" s="3086"/>
      <c r="F24" s="3086"/>
      <c r="G24" s="3086"/>
      <c r="H24" s="3086"/>
      <c r="I24" s="3086"/>
      <c r="J24" s="3086"/>
      <c r="K24" s="3085"/>
      <c r="L24" s="3085"/>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3"/>
      <c r="AL24" s="3083"/>
      <c r="AM24" s="3083"/>
      <c r="AN24" s="3083"/>
      <c r="AO24" s="3083"/>
      <c r="AP24" s="3083"/>
      <c r="AQ24" s="3083"/>
      <c r="AR24" s="3083"/>
      <c r="AS24" s="3083"/>
      <c r="AT24" s="3083"/>
      <c r="AU24" s="3083"/>
      <c r="AV24" s="3083"/>
      <c r="AW24" s="3083"/>
      <c r="AX24" s="3083"/>
      <c r="AY24" s="3083"/>
      <c r="AZ24" s="3083"/>
    </row>
    <row r="25" spans="1:83" ht="15" thickBot="1">
      <c r="A25" s="1188"/>
      <c r="B25" s="1185"/>
      <c r="C25" s="3086"/>
      <c r="D25" s="3087"/>
      <c r="E25" s="3086"/>
      <c r="F25" s="3086"/>
      <c r="G25" s="3086"/>
      <c r="H25" s="3086"/>
      <c r="I25" s="3086"/>
      <c r="J25" s="3086"/>
      <c r="K25" s="3085"/>
      <c r="L25" s="3085"/>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3"/>
      <c r="AL25" s="3083"/>
      <c r="AM25" s="3083"/>
      <c r="AN25" s="3083"/>
      <c r="AO25" s="3083"/>
      <c r="AP25" s="3083"/>
      <c r="AQ25" s="3083"/>
      <c r="AR25" s="3083"/>
      <c r="AS25" s="3083"/>
      <c r="AT25" s="3083"/>
      <c r="AU25" s="3083"/>
      <c r="AV25" s="3083"/>
      <c r="AW25" s="3083"/>
      <c r="AX25" s="3083"/>
      <c r="AY25" s="3083"/>
      <c r="AZ25" s="3083"/>
    </row>
    <row r="26" spans="1:83" ht="15" thickBot="1">
      <c r="A26" s="145" t="s">
        <v>270</v>
      </c>
      <c r="B26" s="221" t="s">
        <v>271</v>
      </c>
      <c r="C26" s="3088" t="s">
        <v>272</v>
      </c>
      <c r="D26" s="3087"/>
      <c r="E26" s="3086"/>
      <c r="F26" s="3086"/>
      <c r="G26" s="3086"/>
      <c r="H26" s="3086"/>
      <c r="I26" s="3086"/>
      <c r="J26" s="3086"/>
      <c r="K26" s="3085"/>
      <c r="L26" s="3085"/>
      <c r="M26" s="3083"/>
      <c r="N26" s="3083"/>
      <c r="O26" s="3083"/>
      <c r="P26" s="3083"/>
      <c r="Q26" s="3083"/>
      <c r="R26" s="3083"/>
      <c r="S26" s="3083"/>
      <c r="T26" s="3083"/>
      <c r="U26" s="3083"/>
      <c r="V26" s="3083"/>
      <c r="W26" s="3083"/>
      <c r="X26" s="3083"/>
      <c r="Y26" s="3083"/>
      <c r="Z26" s="3083"/>
      <c r="AA26" s="3083"/>
      <c r="AB26" s="3083"/>
      <c r="AC26" s="3083"/>
      <c r="AD26" s="3083"/>
      <c r="AE26" s="3083"/>
      <c r="AF26" s="3083"/>
      <c r="AG26" s="3083"/>
      <c r="AH26" s="3083"/>
      <c r="AI26" s="3083"/>
      <c r="AJ26" s="3083"/>
      <c r="AK26" s="3083"/>
      <c r="AL26" s="3083"/>
      <c r="AM26" s="3083"/>
      <c r="AN26" s="3083"/>
      <c r="AO26" s="3083"/>
      <c r="AP26" s="3083"/>
      <c r="AQ26" s="3083"/>
      <c r="AR26" s="3083"/>
      <c r="AS26" s="3083"/>
      <c r="AT26" s="3083"/>
      <c r="AU26" s="3083"/>
      <c r="AV26" s="3083"/>
      <c r="AW26" s="3083"/>
      <c r="AX26" s="3083"/>
      <c r="AY26" s="3083"/>
      <c r="AZ26" s="3083"/>
    </row>
    <row r="27" spans="1:83" s="1196" customFormat="1" ht="27.75">
      <c r="A27" s="222" t="s">
        <v>2324</v>
      </c>
      <c r="B27" s="223">
        <v>160</v>
      </c>
      <c r="C27" s="3099" t="s">
        <v>2982</v>
      </c>
      <c r="D27" s="3090"/>
      <c r="E27" s="3091"/>
      <c r="F27" s="3091"/>
      <c r="G27" s="3086"/>
      <c r="H27" s="3086"/>
      <c r="I27" s="3086"/>
      <c r="J27" s="3086"/>
      <c r="K27" s="3085"/>
      <c r="L27" s="3085"/>
      <c r="M27" s="3083"/>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c r="AL27" s="3083"/>
      <c r="AM27" s="3083"/>
      <c r="AN27" s="3083"/>
      <c r="AO27" s="3083"/>
      <c r="AP27" s="3083"/>
      <c r="AQ27" s="3083"/>
      <c r="AR27" s="3083"/>
      <c r="AS27" s="3083"/>
      <c r="AT27" s="3083"/>
      <c r="AU27" s="3083"/>
      <c r="AV27" s="3083"/>
      <c r="AW27" s="3083"/>
      <c r="AX27" s="3083"/>
      <c r="AY27" s="3083"/>
      <c r="AZ27" s="3083"/>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6" customFormat="1" ht="27.75">
      <c r="A28" s="224" t="s">
        <v>2325</v>
      </c>
      <c r="B28" s="225">
        <v>200</v>
      </c>
      <c r="C28" s="3092"/>
      <c r="D28" s="3090"/>
      <c r="E28" s="3091"/>
      <c r="F28" s="3091"/>
      <c r="G28" s="3086"/>
      <c r="H28" s="3086"/>
      <c r="I28" s="3086"/>
      <c r="J28" s="3086"/>
      <c r="K28" s="3085"/>
      <c r="L28" s="3085"/>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3"/>
      <c r="AM28" s="3083"/>
      <c r="AN28" s="3083"/>
      <c r="AO28" s="3083"/>
      <c r="AP28" s="3083"/>
      <c r="AQ28" s="3083"/>
      <c r="AR28" s="3083"/>
      <c r="AS28" s="3083"/>
      <c r="AT28" s="3083"/>
      <c r="AU28" s="3083"/>
      <c r="AV28" s="3083"/>
      <c r="AW28" s="3083"/>
      <c r="AX28" s="3083"/>
      <c r="AY28" s="3083"/>
      <c r="AZ28" s="3083"/>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6" customFormat="1" ht="28.5" thickBot="1">
      <c r="A29" s="227" t="s">
        <v>2323</v>
      </c>
      <c r="B29" s="228"/>
      <c r="C29" s="3100" t="s">
        <v>2326</v>
      </c>
      <c r="D29" s="3090"/>
      <c r="E29" s="3091"/>
      <c r="F29" s="3091"/>
      <c r="G29" s="3086"/>
      <c r="H29" s="3086"/>
      <c r="I29" s="3086"/>
      <c r="J29" s="3086"/>
      <c r="K29" s="3085"/>
      <c r="L29" s="3085"/>
      <c r="M29" s="3083"/>
      <c r="N29" s="3083"/>
      <c r="O29" s="3083"/>
      <c r="P29" s="3083"/>
      <c r="Q29" s="3083"/>
      <c r="R29" s="3083"/>
      <c r="S29" s="3083"/>
      <c r="T29" s="3083"/>
      <c r="U29" s="3083"/>
      <c r="V29" s="3083"/>
      <c r="W29" s="3083"/>
      <c r="X29" s="3083"/>
      <c r="Y29" s="3083"/>
      <c r="Z29" s="3083"/>
      <c r="AA29" s="3083"/>
      <c r="AB29" s="3083"/>
      <c r="AC29" s="3083"/>
      <c r="AD29" s="3083"/>
      <c r="AE29" s="3083"/>
      <c r="AF29" s="3083"/>
      <c r="AG29" s="3083"/>
      <c r="AH29" s="3083"/>
      <c r="AI29" s="3083"/>
      <c r="AJ29" s="3083"/>
      <c r="AK29" s="3083"/>
      <c r="AL29" s="3083"/>
      <c r="AM29" s="3083"/>
      <c r="AN29" s="3083"/>
      <c r="AO29" s="3083"/>
      <c r="AP29" s="3083"/>
      <c r="AQ29" s="3083"/>
      <c r="AR29" s="3083"/>
      <c r="AS29" s="3083"/>
      <c r="AT29" s="3083"/>
      <c r="AU29" s="3083"/>
      <c r="AV29" s="3083"/>
      <c r="AW29" s="3083"/>
      <c r="AX29" s="3083"/>
      <c r="AY29" s="3083"/>
      <c r="AZ29" s="3083"/>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6" customFormat="1" ht="27">
      <c r="A30" s="231" t="s">
        <v>273</v>
      </c>
      <c r="B30" s="964"/>
      <c r="C30" s="3092"/>
      <c r="D30" s="3090"/>
      <c r="E30" s="3091"/>
      <c r="F30" s="3091"/>
      <c r="G30" s="3086"/>
      <c r="H30" s="3086"/>
      <c r="I30" s="3086"/>
      <c r="J30" s="3086"/>
      <c r="K30" s="3085"/>
      <c r="L30" s="3085"/>
      <c r="M30" s="3083"/>
      <c r="N30" s="3083"/>
      <c r="O30" s="3083"/>
      <c r="P30" s="3083"/>
      <c r="Q30" s="3083"/>
      <c r="R30" s="3083"/>
      <c r="S30" s="3083"/>
      <c r="T30" s="3083"/>
      <c r="U30" s="3083"/>
      <c r="V30" s="3083"/>
      <c r="W30" s="3083"/>
      <c r="X30" s="3083"/>
      <c r="Y30" s="3083"/>
      <c r="Z30" s="3083"/>
      <c r="AA30" s="3083"/>
      <c r="AB30" s="3083"/>
      <c r="AC30" s="3083"/>
      <c r="AD30" s="3083"/>
      <c r="AE30" s="3083"/>
      <c r="AF30" s="3083"/>
      <c r="AG30" s="3083"/>
      <c r="AH30" s="3083"/>
      <c r="AI30" s="3083"/>
      <c r="AJ30" s="3083"/>
      <c r="AK30" s="3083"/>
      <c r="AL30" s="3083"/>
      <c r="AM30" s="3083"/>
      <c r="AN30" s="3083"/>
      <c r="AO30" s="3083"/>
      <c r="AP30" s="3083"/>
      <c r="AQ30" s="3083"/>
      <c r="AR30" s="3083"/>
      <c r="AS30" s="3083"/>
      <c r="AT30" s="3083"/>
      <c r="AU30" s="3083"/>
      <c r="AV30" s="3083"/>
      <c r="AW30" s="3083"/>
      <c r="AX30" s="3083"/>
      <c r="AY30" s="3083"/>
      <c r="AZ30" s="3083"/>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6" customFormat="1" ht="27">
      <c r="A31" s="224" t="s">
        <v>274</v>
      </c>
      <c r="B31" s="226">
        <f>B30-B32</f>
        <v>0</v>
      </c>
      <c r="C31" s="3089"/>
      <c r="D31" s="3090"/>
      <c r="E31" s="3091"/>
      <c r="F31" s="3091"/>
      <c r="G31" s="3086"/>
      <c r="H31" s="3086"/>
      <c r="I31" s="3086"/>
      <c r="J31" s="3086"/>
      <c r="K31" s="3085"/>
      <c r="L31" s="3085"/>
      <c r="M31" s="3083"/>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c r="AL31" s="3083"/>
      <c r="AM31" s="3083"/>
      <c r="AN31" s="3083"/>
      <c r="AO31" s="3083"/>
      <c r="AP31" s="3083"/>
      <c r="AQ31" s="3083"/>
      <c r="AR31" s="3083"/>
      <c r="AS31" s="3083"/>
      <c r="AT31" s="3083"/>
      <c r="AU31" s="3083"/>
      <c r="AV31" s="3083"/>
      <c r="AW31" s="3083"/>
      <c r="AX31" s="3083"/>
      <c r="AY31" s="3083"/>
      <c r="AZ31" s="3083"/>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6" customFormat="1" ht="27.75" thickBot="1">
      <c r="A32" s="233" t="s">
        <v>275</v>
      </c>
      <c r="B32" s="1326"/>
      <c r="C32" s="3092"/>
      <c r="D32" s="3087"/>
      <c r="E32" s="3086"/>
      <c r="F32" s="3086"/>
      <c r="G32" s="3086"/>
      <c r="H32" s="3086"/>
      <c r="I32" s="3086"/>
      <c r="J32" s="3086"/>
      <c r="K32" s="3085"/>
      <c r="L32" s="3085"/>
      <c r="M32" s="308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c r="AL32" s="3083"/>
      <c r="AM32" s="3083"/>
      <c r="AN32" s="3083"/>
      <c r="AO32" s="3083"/>
      <c r="AP32" s="3083"/>
      <c r="AQ32" s="3083"/>
      <c r="AR32" s="3083"/>
      <c r="AS32" s="3083"/>
      <c r="AT32" s="3083"/>
      <c r="AU32" s="3083"/>
      <c r="AV32" s="3083"/>
      <c r="AW32" s="3083"/>
      <c r="AX32" s="3083"/>
      <c r="AY32" s="3083"/>
      <c r="AZ32" s="3083"/>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6" customFormat="1" ht="14.25">
      <c r="A33" s="222" t="s">
        <v>278</v>
      </c>
      <c r="B33" s="1327">
        <v>0.03</v>
      </c>
      <c r="C33" s="3101" t="s">
        <v>2969</v>
      </c>
      <c r="D33" s="3090"/>
      <c r="E33" s="3091"/>
      <c r="F33" s="3091"/>
      <c r="G33" s="3086"/>
      <c r="H33" s="3086"/>
      <c r="I33" s="3086"/>
      <c r="J33" s="3086"/>
      <c r="K33" s="3085"/>
      <c r="L33" s="3085"/>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3"/>
      <c r="AK33" s="3083"/>
      <c r="AL33" s="3083"/>
      <c r="AM33" s="3083"/>
      <c r="AN33" s="3083"/>
      <c r="AO33" s="3083"/>
      <c r="AP33" s="3083"/>
      <c r="AQ33" s="3083"/>
      <c r="AR33" s="3083"/>
      <c r="AS33" s="3083"/>
      <c r="AT33" s="3083"/>
      <c r="AU33" s="3083"/>
      <c r="AV33" s="3083"/>
      <c r="AW33" s="3083"/>
      <c r="AX33" s="3083"/>
      <c r="AY33" s="3083"/>
      <c r="AZ33" s="3083"/>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279</v>
      </c>
      <c r="B34" s="229">
        <v>0.08</v>
      </c>
      <c r="C34" s="3101" t="s">
        <v>2970</v>
      </c>
      <c r="D34" s="3102" t="s">
        <v>2978</v>
      </c>
      <c r="E34" s="3083"/>
      <c r="F34" s="3086"/>
      <c r="G34" s="3086"/>
      <c r="H34" s="3086"/>
      <c r="I34" s="3086"/>
      <c r="J34" s="3086"/>
      <c r="K34" s="3085"/>
      <c r="L34" s="3085"/>
      <c r="M34" s="3083"/>
      <c r="N34" s="3083"/>
      <c r="O34" s="3083"/>
      <c r="P34" s="3083"/>
      <c r="Q34" s="3083"/>
      <c r="R34" s="3083"/>
      <c r="S34" s="3083"/>
      <c r="T34" s="3083"/>
      <c r="U34" s="3083"/>
      <c r="V34" s="3083"/>
      <c r="W34" s="3083"/>
      <c r="X34" s="3083"/>
      <c r="Y34" s="3083"/>
      <c r="Z34" s="3083"/>
      <c r="AA34" s="3083"/>
      <c r="AB34" s="3083"/>
      <c r="AC34" s="3083"/>
      <c r="AD34" s="3083"/>
      <c r="AE34" s="3083"/>
      <c r="AF34" s="3083"/>
      <c r="AG34" s="3083"/>
      <c r="AH34" s="3083"/>
      <c r="AI34" s="3083"/>
      <c r="AJ34" s="3083"/>
      <c r="AK34" s="3083"/>
      <c r="AL34" s="3083"/>
      <c r="AM34" s="3083"/>
      <c r="AN34" s="3083"/>
      <c r="AO34" s="3083"/>
      <c r="AP34" s="3083"/>
      <c r="AQ34" s="3083"/>
      <c r="AR34" s="3083"/>
      <c r="AS34" s="3083"/>
      <c r="AT34" s="3083"/>
      <c r="AU34" s="3083"/>
      <c r="AV34" s="3083"/>
      <c r="AW34" s="3083"/>
      <c r="AX34" s="3083"/>
      <c r="AY34" s="3083"/>
      <c r="AZ34" s="3083"/>
    </row>
    <row r="35" spans="1:83" ht="14.25">
      <c r="A35" s="224" t="s">
        <v>276</v>
      </c>
      <c r="B35" s="225">
        <v>200</v>
      </c>
      <c r="C35" s="3101" t="s">
        <v>2971</v>
      </c>
      <c r="D35" s="3087"/>
      <c r="E35" s="3086"/>
      <c r="F35" s="3086"/>
      <c r="G35" s="3086"/>
      <c r="H35" s="3086"/>
      <c r="I35" s="3086"/>
      <c r="J35" s="3086"/>
      <c r="K35" s="3085"/>
      <c r="L35" s="3085"/>
      <c r="M35" s="3083"/>
      <c r="N35" s="3083"/>
      <c r="O35" s="3083"/>
      <c r="P35" s="3083"/>
      <c r="Q35" s="3083"/>
      <c r="R35" s="3083"/>
      <c r="S35" s="3083"/>
      <c r="T35" s="3083"/>
      <c r="U35" s="3083"/>
      <c r="V35" s="3083"/>
      <c r="W35" s="3083"/>
      <c r="X35" s="3083"/>
      <c r="Y35" s="3083"/>
      <c r="Z35" s="3083"/>
      <c r="AA35" s="3083"/>
      <c r="AB35" s="3083"/>
      <c r="AC35" s="3083"/>
      <c r="AD35" s="3083"/>
      <c r="AE35" s="3083"/>
      <c r="AF35" s="3083"/>
      <c r="AG35" s="3083"/>
      <c r="AH35" s="3083"/>
      <c r="AI35" s="3083"/>
      <c r="AJ35" s="3083"/>
      <c r="AK35" s="3083"/>
      <c r="AL35" s="3083"/>
      <c r="AM35" s="3083"/>
      <c r="AN35" s="3083"/>
      <c r="AO35" s="3083"/>
      <c r="AP35" s="3083"/>
      <c r="AQ35" s="3083"/>
      <c r="AR35" s="3083"/>
      <c r="AS35" s="3083"/>
      <c r="AT35" s="3083"/>
      <c r="AU35" s="3083"/>
      <c r="AV35" s="3083"/>
      <c r="AW35" s="3083"/>
      <c r="AX35" s="3083"/>
      <c r="AY35" s="3083"/>
      <c r="AZ35" s="3083"/>
    </row>
    <row r="36" spans="1:83" ht="15" thickBot="1">
      <c r="A36" s="227" t="s">
        <v>277</v>
      </c>
      <c r="B36" s="230">
        <v>1.4999999999999999E-2</v>
      </c>
      <c r="C36" s="3101" t="s">
        <v>2972</v>
      </c>
      <c r="D36" s="3084"/>
      <c r="E36" s="3083"/>
      <c r="F36" s="3086"/>
      <c r="G36" s="3086"/>
      <c r="H36" s="3086"/>
      <c r="I36" s="3086"/>
      <c r="J36" s="3086"/>
      <c r="K36" s="3085"/>
      <c r="L36" s="3085"/>
      <c r="M36" s="3083"/>
      <c r="N36" s="3083"/>
      <c r="O36" s="3083"/>
      <c r="P36" s="3083"/>
      <c r="Q36" s="3083"/>
      <c r="R36" s="3083"/>
      <c r="S36" s="3083"/>
      <c r="T36" s="3083"/>
      <c r="U36" s="3083"/>
      <c r="V36" s="3083"/>
      <c r="W36" s="3083"/>
      <c r="X36" s="3083"/>
      <c r="Y36" s="3083"/>
      <c r="Z36" s="3083"/>
      <c r="AA36" s="3083"/>
      <c r="AB36" s="3083"/>
      <c r="AC36" s="3083"/>
      <c r="AD36" s="3083"/>
      <c r="AE36" s="3083"/>
      <c r="AF36" s="3083"/>
      <c r="AG36" s="3083"/>
      <c r="AH36" s="3083"/>
      <c r="AI36" s="3083"/>
      <c r="AJ36" s="3083"/>
      <c r="AK36" s="3083"/>
      <c r="AL36" s="3083"/>
      <c r="AM36" s="3083"/>
      <c r="AN36" s="3083"/>
      <c r="AO36" s="3083"/>
      <c r="AP36" s="3083"/>
      <c r="AQ36" s="3083"/>
      <c r="AR36" s="3083"/>
      <c r="AS36" s="3083"/>
      <c r="AT36" s="3083"/>
      <c r="AU36" s="3083"/>
      <c r="AV36" s="3083"/>
      <c r="AW36" s="3083"/>
      <c r="AX36" s="3083"/>
      <c r="AY36" s="3083"/>
      <c r="AZ36" s="3083"/>
    </row>
    <row r="37" spans="1:83" ht="14.25">
      <c r="A37" s="231" t="s">
        <v>280</v>
      </c>
      <c r="B37" s="232">
        <v>0.01</v>
      </c>
      <c r="C37" s="3101" t="s">
        <v>2973</v>
      </c>
      <c r="D37" s="3087"/>
      <c r="E37" s="3086"/>
      <c r="F37" s="3086"/>
      <c r="G37" s="3086"/>
      <c r="H37" s="3086"/>
      <c r="I37" s="3086"/>
      <c r="J37" s="3086"/>
      <c r="K37" s="3085"/>
      <c r="L37" s="3085"/>
      <c r="M37" s="3083"/>
      <c r="N37" s="3083"/>
      <c r="O37" s="3083"/>
      <c r="P37" s="3083"/>
      <c r="Q37" s="3083"/>
      <c r="R37" s="3083"/>
      <c r="S37" s="3083"/>
      <c r="T37" s="3083"/>
      <c r="U37" s="3083"/>
      <c r="V37" s="3083"/>
      <c r="W37" s="3083"/>
      <c r="X37" s="3083"/>
      <c r="Y37" s="3083"/>
      <c r="Z37" s="3083"/>
      <c r="AA37" s="3083"/>
      <c r="AB37" s="3083"/>
      <c r="AC37" s="3083"/>
      <c r="AD37" s="3083"/>
      <c r="AE37" s="3083"/>
      <c r="AF37" s="3083"/>
      <c r="AG37" s="3083"/>
      <c r="AH37" s="3083"/>
      <c r="AI37" s="3083"/>
      <c r="AJ37" s="3083"/>
      <c r="AK37" s="3083"/>
      <c r="AL37" s="3083"/>
      <c r="AM37" s="3083"/>
      <c r="AN37" s="3083"/>
      <c r="AO37" s="3083"/>
      <c r="AP37" s="3083"/>
      <c r="AQ37" s="3083"/>
      <c r="AR37" s="3083"/>
      <c r="AS37" s="3083"/>
      <c r="AT37" s="3083"/>
      <c r="AU37" s="3083"/>
      <c r="AV37" s="3083"/>
      <c r="AW37" s="3083"/>
      <c r="AX37" s="3083"/>
      <c r="AY37" s="3083"/>
      <c r="AZ37" s="3083"/>
    </row>
    <row r="38" spans="1:83" ht="14.25">
      <c r="A38" s="224" t="s">
        <v>281</v>
      </c>
      <c r="B38" s="229">
        <v>0.01</v>
      </c>
      <c r="C38" s="3101" t="s">
        <v>2973</v>
      </c>
      <c r="D38" s="3087"/>
      <c r="E38" s="3086"/>
      <c r="F38" s="3086"/>
      <c r="G38" s="3086"/>
      <c r="H38" s="3086"/>
      <c r="I38" s="3086"/>
      <c r="J38" s="3086"/>
      <c r="K38" s="3085"/>
      <c r="L38" s="3085"/>
      <c r="M38" s="3083"/>
      <c r="N38" s="3083"/>
      <c r="O38" s="3083"/>
      <c r="P38" s="3083"/>
      <c r="Q38" s="3083"/>
      <c r="R38" s="3083"/>
      <c r="S38" s="3083"/>
      <c r="T38" s="3083"/>
      <c r="U38" s="3083"/>
      <c r="V38" s="3083"/>
      <c r="W38" s="3083"/>
      <c r="X38" s="3083"/>
      <c r="Y38" s="3083"/>
      <c r="Z38" s="3083"/>
      <c r="AA38" s="3083"/>
      <c r="AB38" s="3083"/>
      <c r="AC38" s="3083"/>
      <c r="AD38" s="3083"/>
      <c r="AE38" s="3083"/>
      <c r="AF38" s="3083"/>
      <c r="AG38" s="3083"/>
      <c r="AH38" s="3083"/>
      <c r="AI38" s="3083"/>
      <c r="AJ38" s="3083"/>
      <c r="AK38" s="3083"/>
      <c r="AL38" s="3083"/>
      <c r="AM38" s="3083"/>
      <c r="AN38" s="3083"/>
      <c r="AO38" s="3083"/>
      <c r="AP38" s="3083"/>
      <c r="AQ38" s="3083"/>
      <c r="AR38" s="3083"/>
      <c r="AS38" s="3083"/>
      <c r="AT38" s="3083"/>
      <c r="AU38" s="3083"/>
      <c r="AV38" s="3083"/>
      <c r="AW38" s="3083"/>
      <c r="AX38" s="3083"/>
      <c r="AY38" s="3083"/>
      <c r="AZ38" s="3083"/>
    </row>
    <row r="39" spans="1:83" ht="14.25">
      <c r="A39" s="2337" t="s">
        <v>2437</v>
      </c>
      <c r="B39" s="788">
        <f ca="1">存贷款利率!C4</f>
        <v>1.4999999999999999E-2</v>
      </c>
      <c r="C39" s="3093"/>
      <c r="D39" s="3087"/>
      <c r="E39" s="3086"/>
      <c r="F39" s="3086"/>
      <c r="G39" s="3086"/>
      <c r="H39" s="3086"/>
      <c r="I39" s="3086"/>
      <c r="J39" s="3086"/>
      <c r="K39" s="3085"/>
      <c r="L39" s="3085"/>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3"/>
      <c r="AK39" s="3083"/>
      <c r="AL39" s="3083"/>
      <c r="AM39" s="3083"/>
      <c r="AN39" s="3083"/>
      <c r="AO39" s="3083"/>
      <c r="AP39" s="3083"/>
      <c r="AQ39" s="3083"/>
      <c r="AR39" s="3083"/>
      <c r="AS39" s="3083"/>
      <c r="AT39" s="3083"/>
      <c r="AU39" s="3083"/>
      <c r="AV39" s="3083"/>
      <c r="AW39" s="3083"/>
      <c r="AX39" s="3083"/>
      <c r="AY39" s="3083"/>
      <c r="AZ39" s="3083"/>
    </row>
    <row r="40" spans="1:83" ht="15" thickBot="1">
      <c r="A40" s="2337" t="s">
        <v>2438</v>
      </c>
      <c r="B40" s="2329">
        <f ca="1">存贷款利率!E2</f>
        <v>4.7500000000000001E-2</v>
      </c>
      <c r="C40" s="3101" t="s">
        <v>2974</v>
      </c>
      <c r="D40" s="3087"/>
      <c r="E40" s="3086"/>
      <c r="F40" s="3086"/>
      <c r="G40" s="3086"/>
      <c r="H40" s="3086"/>
      <c r="I40" s="3086"/>
      <c r="J40" s="3086"/>
      <c r="K40" s="3085"/>
      <c r="L40" s="3085"/>
      <c r="M40" s="3083"/>
      <c r="N40" s="3083"/>
      <c r="O40" s="3083"/>
      <c r="P40" s="3083"/>
      <c r="Q40" s="3083"/>
      <c r="R40" s="3083"/>
      <c r="S40" s="3083"/>
      <c r="T40" s="3083"/>
      <c r="U40" s="3083"/>
      <c r="V40" s="3083"/>
      <c r="W40" s="3083"/>
      <c r="X40" s="3083"/>
      <c r="Y40" s="3083"/>
      <c r="Z40" s="3083"/>
      <c r="AA40" s="3083"/>
      <c r="AB40" s="3083"/>
      <c r="AC40" s="3083"/>
      <c r="AD40" s="3083"/>
      <c r="AE40" s="3083"/>
      <c r="AF40" s="3083"/>
      <c r="AG40" s="3083"/>
      <c r="AH40" s="3083"/>
      <c r="AI40" s="3083"/>
      <c r="AJ40" s="3083"/>
      <c r="AK40" s="3083"/>
      <c r="AL40" s="3083"/>
      <c r="AM40" s="3083"/>
      <c r="AN40" s="3083"/>
      <c r="AO40" s="3083"/>
      <c r="AP40" s="3083"/>
      <c r="AQ40" s="3083"/>
      <c r="AR40" s="3083"/>
      <c r="AS40" s="3083"/>
      <c r="AT40" s="3083"/>
      <c r="AU40" s="3083"/>
      <c r="AV40" s="3083"/>
      <c r="AW40" s="3083"/>
      <c r="AX40" s="3083"/>
      <c r="AY40" s="3083"/>
      <c r="AZ40" s="3083"/>
    </row>
    <row r="41" spans="1:83" ht="14.25">
      <c r="A41" s="222" t="s">
        <v>282</v>
      </c>
      <c r="B41" s="234">
        <f>B42+B43</f>
        <v>5.6000000000000001E-2</v>
      </c>
      <c r="C41" s="3089"/>
      <c r="D41" s="3087"/>
      <c r="E41" s="3086"/>
      <c r="F41" s="3086"/>
      <c r="G41" s="3086"/>
      <c r="H41" s="3086"/>
      <c r="I41" s="3086"/>
      <c r="J41" s="3086"/>
      <c r="K41" s="3085"/>
      <c r="L41" s="3085"/>
      <c r="M41" s="3083"/>
      <c r="N41" s="3083"/>
      <c r="O41" s="3083"/>
      <c r="P41" s="3083"/>
      <c r="Q41" s="3083"/>
      <c r="R41" s="3083"/>
      <c r="S41" s="3083"/>
      <c r="T41" s="3083"/>
      <c r="U41" s="3083"/>
      <c r="V41" s="3083"/>
      <c r="W41" s="3083"/>
      <c r="X41" s="3083"/>
      <c r="Y41" s="3083"/>
      <c r="Z41" s="3083"/>
      <c r="AA41" s="3083"/>
      <c r="AB41" s="3083"/>
      <c r="AC41" s="3083"/>
      <c r="AD41" s="3083"/>
      <c r="AE41" s="3083"/>
      <c r="AF41" s="3083"/>
      <c r="AG41" s="3083"/>
      <c r="AH41" s="3083"/>
      <c r="AI41" s="3083"/>
      <c r="AJ41" s="3083"/>
      <c r="AK41" s="3083"/>
      <c r="AL41" s="3083"/>
      <c r="AM41" s="3083"/>
      <c r="AN41" s="3083"/>
      <c r="AO41" s="3083"/>
      <c r="AP41" s="3083"/>
      <c r="AQ41" s="3083"/>
      <c r="AR41" s="3083"/>
      <c r="AS41" s="3083"/>
      <c r="AT41" s="3083"/>
      <c r="AU41" s="3083"/>
      <c r="AV41" s="3083"/>
      <c r="AW41" s="3083"/>
      <c r="AX41" s="3083"/>
      <c r="AY41" s="3083"/>
      <c r="AZ41" s="3083"/>
    </row>
    <row r="42" spans="1:83" ht="14.25">
      <c r="A42" s="965" t="s">
        <v>283</v>
      </c>
      <c r="B42" s="236">
        <v>0.05</v>
      </c>
      <c r="C42" s="3103">
        <f>IF(B2&lt;DATE(2016,5,1),0,B42)</f>
        <v>0.05</v>
      </c>
      <c r="D42" s="3087"/>
      <c r="E42" s="3086"/>
      <c r="F42" s="3086"/>
      <c r="G42" s="3086"/>
      <c r="H42" s="3086"/>
      <c r="I42" s="3086"/>
      <c r="J42" s="3086"/>
      <c r="K42" s="3085"/>
      <c r="L42" s="3085"/>
      <c r="M42" s="3083"/>
      <c r="N42" s="3083"/>
      <c r="O42" s="3083"/>
      <c r="P42" s="3083"/>
      <c r="Q42" s="3083"/>
      <c r="R42" s="3083"/>
      <c r="S42" s="3083"/>
      <c r="T42" s="3083"/>
      <c r="U42" s="3083"/>
      <c r="V42" s="3083"/>
      <c r="W42" s="3083"/>
      <c r="X42" s="3083"/>
      <c r="Y42" s="3083"/>
      <c r="Z42" s="3083"/>
      <c r="AA42" s="3083"/>
      <c r="AB42" s="3083"/>
      <c r="AC42" s="3083"/>
      <c r="AD42" s="3083"/>
      <c r="AE42" s="3083"/>
      <c r="AF42" s="3083"/>
      <c r="AG42" s="3083"/>
      <c r="AH42" s="3083"/>
      <c r="AI42" s="3083"/>
      <c r="AJ42" s="3083"/>
      <c r="AK42" s="3083"/>
      <c r="AL42" s="3083"/>
      <c r="AM42" s="3083"/>
      <c r="AN42" s="3083"/>
      <c r="AO42" s="3083"/>
      <c r="AP42" s="3083"/>
      <c r="AQ42" s="3083"/>
      <c r="AR42" s="3083"/>
      <c r="AS42" s="3083"/>
      <c r="AT42" s="3083"/>
      <c r="AU42" s="3083"/>
      <c r="AV42" s="3083"/>
      <c r="AW42" s="3083"/>
      <c r="AX42" s="3083"/>
      <c r="AY42" s="3083"/>
      <c r="AZ42" s="3083"/>
    </row>
    <row r="43" spans="1:83" ht="14.25">
      <c r="A43" s="965" t="s">
        <v>284</v>
      </c>
      <c r="B43" s="237">
        <f>B42*(B44+B45+B46)+B47</f>
        <v>6.000000000000001E-3</v>
      </c>
      <c r="C43" s="3089"/>
      <c r="D43" s="3087"/>
      <c r="E43" s="3086"/>
      <c r="F43" s="3086"/>
      <c r="G43" s="3086"/>
      <c r="H43" s="3086"/>
      <c r="I43" s="3086"/>
      <c r="J43" s="3086"/>
      <c r="K43" s="3085"/>
      <c r="L43" s="3085"/>
      <c r="M43" s="3083"/>
      <c r="N43" s="3083"/>
      <c r="O43" s="3083"/>
      <c r="P43" s="3083"/>
      <c r="Q43" s="3083"/>
      <c r="R43" s="3083"/>
      <c r="S43" s="3083"/>
      <c r="T43" s="3083"/>
      <c r="U43" s="3083"/>
      <c r="V43" s="3083"/>
      <c r="W43" s="3083"/>
      <c r="X43" s="3083"/>
      <c r="Y43" s="3083"/>
      <c r="Z43" s="3083"/>
      <c r="AA43" s="3083"/>
      <c r="AB43" s="3083"/>
      <c r="AC43" s="3083"/>
      <c r="AD43" s="3083"/>
      <c r="AE43" s="3083"/>
      <c r="AF43" s="3083"/>
      <c r="AG43" s="3083"/>
      <c r="AH43" s="3083"/>
      <c r="AI43" s="3083"/>
      <c r="AJ43" s="3083"/>
      <c r="AK43" s="3083"/>
      <c r="AL43" s="3083"/>
      <c r="AM43" s="3083"/>
      <c r="AN43" s="3083"/>
      <c r="AO43" s="3083"/>
      <c r="AP43" s="3083"/>
      <c r="AQ43" s="3083"/>
      <c r="AR43" s="3083"/>
      <c r="AS43" s="3083"/>
      <c r="AT43" s="3083"/>
      <c r="AU43" s="3083"/>
      <c r="AV43" s="3083"/>
      <c r="AW43" s="3083"/>
      <c r="AX43" s="3083"/>
      <c r="AY43" s="3083"/>
      <c r="AZ43" s="3083"/>
    </row>
    <row r="44" spans="1:83" ht="14.25">
      <c r="A44" s="235" t="s">
        <v>285</v>
      </c>
      <c r="B44" s="238">
        <v>7.0000000000000007E-2</v>
      </c>
      <c r="C44" s="3101" t="s">
        <v>2979</v>
      </c>
      <c r="D44" s="3087"/>
      <c r="E44" s="3086"/>
      <c r="F44" s="3086"/>
      <c r="G44" s="3086"/>
      <c r="H44" s="3086"/>
      <c r="I44" s="3086"/>
      <c r="J44" s="3086"/>
      <c r="K44" s="3085"/>
      <c r="L44" s="3085"/>
      <c r="M44" s="3083"/>
      <c r="N44" s="3083"/>
      <c r="O44" s="3083"/>
      <c r="P44" s="3083"/>
      <c r="Q44" s="3083"/>
      <c r="R44" s="3083"/>
      <c r="S44" s="3083"/>
      <c r="T44" s="3083"/>
      <c r="U44" s="3083"/>
      <c r="V44" s="3083"/>
      <c r="W44" s="3083"/>
      <c r="X44" s="3083"/>
      <c r="Y44" s="3083"/>
      <c r="Z44" s="3083"/>
      <c r="AA44" s="3083"/>
      <c r="AB44" s="3083"/>
      <c r="AC44" s="3083"/>
      <c r="AD44" s="3083"/>
      <c r="AE44" s="3083"/>
      <c r="AF44" s="3083"/>
      <c r="AG44" s="3083"/>
      <c r="AH44" s="3083"/>
      <c r="AI44" s="3083"/>
      <c r="AJ44" s="3083"/>
      <c r="AK44" s="3083"/>
      <c r="AL44" s="3083"/>
      <c r="AM44" s="3083"/>
      <c r="AN44" s="3083"/>
      <c r="AO44" s="3083"/>
      <c r="AP44" s="3083"/>
      <c r="AQ44" s="3083"/>
      <c r="AR44" s="3083"/>
      <c r="AS44" s="3083"/>
      <c r="AT44" s="3083"/>
      <c r="AU44" s="3083"/>
      <c r="AV44" s="3083"/>
      <c r="AW44" s="3083"/>
      <c r="AX44" s="3083"/>
      <c r="AY44" s="3083"/>
      <c r="AZ44" s="3083"/>
    </row>
    <row r="45" spans="1:83" ht="14.25">
      <c r="A45" s="235" t="s">
        <v>286</v>
      </c>
      <c r="B45" s="236">
        <v>0.03</v>
      </c>
      <c r="C45" s="3104" t="s">
        <v>2975</v>
      </c>
      <c r="D45" s="3087"/>
      <c r="E45" s="3086"/>
      <c r="F45" s="3086"/>
      <c r="G45" s="3086"/>
      <c r="H45" s="3086"/>
      <c r="I45" s="3086"/>
      <c r="J45" s="3086"/>
      <c r="K45" s="3085"/>
      <c r="L45" s="3085"/>
      <c r="M45" s="3083"/>
      <c r="N45" s="3083"/>
      <c r="O45" s="3083"/>
      <c r="P45" s="3083"/>
      <c r="Q45" s="3083"/>
      <c r="R45" s="3083"/>
      <c r="S45" s="3083"/>
      <c r="T45" s="3083"/>
      <c r="U45" s="3083"/>
      <c r="V45" s="3083"/>
      <c r="W45" s="3083"/>
      <c r="X45" s="3083"/>
      <c r="Y45" s="3083"/>
      <c r="Z45" s="3083"/>
      <c r="AA45" s="3083"/>
      <c r="AB45" s="3083"/>
      <c r="AC45" s="3083"/>
      <c r="AD45" s="3083"/>
      <c r="AE45" s="3083"/>
      <c r="AF45" s="3083"/>
      <c r="AG45" s="3083"/>
      <c r="AH45" s="3083"/>
      <c r="AI45" s="3083"/>
      <c r="AJ45" s="3083"/>
      <c r="AK45" s="3083"/>
      <c r="AL45" s="3083"/>
      <c r="AM45" s="3083"/>
      <c r="AN45" s="3083"/>
      <c r="AO45" s="3083"/>
      <c r="AP45" s="3083"/>
      <c r="AQ45" s="3083"/>
      <c r="AR45" s="3083"/>
      <c r="AS45" s="3083"/>
      <c r="AT45" s="3083"/>
      <c r="AU45" s="3083"/>
      <c r="AV45" s="3083"/>
      <c r="AW45" s="3083"/>
      <c r="AX45" s="3083"/>
      <c r="AY45" s="3083"/>
      <c r="AZ45" s="3083"/>
    </row>
    <row r="46" spans="1:83" ht="14.25">
      <c r="A46" s="235" t="s">
        <v>287</v>
      </c>
      <c r="B46" s="236">
        <v>0.02</v>
      </c>
      <c r="C46" s="3104" t="s">
        <v>2976</v>
      </c>
      <c r="D46" s="3087"/>
      <c r="E46" s="3086"/>
      <c r="F46" s="3086"/>
      <c r="G46" s="3086"/>
      <c r="H46" s="3086"/>
      <c r="I46" s="3086"/>
      <c r="J46" s="3086"/>
      <c r="K46" s="3085"/>
      <c r="L46" s="3085"/>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row>
    <row r="47" spans="1:83" ht="15" thickBot="1">
      <c r="A47" s="239" t="s">
        <v>288</v>
      </c>
      <c r="B47" s="240"/>
      <c r="C47" s="3099" t="s">
        <v>2983</v>
      </c>
      <c r="D47" s="3087"/>
      <c r="E47" s="3086"/>
      <c r="F47" s="3086"/>
      <c r="G47" s="3086"/>
      <c r="H47" s="3086"/>
      <c r="I47" s="3086"/>
      <c r="J47" s="3086"/>
      <c r="K47" s="3085"/>
      <c r="L47" s="3085"/>
      <c r="M47" s="3083"/>
      <c r="N47" s="3083"/>
      <c r="O47" s="3083"/>
      <c r="P47" s="3083"/>
      <c r="Q47" s="3083"/>
      <c r="R47" s="3083"/>
      <c r="S47" s="3083"/>
      <c r="T47" s="3083"/>
      <c r="U47" s="3083"/>
      <c r="V47" s="3083"/>
      <c r="W47" s="3083"/>
      <c r="X47" s="3083"/>
      <c r="Y47" s="3083"/>
      <c r="Z47" s="3083"/>
      <c r="AA47" s="3083"/>
      <c r="AB47" s="3083"/>
      <c r="AC47" s="3083"/>
      <c r="AD47" s="3083"/>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row>
    <row r="48" spans="1:83" ht="14.25">
      <c r="A48" s="241" t="s">
        <v>289</v>
      </c>
      <c r="B48" s="242">
        <v>0.03</v>
      </c>
      <c r="C48" s="3104" t="s">
        <v>2975</v>
      </c>
      <c r="D48" s="3087"/>
      <c r="E48" s="3086"/>
      <c r="F48" s="3086"/>
      <c r="G48" s="3086"/>
      <c r="H48" s="3086"/>
      <c r="I48" s="3086"/>
      <c r="J48" s="3086"/>
      <c r="K48" s="3085"/>
      <c r="L48" s="3085"/>
      <c r="M48" s="3083"/>
      <c r="N48" s="3083"/>
      <c r="O48" s="3083"/>
      <c r="P48" s="3083"/>
      <c r="Q48" s="3083"/>
      <c r="R48" s="3083"/>
      <c r="S48" s="3083"/>
      <c r="T48" s="3083"/>
      <c r="U48" s="3083"/>
      <c r="V48" s="3083"/>
      <c r="W48" s="3083"/>
      <c r="X48" s="3083"/>
      <c r="Y48" s="3083"/>
      <c r="Z48" s="3083"/>
      <c r="AA48" s="3083"/>
      <c r="AB48" s="3083"/>
      <c r="AC48" s="3083"/>
      <c r="AD48" s="3083"/>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row>
    <row r="49" spans="1:52" ht="15" thickBot="1">
      <c r="A49" s="233" t="s">
        <v>290</v>
      </c>
      <c r="B49" s="236">
        <v>5.0000000000000001E-4</v>
      </c>
      <c r="C49" s="3104" t="s">
        <v>2977</v>
      </c>
      <c r="D49" s="3087"/>
      <c r="E49" s="3086"/>
      <c r="F49" s="3086"/>
      <c r="G49" s="3086"/>
      <c r="H49" s="3086"/>
      <c r="I49" s="3086"/>
      <c r="J49" s="3086"/>
      <c r="K49" s="3085"/>
      <c r="L49" s="3085"/>
      <c r="M49" s="3083"/>
      <c r="N49" s="3083"/>
      <c r="O49" s="3083"/>
      <c r="P49" s="3083"/>
      <c r="Q49" s="3083"/>
      <c r="R49" s="3083"/>
      <c r="S49" s="3083"/>
      <c r="T49" s="3083"/>
      <c r="U49" s="3083"/>
      <c r="V49" s="3083"/>
      <c r="W49" s="3083"/>
      <c r="X49" s="3083"/>
      <c r="Y49" s="3083"/>
      <c r="Z49" s="3083"/>
      <c r="AA49" s="3083"/>
      <c r="AB49" s="3083"/>
      <c r="AC49" s="3083"/>
      <c r="AD49" s="3083"/>
      <c r="AE49" s="3083"/>
      <c r="AF49" s="3083"/>
      <c r="AG49" s="3083"/>
      <c r="AH49" s="3083"/>
      <c r="AI49" s="3083"/>
      <c r="AJ49" s="3083"/>
      <c r="AK49" s="3083"/>
      <c r="AL49" s="3083"/>
      <c r="AM49" s="3083"/>
      <c r="AN49" s="3083"/>
      <c r="AO49" s="3083"/>
      <c r="AP49" s="3083"/>
      <c r="AQ49" s="3083"/>
      <c r="AR49" s="3083"/>
      <c r="AS49" s="3083"/>
      <c r="AT49" s="3083"/>
      <c r="AU49" s="3083"/>
      <c r="AV49" s="3083"/>
      <c r="AW49" s="3083"/>
      <c r="AX49" s="3083"/>
      <c r="AY49" s="3083"/>
      <c r="AZ49" s="3083"/>
    </row>
    <row r="50" spans="1:52" ht="14.25">
      <c r="A50" s="243" t="s">
        <v>291</v>
      </c>
      <c r="B50" s="244">
        <v>1.2E-2</v>
      </c>
      <c r="C50" s="3092"/>
      <c r="D50" s="3087"/>
      <c r="E50" s="3086"/>
      <c r="F50" s="3086"/>
      <c r="G50" s="3086"/>
      <c r="H50" s="3086"/>
      <c r="I50" s="3086"/>
      <c r="J50" s="3086"/>
      <c r="K50" s="3085"/>
      <c r="L50" s="3085"/>
      <c r="M50" s="3083"/>
      <c r="N50" s="3083"/>
      <c r="O50" s="3083"/>
      <c r="P50" s="3083"/>
      <c r="Q50" s="3083"/>
      <c r="R50" s="3083"/>
      <c r="S50" s="3083"/>
      <c r="T50" s="3083"/>
      <c r="U50" s="3083"/>
      <c r="V50" s="3083"/>
      <c r="W50" s="3083"/>
      <c r="X50" s="3083"/>
      <c r="Y50" s="3083"/>
      <c r="Z50" s="3083"/>
      <c r="AA50" s="3083"/>
      <c r="AB50" s="3083"/>
      <c r="AC50" s="3083"/>
      <c r="AD50" s="3083"/>
      <c r="AE50" s="3083"/>
      <c r="AF50" s="3083"/>
      <c r="AG50" s="3083"/>
      <c r="AH50" s="3083"/>
      <c r="AI50" s="3083"/>
      <c r="AJ50" s="3083"/>
      <c r="AK50" s="3083"/>
      <c r="AL50" s="3083"/>
      <c r="AM50" s="3083"/>
      <c r="AN50" s="3083"/>
      <c r="AO50" s="3083"/>
      <c r="AP50" s="3083"/>
      <c r="AQ50" s="3083"/>
      <c r="AR50" s="3083"/>
      <c r="AS50" s="3083"/>
      <c r="AT50" s="3083"/>
      <c r="AU50" s="3083"/>
      <c r="AV50" s="3083"/>
      <c r="AW50" s="3083"/>
      <c r="AX50" s="3083"/>
      <c r="AY50" s="3083"/>
      <c r="AZ50" s="3083"/>
    </row>
    <row r="51" spans="1:52" ht="15" thickBot="1">
      <c r="A51" s="227" t="s">
        <v>292</v>
      </c>
      <c r="B51" s="245">
        <v>0.12</v>
      </c>
      <c r="C51" s="3092"/>
      <c r="D51" s="3087"/>
      <c r="E51" s="3086"/>
      <c r="F51" s="3086"/>
      <c r="G51" s="3086"/>
      <c r="H51" s="3086"/>
      <c r="I51" s="3086"/>
      <c r="J51" s="3086"/>
      <c r="K51" s="3085"/>
      <c r="L51" s="3085"/>
      <c r="M51" s="3083"/>
      <c r="N51" s="3083"/>
      <c r="O51" s="3083"/>
      <c r="P51" s="3083"/>
      <c r="Q51" s="3083"/>
      <c r="R51" s="3083"/>
      <c r="S51" s="3083"/>
      <c r="T51" s="3083"/>
      <c r="U51" s="3083"/>
      <c r="V51" s="3083"/>
      <c r="W51" s="3083"/>
      <c r="X51" s="3083"/>
      <c r="Y51" s="3083"/>
      <c r="Z51" s="3083"/>
      <c r="AA51" s="3083"/>
      <c r="AB51" s="3083"/>
      <c r="AC51" s="3083"/>
      <c r="AD51" s="3083"/>
      <c r="AE51" s="3083"/>
      <c r="AF51" s="3083"/>
      <c r="AG51" s="3083"/>
      <c r="AH51" s="3083"/>
      <c r="AI51" s="3083"/>
      <c r="AJ51" s="3083"/>
      <c r="AK51" s="3083"/>
      <c r="AL51" s="3083"/>
      <c r="AM51" s="3083"/>
      <c r="AN51" s="3083"/>
      <c r="AO51" s="3083"/>
      <c r="AP51" s="3083"/>
      <c r="AQ51" s="3083"/>
      <c r="AR51" s="3083"/>
      <c r="AS51" s="3083"/>
      <c r="AT51" s="3083"/>
      <c r="AU51" s="3083"/>
      <c r="AV51" s="3083"/>
      <c r="AW51" s="3083"/>
      <c r="AX51" s="3083"/>
      <c r="AY51" s="3083"/>
      <c r="AZ51" s="3083"/>
    </row>
    <row r="52" spans="1:52" ht="14.25">
      <c r="A52" s="243" t="s">
        <v>293</v>
      </c>
      <c r="B52" s="246">
        <f>SUMIF(A54:A63,B53,B54:B63)</f>
        <v>1.5</v>
      </c>
      <c r="C52" s="3092"/>
      <c r="D52" s="3087"/>
      <c r="E52" s="3086"/>
      <c r="F52" s="3086"/>
      <c r="G52" s="3086"/>
      <c r="H52" s="3086"/>
      <c r="I52" s="3086"/>
      <c r="J52" s="3086"/>
      <c r="K52" s="3085"/>
      <c r="L52" s="3085"/>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3"/>
      <c r="AK52" s="3083"/>
      <c r="AL52" s="3083"/>
      <c r="AM52" s="3083"/>
      <c r="AN52" s="3083"/>
      <c r="AO52" s="3083"/>
      <c r="AP52" s="3083"/>
      <c r="AQ52" s="3083"/>
      <c r="AR52" s="3083"/>
      <c r="AS52" s="3083"/>
      <c r="AT52" s="3083"/>
      <c r="AU52" s="3083"/>
      <c r="AV52" s="3083"/>
      <c r="AW52" s="3083"/>
      <c r="AX52" s="3083"/>
      <c r="AY52" s="3083"/>
      <c r="AZ52" s="3083"/>
    </row>
    <row r="53" spans="1:52" ht="27">
      <c r="A53" s="224" t="s">
        <v>294</v>
      </c>
      <c r="B53" s="247" t="s">
        <v>1400</v>
      </c>
      <c r="C53" s="3094" t="s">
        <v>2871</v>
      </c>
      <c r="D53" s="3105" t="s">
        <v>2980</v>
      </c>
      <c r="E53" s="3086"/>
      <c r="F53" s="3086"/>
      <c r="G53" s="3086"/>
      <c r="H53" s="3086"/>
      <c r="I53" s="3086"/>
      <c r="J53" s="3086"/>
      <c r="K53" s="3085"/>
      <c r="L53" s="3085"/>
      <c r="M53" s="3083"/>
      <c r="N53" s="3083"/>
      <c r="O53" s="3083"/>
      <c r="P53" s="3083"/>
      <c r="Q53" s="3083"/>
      <c r="R53" s="3083"/>
      <c r="S53" s="3083"/>
      <c r="T53" s="3083"/>
      <c r="U53" s="3083"/>
      <c r="V53" s="3083"/>
      <c r="W53" s="3083"/>
      <c r="X53" s="3083"/>
      <c r="Y53" s="3083"/>
      <c r="Z53" s="3083"/>
      <c r="AA53" s="3083"/>
      <c r="AB53" s="3083"/>
      <c r="AC53" s="3083"/>
      <c r="AD53" s="3083"/>
      <c r="AE53" s="3083"/>
      <c r="AF53" s="3083"/>
      <c r="AG53" s="3083"/>
      <c r="AH53" s="3083"/>
      <c r="AI53" s="3083"/>
      <c r="AJ53" s="3083"/>
      <c r="AK53" s="3083"/>
      <c r="AL53" s="3083"/>
      <c r="AM53" s="3083"/>
      <c r="AN53" s="3083"/>
      <c r="AO53" s="3083"/>
      <c r="AP53" s="3083"/>
      <c r="AQ53" s="3083"/>
      <c r="AR53" s="3083"/>
      <c r="AS53" s="3083"/>
      <c r="AT53" s="3083"/>
      <c r="AU53" s="3083"/>
      <c r="AV53" s="3083"/>
      <c r="AW53" s="3083"/>
      <c r="AX53" s="3083"/>
      <c r="AY53" s="3083"/>
      <c r="AZ53" s="3083"/>
    </row>
    <row r="54" spans="1:52" ht="14.25">
      <c r="A54" s="2768" t="s">
        <v>2872</v>
      </c>
      <c r="B54" s="182"/>
      <c r="C54" s="3091">
        <v>30</v>
      </c>
      <c r="D54" s="3095"/>
      <c r="E54" s="3086"/>
      <c r="F54" s="3086"/>
      <c r="G54" s="3086"/>
      <c r="H54" s="3086"/>
      <c r="I54" s="3086"/>
      <c r="J54" s="3086"/>
      <c r="K54" s="3085"/>
      <c r="L54" s="3085"/>
      <c r="M54" s="3083"/>
      <c r="N54" s="3083"/>
      <c r="O54" s="3083"/>
      <c r="P54" s="3083"/>
      <c r="Q54" s="3083"/>
      <c r="R54" s="3083"/>
      <c r="S54" s="3083"/>
      <c r="T54" s="3083"/>
      <c r="U54" s="3083"/>
      <c r="V54" s="3083"/>
      <c r="W54" s="3083"/>
      <c r="X54" s="3083"/>
      <c r="Y54" s="3083"/>
      <c r="Z54" s="3083"/>
      <c r="AA54" s="3083"/>
      <c r="AB54" s="3083"/>
      <c r="AC54" s="3083"/>
      <c r="AD54" s="3083"/>
      <c r="AE54" s="3083"/>
      <c r="AF54" s="3083"/>
      <c r="AG54" s="3083"/>
      <c r="AH54" s="3083"/>
      <c r="AI54" s="3083"/>
      <c r="AJ54" s="3083"/>
      <c r="AK54" s="3083"/>
      <c r="AL54" s="3083"/>
      <c r="AM54" s="3083"/>
      <c r="AN54" s="3083"/>
      <c r="AO54" s="3083"/>
      <c r="AP54" s="3083"/>
      <c r="AQ54" s="3083"/>
      <c r="AR54" s="3083"/>
      <c r="AS54" s="3083"/>
      <c r="AT54" s="3083"/>
      <c r="AU54" s="3083"/>
      <c r="AV54" s="3083"/>
      <c r="AW54" s="3083"/>
      <c r="AX54" s="3083"/>
      <c r="AY54" s="3083"/>
      <c r="AZ54" s="3083"/>
    </row>
    <row r="55" spans="1:52" ht="14.25">
      <c r="A55" s="2768" t="s">
        <v>2873</v>
      </c>
      <c r="B55" s="182"/>
      <c r="C55" s="3091">
        <v>24</v>
      </c>
      <c r="D55" s="3095"/>
      <c r="E55" s="3086"/>
      <c r="F55" s="3086"/>
      <c r="G55" s="3086"/>
      <c r="H55" s="3086"/>
      <c r="I55" s="3096"/>
      <c r="J55" s="3086"/>
      <c r="K55" s="3085"/>
      <c r="L55" s="3085"/>
      <c r="M55" s="3083"/>
      <c r="N55" s="3083"/>
      <c r="O55" s="3083"/>
      <c r="P55" s="3083"/>
      <c r="Q55" s="3083"/>
      <c r="R55" s="3083"/>
      <c r="S55" s="3083"/>
      <c r="T55" s="3083"/>
      <c r="U55" s="3083"/>
      <c r="V55" s="3083"/>
      <c r="W55" s="3083"/>
      <c r="X55" s="3083"/>
      <c r="Y55" s="3083"/>
      <c r="Z55" s="3083"/>
      <c r="AA55" s="3083"/>
      <c r="AB55" s="3083"/>
      <c r="AC55" s="3083"/>
      <c r="AD55" s="3083"/>
      <c r="AE55" s="3083"/>
      <c r="AF55" s="3083"/>
      <c r="AG55" s="3083"/>
      <c r="AH55" s="3083"/>
      <c r="AI55" s="3083"/>
      <c r="AJ55" s="3083"/>
      <c r="AK55" s="3083"/>
      <c r="AL55" s="3083"/>
      <c r="AM55" s="3083"/>
      <c r="AN55" s="3083"/>
      <c r="AO55" s="3083"/>
      <c r="AP55" s="3083"/>
      <c r="AQ55" s="3083"/>
      <c r="AR55" s="3083"/>
      <c r="AS55" s="3083"/>
      <c r="AT55" s="3083"/>
      <c r="AU55" s="3083"/>
      <c r="AV55" s="3083"/>
      <c r="AW55" s="3083"/>
      <c r="AX55" s="3083"/>
      <c r="AY55" s="3083"/>
      <c r="AZ55" s="3083"/>
    </row>
    <row r="56" spans="1:52" ht="14.25">
      <c r="A56" s="2768" t="s">
        <v>2874</v>
      </c>
      <c r="B56" s="182"/>
      <c r="C56" s="3091">
        <v>18</v>
      </c>
      <c r="D56" s="3095"/>
      <c r="E56" s="3086"/>
      <c r="F56" s="3086"/>
      <c r="G56" s="3086"/>
      <c r="H56" s="3086"/>
      <c r="I56" s="3086"/>
      <c r="J56" s="3086"/>
      <c r="K56" s="3085"/>
      <c r="L56" s="3085"/>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3"/>
      <c r="AI56" s="3083"/>
      <c r="AJ56" s="3083"/>
      <c r="AK56" s="3083"/>
      <c r="AL56" s="3083"/>
      <c r="AM56" s="3083"/>
      <c r="AN56" s="3083"/>
      <c r="AO56" s="3083"/>
      <c r="AP56" s="3083"/>
      <c r="AQ56" s="3083"/>
      <c r="AR56" s="3083"/>
      <c r="AS56" s="3083"/>
      <c r="AT56" s="3083"/>
      <c r="AU56" s="3083"/>
      <c r="AV56" s="3083"/>
      <c r="AW56" s="3083"/>
      <c r="AX56" s="3083"/>
      <c r="AY56" s="3083"/>
      <c r="AZ56" s="3083"/>
    </row>
    <row r="57" spans="1:52" ht="14.25">
      <c r="A57" s="2768" t="s">
        <v>2875</v>
      </c>
      <c r="B57" s="182"/>
      <c r="C57" s="3091">
        <v>12</v>
      </c>
      <c r="D57" s="3095"/>
      <c r="E57" s="3086"/>
      <c r="F57" s="3086"/>
      <c r="G57" s="3086"/>
      <c r="H57" s="3086"/>
      <c r="I57" s="3086"/>
      <c r="J57" s="3086"/>
      <c r="K57" s="3085"/>
      <c r="L57" s="3085"/>
      <c r="M57" s="3083"/>
      <c r="N57" s="3083"/>
      <c r="O57" s="3083"/>
      <c r="P57" s="3083"/>
      <c r="Q57" s="3083"/>
      <c r="R57" s="3083"/>
      <c r="S57" s="3083"/>
      <c r="T57" s="3083"/>
      <c r="U57" s="3083"/>
      <c r="V57" s="3083"/>
      <c r="W57" s="3083"/>
      <c r="X57" s="3083"/>
      <c r="Y57" s="3083"/>
      <c r="Z57" s="3083"/>
      <c r="AA57" s="3083"/>
      <c r="AB57" s="3083"/>
      <c r="AC57" s="3083"/>
      <c r="AD57" s="3083"/>
      <c r="AE57" s="3083"/>
      <c r="AF57" s="3083"/>
      <c r="AG57" s="3083"/>
      <c r="AH57" s="3083"/>
      <c r="AI57" s="3083"/>
      <c r="AJ57" s="3083"/>
      <c r="AK57" s="3083"/>
      <c r="AL57" s="3083"/>
      <c r="AM57" s="3083"/>
      <c r="AN57" s="3083"/>
      <c r="AO57" s="3083"/>
      <c r="AP57" s="3083"/>
      <c r="AQ57" s="3083"/>
      <c r="AR57" s="3083"/>
      <c r="AS57" s="3083"/>
      <c r="AT57" s="3083"/>
      <c r="AU57" s="3083"/>
      <c r="AV57" s="3083"/>
      <c r="AW57" s="3083"/>
      <c r="AX57" s="3083"/>
      <c r="AY57" s="3083"/>
      <c r="AZ57" s="3083"/>
    </row>
    <row r="58" spans="1:52" ht="14.25">
      <c r="A58" s="2768" t="s">
        <v>2876</v>
      </c>
      <c r="B58" s="182"/>
      <c r="C58" s="3091">
        <v>3</v>
      </c>
      <c r="D58" s="3095"/>
      <c r="E58" s="3086"/>
      <c r="F58" s="3086"/>
      <c r="G58" s="3086"/>
      <c r="H58" s="3086"/>
      <c r="I58" s="3086"/>
      <c r="J58" s="3086"/>
      <c r="K58" s="3085"/>
      <c r="L58" s="3085"/>
      <c r="M58" s="3083"/>
      <c r="N58" s="3083"/>
      <c r="O58" s="3083"/>
      <c r="P58" s="3083"/>
      <c r="Q58" s="3083"/>
      <c r="R58" s="3083"/>
      <c r="S58" s="3083"/>
      <c r="T58" s="3083"/>
      <c r="U58" s="3083"/>
      <c r="V58" s="3083"/>
      <c r="W58" s="3083"/>
      <c r="X58" s="3083"/>
      <c r="Y58" s="3083"/>
      <c r="Z58" s="3083"/>
      <c r="AA58" s="3083"/>
      <c r="AB58" s="3083"/>
      <c r="AC58" s="3083"/>
      <c r="AD58" s="3083"/>
      <c r="AE58" s="3083"/>
      <c r="AF58" s="3083"/>
      <c r="AG58" s="3083"/>
      <c r="AH58" s="3083"/>
      <c r="AI58" s="3083"/>
      <c r="AJ58" s="3083"/>
      <c r="AK58" s="3083"/>
      <c r="AL58" s="3083"/>
      <c r="AM58" s="3083"/>
      <c r="AN58" s="3083"/>
      <c r="AO58" s="3083"/>
      <c r="AP58" s="3083"/>
      <c r="AQ58" s="3083"/>
      <c r="AR58" s="3083"/>
      <c r="AS58" s="3083"/>
      <c r="AT58" s="3083"/>
      <c r="AU58" s="3083"/>
      <c r="AV58" s="3083"/>
      <c r="AW58" s="3083"/>
      <c r="AX58" s="3083"/>
      <c r="AY58" s="3083"/>
      <c r="AZ58" s="3083"/>
    </row>
    <row r="59" spans="1:52" ht="14.25">
      <c r="A59" s="2768" t="s">
        <v>2877</v>
      </c>
      <c r="B59" s="182">
        <v>1.5</v>
      </c>
      <c r="C59" s="3091">
        <v>1.5</v>
      </c>
      <c r="D59" s="3095"/>
      <c r="E59" s="3086"/>
      <c r="F59" s="3086"/>
      <c r="G59" s="3086"/>
      <c r="H59" s="3086"/>
      <c r="I59" s="3086"/>
      <c r="J59" s="3086"/>
      <c r="K59" s="3085"/>
      <c r="L59" s="3085"/>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083"/>
      <c r="AW59" s="3083"/>
      <c r="AX59" s="3083"/>
      <c r="AY59" s="3083"/>
      <c r="AZ59" s="3083"/>
    </row>
    <row r="60" spans="1:52" ht="14.25">
      <c r="A60" s="2768" t="s">
        <v>2878</v>
      </c>
      <c r="B60" s="182"/>
      <c r="C60" s="3086"/>
      <c r="D60" s="3087"/>
      <c r="E60" s="3086"/>
      <c r="F60" s="3086"/>
      <c r="G60" s="3086"/>
      <c r="H60" s="3086"/>
      <c r="I60" s="3086"/>
      <c r="J60" s="3086"/>
      <c r="K60" s="3085"/>
      <c r="L60" s="3085"/>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c r="AI60" s="3083"/>
      <c r="AJ60" s="3083"/>
      <c r="AK60" s="3083"/>
      <c r="AL60" s="3083"/>
      <c r="AM60" s="3083"/>
      <c r="AN60" s="3083"/>
      <c r="AO60" s="3083"/>
      <c r="AP60" s="3083"/>
      <c r="AQ60" s="3083"/>
      <c r="AR60" s="3083"/>
      <c r="AS60" s="3083"/>
      <c r="AT60" s="3083"/>
      <c r="AU60" s="3083"/>
      <c r="AV60" s="3083"/>
      <c r="AW60" s="3083"/>
      <c r="AX60" s="3083"/>
      <c r="AY60" s="3083"/>
      <c r="AZ60" s="3083"/>
    </row>
    <row r="61" spans="1:52" ht="14.25">
      <c r="A61" s="2768" t="s">
        <v>2879</v>
      </c>
      <c r="B61" s="182"/>
      <c r="C61" s="3086"/>
      <c r="D61" s="3087"/>
      <c r="E61" s="3086"/>
      <c r="F61" s="3086"/>
      <c r="G61" s="3086"/>
      <c r="H61" s="3086"/>
      <c r="I61" s="3086"/>
      <c r="J61" s="3086"/>
      <c r="K61" s="3085"/>
      <c r="L61" s="3085"/>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c r="AI61" s="3083"/>
      <c r="AJ61" s="3083"/>
      <c r="AK61" s="3083"/>
      <c r="AL61" s="3083"/>
      <c r="AM61" s="3083"/>
      <c r="AN61" s="3083"/>
      <c r="AO61" s="3083"/>
      <c r="AP61" s="3083"/>
      <c r="AQ61" s="3083"/>
      <c r="AR61" s="3083"/>
      <c r="AS61" s="3083"/>
      <c r="AT61" s="3083"/>
      <c r="AU61" s="3083"/>
      <c r="AV61" s="3083"/>
      <c r="AW61" s="3083"/>
      <c r="AX61" s="3083"/>
      <c r="AY61" s="3083"/>
      <c r="AZ61" s="3083"/>
    </row>
    <row r="62" spans="1:52" ht="14.25">
      <c r="A62" s="2768" t="s">
        <v>2880</v>
      </c>
      <c r="B62" s="182"/>
      <c r="C62" s="3086"/>
      <c r="D62" s="3087"/>
      <c r="E62" s="3086"/>
      <c r="F62" s="3086"/>
      <c r="G62" s="3086"/>
      <c r="H62" s="3086"/>
      <c r="I62" s="3086"/>
      <c r="J62" s="3086"/>
      <c r="K62" s="3085"/>
      <c r="L62" s="3085"/>
      <c r="M62" s="3083"/>
      <c r="N62" s="3083"/>
      <c r="O62" s="3083"/>
      <c r="P62" s="3083"/>
      <c r="Q62" s="3083"/>
      <c r="R62" s="3083"/>
      <c r="S62" s="3083"/>
      <c r="T62" s="3083"/>
      <c r="U62" s="3083"/>
      <c r="V62" s="3083"/>
      <c r="W62" s="3083"/>
      <c r="X62" s="3083"/>
      <c r="Y62" s="3083"/>
      <c r="Z62" s="3083"/>
      <c r="AA62" s="3083"/>
      <c r="AB62" s="3083"/>
      <c r="AC62" s="3083"/>
      <c r="AD62" s="3083"/>
      <c r="AE62" s="3083"/>
      <c r="AF62" s="3083"/>
      <c r="AG62" s="3083"/>
      <c r="AH62" s="3083"/>
      <c r="AI62" s="3083"/>
      <c r="AJ62" s="3083"/>
      <c r="AK62" s="3083"/>
      <c r="AL62" s="3083"/>
      <c r="AM62" s="3083"/>
      <c r="AN62" s="3083"/>
      <c r="AO62" s="3083"/>
      <c r="AP62" s="3083"/>
      <c r="AQ62" s="3083"/>
      <c r="AR62" s="3083"/>
      <c r="AS62" s="3083"/>
      <c r="AT62" s="3083"/>
      <c r="AU62" s="3083"/>
      <c r="AV62" s="3083"/>
      <c r="AW62" s="3083"/>
      <c r="AX62" s="3083"/>
      <c r="AY62" s="3083"/>
      <c r="AZ62" s="3083"/>
    </row>
    <row r="63" spans="1:52" ht="15" thickBot="1">
      <c r="A63" s="2769" t="s">
        <v>2881</v>
      </c>
      <c r="B63" s="248"/>
      <c r="C63" s="3086"/>
      <c r="D63" s="3087"/>
      <c r="E63" s="3086"/>
      <c r="F63" s="3086"/>
      <c r="G63" s="3086"/>
      <c r="H63" s="3086"/>
      <c r="I63" s="3086"/>
      <c r="J63" s="3086"/>
      <c r="K63" s="3085"/>
      <c r="L63" s="3085"/>
      <c r="M63" s="3083"/>
      <c r="N63" s="3083"/>
      <c r="O63" s="3083"/>
      <c r="P63" s="3083"/>
      <c r="Q63" s="3083"/>
      <c r="R63" s="3083"/>
      <c r="S63" s="3083"/>
      <c r="T63" s="3083"/>
      <c r="U63" s="3083"/>
      <c r="V63" s="3083"/>
      <c r="W63" s="3083"/>
      <c r="X63" s="3083"/>
      <c r="Y63" s="3083"/>
      <c r="Z63" s="3083"/>
      <c r="AA63" s="3083"/>
      <c r="AB63" s="3083"/>
      <c r="AC63" s="3083"/>
      <c r="AD63" s="3083"/>
      <c r="AE63" s="3083"/>
      <c r="AF63" s="3083"/>
      <c r="AG63" s="3083"/>
      <c r="AH63" s="3083"/>
      <c r="AI63" s="3083"/>
      <c r="AJ63" s="3083"/>
      <c r="AK63" s="3083"/>
      <c r="AL63" s="3083"/>
      <c r="AM63" s="3083"/>
      <c r="AN63" s="3083"/>
      <c r="AO63" s="3083"/>
      <c r="AP63" s="3083"/>
      <c r="AQ63" s="3083"/>
      <c r="AR63" s="3083"/>
      <c r="AS63" s="3083"/>
      <c r="AT63" s="3083"/>
      <c r="AU63" s="3083"/>
      <c r="AV63" s="3083"/>
      <c r="AW63" s="3083"/>
      <c r="AX63" s="3083"/>
      <c r="AY63" s="3083"/>
      <c r="AZ63" s="3083"/>
    </row>
    <row r="64" spans="1:52" s="1903" customFormat="1">
      <c r="A64" s="249"/>
      <c r="D64" s="1904"/>
      <c r="K64" s="57"/>
      <c r="L64" s="57"/>
    </row>
    <row r="65" spans="1:12" s="1903" customFormat="1">
      <c r="A65" s="249"/>
      <c r="D65" s="1904"/>
      <c r="K65" s="57"/>
      <c r="L65" s="57"/>
    </row>
    <row r="66" spans="1:12" s="1903" customFormat="1">
      <c r="A66" s="249"/>
      <c r="D66" s="1904"/>
      <c r="K66" s="57"/>
      <c r="L66" s="57"/>
    </row>
    <row r="67" spans="1:12" s="1903" customFormat="1">
      <c r="A67" s="249"/>
      <c r="D67" s="1904"/>
      <c r="K67" s="57"/>
      <c r="L67" s="57"/>
    </row>
    <row r="68" spans="1:12" s="1903" customFormat="1">
      <c r="A68" s="249"/>
      <c r="D68" s="1904"/>
      <c r="K68" s="57"/>
      <c r="L68" s="57"/>
    </row>
    <row r="69" spans="1:12" s="1903" customFormat="1">
      <c r="A69" s="249"/>
      <c r="D69" s="1904"/>
      <c r="K69" s="57"/>
      <c r="L69" s="57"/>
    </row>
    <row r="70" spans="1:12" s="1903" customFormat="1">
      <c r="A70" s="249"/>
      <c r="D70" s="1904"/>
      <c r="K70" s="57"/>
      <c r="L70" s="57"/>
    </row>
    <row r="71" spans="1:12" s="1903" customFormat="1">
      <c r="A71" s="249"/>
      <c r="D71" s="1904"/>
      <c r="K71" s="57"/>
      <c r="L71" s="57"/>
    </row>
    <row r="72" spans="1:12" s="1903" customFormat="1">
      <c r="A72" s="249"/>
      <c r="D72" s="1904"/>
      <c r="K72" s="57"/>
      <c r="L72" s="57"/>
    </row>
    <row r="73" spans="1:12" s="1903" customFormat="1">
      <c r="A73" s="249"/>
      <c r="D73" s="1904"/>
      <c r="K73" s="57"/>
      <c r="L73" s="57"/>
    </row>
    <row r="74" spans="1:12" s="1903" customFormat="1">
      <c r="A74" s="249"/>
      <c r="D74" s="1904"/>
      <c r="K74" s="57"/>
      <c r="L74" s="57"/>
    </row>
    <row r="75" spans="1:12" s="1903" customFormat="1">
      <c r="A75" s="249"/>
      <c r="D75" s="1904"/>
      <c r="K75" s="57"/>
      <c r="L75" s="57"/>
    </row>
    <row r="76" spans="1:12" s="1903" customFormat="1">
      <c r="A76" s="249"/>
      <c r="D76" s="1904"/>
      <c r="K76" s="57"/>
      <c r="L76" s="57"/>
    </row>
    <row r="77" spans="1:12" s="1903" customFormat="1">
      <c r="A77" s="249"/>
      <c r="D77" s="1904"/>
      <c r="K77" s="57"/>
      <c r="L77" s="57"/>
    </row>
    <row r="78" spans="1:12" s="1903" customFormat="1">
      <c r="A78" s="249"/>
      <c r="D78" s="1904"/>
      <c r="K78" s="57"/>
      <c r="L78" s="57"/>
    </row>
    <row r="79" spans="1:12" s="1903" customFormat="1">
      <c r="A79" s="249"/>
      <c r="D79" s="1904"/>
      <c r="K79" s="57"/>
      <c r="L79" s="57"/>
    </row>
    <row r="80" spans="1:12" s="1903" customFormat="1">
      <c r="A80" s="249"/>
      <c r="D80" s="1904"/>
      <c r="K80" s="57"/>
      <c r="L80" s="57"/>
    </row>
    <row r="81" spans="1:12" s="1903" customFormat="1">
      <c r="A81" s="249"/>
      <c r="D81" s="1904"/>
      <c r="K81" s="57"/>
      <c r="L81" s="57"/>
    </row>
    <row r="82" spans="1:12" s="1903" customFormat="1">
      <c r="A82" s="249"/>
      <c r="D82" s="1904"/>
      <c r="K82" s="57"/>
      <c r="L82" s="57"/>
    </row>
    <row r="83" spans="1:12" s="1903" customFormat="1">
      <c r="A83" s="249"/>
      <c r="D83" s="1904"/>
      <c r="K83" s="57"/>
      <c r="L83" s="57"/>
    </row>
    <row r="84" spans="1:12" s="1903" customFormat="1">
      <c r="A84" s="249"/>
      <c r="D84" s="1904"/>
      <c r="K84" s="57"/>
      <c r="L84" s="57"/>
    </row>
    <row r="85" spans="1:12" s="1903" customFormat="1">
      <c r="A85" s="249"/>
      <c r="D85" s="1904"/>
      <c r="K85" s="57"/>
      <c r="L85" s="57"/>
    </row>
    <row r="86" spans="1:12" s="1903" customFormat="1">
      <c r="A86" s="249"/>
      <c r="D86" s="1904"/>
      <c r="K86" s="57"/>
      <c r="L86" s="57"/>
    </row>
    <row r="87" spans="1:12" s="1903" customFormat="1">
      <c r="A87" s="249"/>
      <c r="D87" s="1904"/>
      <c r="K87" s="57"/>
      <c r="L87" s="57"/>
    </row>
    <row r="88" spans="1:12" s="1903" customFormat="1">
      <c r="A88" s="249"/>
      <c r="D88" s="1904"/>
      <c r="K88" s="57"/>
      <c r="L88" s="57"/>
    </row>
    <row r="89" spans="1:12" s="1903" customFormat="1">
      <c r="A89" s="249"/>
      <c r="D89" s="1904"/>
      <c r="K89" s="57"/>
      <c r="L89" s="57"/>
    </row>
    <row r="90" spans="1:12" s="1903" customFormat="1">
      <c r="A90" s="249"/>
      <c r="D90" s="1904"/>
      <c r="K90" s="57"/>
      <c r="L90" s="57"/>
    </row>
    <row r="91" spans="1:12" s="1903" customFormat="1">
      <c r="A91" s="249"/>
      <c r="D91" s="1904"/>
      <c r="K91" s="57"/>
      <c r="L91" s="57"/>
    </row>
    <row r="92" spans="1:12" s="1903" customFormat="1">
      <c r="A92" s="249"/>
      <c r="D92" s="1904"/>
      <c r="K92" s="57"/>
      <c r="L92" s="57"/>
    </row>
    <row r="93" spans="1:12" s="1903" customFormat="1">
      <c r="A93" s="249"/>
      <c r="D93" s="1904"/>
      <c r="K93" s="57"/>
      <c r="L93" s="57"/>
    </row>
    <row r="94" spans="1:12" s="1903" customFormat="1">
      <c r="A94" s="249"/>
      <c r="D94" s="1904"/>
      <c r="K94" s="57"/>
      <c r="L94" s="57"/>
    </row>
    <row r="95" spans="1:12" s="1903" customFormat="1">
      <c r="A95" s="249"/>
      <c r="D95" s="1904"/>
      <c r="K95" s="57"/>
      <c r="L95" s="57"/>
    </row>
    <row r="96" spans="1:12" s="1903" customFormat="1">
      <c r="A96" s="249"/>
      <c r="D96" s="1904"/>
      <c r="K96" s="57"/>
      <c r="L96" s="57"/>
    </row>
    <row r="97" spans="1:12" s="1903" customFormat="1">
      <c r="A97" s="249"/>
      <c r="D97" s="1904"/>
      <c r="K97" s="57"/>
      <c r="L97" s="57"/>
    </row>
    <row r="98" spans="1:12" s="1903" customFormat="1">
      <c r="A98" s="249"/>
      <c r="D98" s="1904"/>
      <c r="K98" s="57"/>
      <c r="L98" s="57"/>
    </row>
    <row r="99" spans="1:12" s="1903" customFormat="1">
      <c r="A99" s="249"/>
      <c r="D99" s="1904"/>
      <c r="K99" s="57"/>
      <c r="L99" s="57"/>
    </row>
    <row r="100" spans="1:12" s="1903" customFormat="1">
      <c r="A100" s="249"/>
      <c r="D100" s="1904"/>
      <c r="K100" s="57"/>
      <c r="L100" s="57"/>
    </row>
    <row r="101" spans="1:12" s="1903" customFormat="1">
      <c r="A101" s="249"/>
      <c r="D101" s="1904"/>
      <c r="K101" s="57"/>
      <c r="L101" s="57"/>
    </row>
    <row r="102" spans="1:12" s="1903" customFormat="1">
      <c r="A102" s="249"/>
      <c r="D102" s="1904"/>
      <c r="K102" s="57"/>
      <c r="L102" s="57"/>
    </row>
    <row r="103" spans="1:12" s="1903" customFormat="1">
      <c r="A103" s="249"/>
      <c r="D103" s="1904"/>
      <c r="K103" s="57"/>
      <c r="L103" s="57"/>
    </row>
    <row r="104" spans="1:12" s="1903" customFormat="1">
      <c r="A104" s="249"/>
      <c r="D104" s="1904"/>
      <c r="K104" s="57"/>
      <c r="L104" s="57"/>
    </row>
    <row r="105" spans="1:12" s="1903" customFormat="1">
      <c r="A105" s="249"/>
      <c r="D105" s="1904"/>
      <c r="K105" s="57"/>
      <c r="L105" s="57"/>
    </row>
    <row r="106" spans="1:12" s="1903" customFormat="1">
      <c r="A106" s="249"/>
      <c r="D106" s="1904"/>
      <c r="K106" s="57"/>
      <c r="L106" s="57"/>
    </row>
    <row r="107" spans="1:12" s="1903" customFormat="1">
      <c r="A107" s="249"/>
      <c r="D107" s="1904"/>
      <c r="K107" s="57"/>
      <c r="L107" s="57"/>
    </row>
    <row r="108" spans="1:12" s="1903" customFormat="1">
      <c r="A108" s="249"/>
      <c r="D108" s="1904"/>
      <c r="K108" s="57"/>
      <c r="L108" s="57"/>
    </row>
    <row r="109" spans="1:12" s="1903" customFormat="1">
      <c r="A109" s="249"/>
      <c r="D109" s="1904"/>
      <c r="K109" s="57"/>
      <c r="L109" s="57"/>
    </row>
    <row r="110" spans="1:12" s="1903" customFormat="1">
      <c r="A110" s="249"/>
      <c r="D110" s="1904"/>
      <c r="K110" s="57"/>
      <c r="L110" s="57"/>
    </row>
    <row r="111" spans="1:12" s="1903" customFormat="1">
      <c r="A111" s="249"/>
      <c r="D111" s="1904"/>
      <c r="K111" s="57"/>
      <c r="L111" s="57"/>
    </row>
    <row r="112" spans="1:12" s="1903" customFormat="1">
      <c r="A112" s="249"/>
      <c r="D112" s="1904"/>
      <c r="K112" s="57"/>
      <c r="L112" s="57"/>
    </row>
    <row r="113" spans="1:12" s="1903" customFormat="1">
      <c r="A113" s="249"/>
      <c r="D113" s="1904"/>
      <c r="K113" s="57"/>
      <c r="L113" s="57"/>
    </row>
    <row r="114" spans="1:12" s="1903" customFormat="1">
      <c r="A114" s="249"/>
      <c r="D114" s="1904"/>
      <c r="K114" s="57"/>
      <c r="L114" s="57"/>
    </row>
    <row r="115" spans="1:12" s="1903" customFormat="1">
      <c r="A115" s="249"/>
      <c r="D115" s="1904"/>
      <c r="K115" s="57"/>
      <c r="L115" s="57"/>
    </row>
    <row r="116" spans="1:12" s="1903" customFormat="1">
      <c r="A116" s="249"/>
      <c r="D116" s="1904"/>
      <c r="K116" s="57"/>
      <c r="L116" s="57"/>
    </row>
    <row r="117" spans="1:12" s="1903" customFormat="1">
      <c r="A117" s="249"/>
      <c r="D117" s="1904"/>
      <c r="K117" s="57"/>
      <c r="L117" s="57"/>
    </row>
    <row r="118" spans="1:12" s="1903" customFormat="1">
      <c r="A118" s="249"/>
      <c r="D118" s="1904"/>
      <c r="K118" s="57"/>
      <c r="L118" s="57"/>
    </row>
    <row r="119" spans="1:12" s="1903" customFormat="1">
      <c r="A119" s="249"/>
      <c r="D119" s="1904"/>
      <c r="K119" s="57"/>
      <c r="L119" s="57"/>
    </row>
    <row r="120" spans="1:12" s="1903" customFormat="1">
      <c r="A120" s="249"/>
      <c r="D120" s="1904"/>
      <c r="K120" s="57"/>
      <c r="L120" s="57"/>
    </row>
    <row r="121" spans="1:12" s="1903" customFormat="1">
      <c r="A121" s="249"/>
      <c r="D121" s="1904"/>
      <c r="K121" s="57"/>
      <c r="L121" s="57"/>
    </row>
    <row r="122" spans="1:12" s="1903" customFormat="1">
      <c r="A122" s="249"/>
      <c r="D122" s="1904"/>
      <c r="K122" s="57"/>
      <c r="L122" s="57"/>
    </row>
    <row r="123" spans="1:12" s="1903" customFormat="1">
      <c r="A123" s="249"/>
      <c r="D123" s="1904"/>
      <c r="K123" s="57"/>
      <c r="L123" s="57"/>
    </row>
    <row r="124" spans="1:12" s="1903" customFormat="1">
      <c r="A124" s="249"/>
      <c r="D124" s="1904"/>
      <c r="K124" s="57"/>
      <c r="L124" s="57"/>
    </row>
    <row r="125" spans="1:12" s="1903" customFormat="1">
      <c r="A125" s="249"/>
      <c r="D125" s="1904"/>
      <c r="K125" s="57"/>
      <c r="L125" s="57"/>
    </row>
    <row r="126" spans="1:12" s="1903" customFormat="1">
      <c r="A126" s="249"/>
      <c r="D126" s="1904"/>
      <c r="K126" s="57"/>
      <c r="L126" s="57"/>
    </row>
    <row r="127" spans="1:12" s="1903" customFormat="1">
      <c r="A127" s="249"/>
      <c r="D127" s="1904"/>
      <c r="K127" s="57"/>
      <c r="L127" s="57"/>
    </row>
    <row r="128" spans="1:12" s="1903" customFormat="1">
      <c r="A128" s="249"/>
      <c r="D128" s="1904"/>
      <c r="K128" s="57"/>
      <c r="L128" s="57"/>
    </row>
    <row r="129" spans="1:12" s="1903" customFormat="1">
      <c r="A129" s="249"/>
      <c r="D129" s="1904"/>
      <c r="K129" s="57"/>
      <c r="L129" s="57"/>
    </row>
    <row r="130" spans="1:12" s="1903" customFormat="1">
      <c r="A130" s="249"/>
      <c r="D130" s="1904"/>
      <c r="K130" s="57"/>
      <c r="L130" s="57"/>
    </row>
    <row r="131" spans="1:12" s="1903" customFormat="1">
      <c r="A131" s="249"/>
      <c r="D131" s="1904"/>
      <c r="K131" s="57"/>
      <c r="L131" s="57"/>
    </row>
    <row r="132" spans="1:12" s="1903" customFormat="1">
      <c r="A132" s="249"/>
      <c r="D132" s="1904"/>
      <c r="K132" s="57"/>
      <c r="L132" s="57"/>
    </row>
    <row r="133" spans="1:12" s="1903" customFormat="1">
      <c r="A133" s="249"/>
      <c r="D133" s="1904"/>
      <c r="K133" s="57"/>
      <c r="L133" s="57"/>
    </row>
    <row r="134" spans="1:12" s="1903" customFormat="1">
      <c r="A134" s="249"/>
      <c r="D134" s="1904"/>
      <c r="K134" s="57"/>
      <c r="L134" s="57"/>
    </row>
    <row r="135" spans="1:12" s="1903" customFormat="1">
      <c r="A135" s="249"/>
      <c r="D135" s="1904"/>
      <c r="K135" s="57"/>
      <c r="L135" s="57"/>
    </row>
    <row r="136" spans="1:12" s="1903" customFormat="1">
      <c r="A136" s="249"/>
      <c r="D136" s="1904"/>
      <c r="K136" s="57"/>
      <c r="L136" s="57"/>
    </row>
    <row r="137" spans="1:12" s="1903" customFormat="1">
      <c r="A137" s="249"/>
      <c r="D137" s="1904"/>
      <c r="K137" s="57"/>
      <c r="L137" s="57"/>
    </row>
    <row r="138" spans="1:12" s="1903" customFormat="1">
      <c r="A138" s="249"/>
      <c r="D138" s="1904"/>
      <c r="K138" s="57"/>
      <c r="L138" s="57"/>
    </row>
    <row r="139" spans="1:12" s="1903" customFormat="1">
      <c r="A139" s="249"/>
      <c r="D139" s="1904"/>
      <c r="K139" s="57"/>
      <c r="L139" s="57"/>
    </row>
    <row r="140" spans="1:12" s="1903" customFormat="1">
      <c r="A140" s="249"/>
      <c r="D140" s="1904"/>
      <c r="K140" s="57"/>
      <c r="L140" s="57"/>
    </row>
    <row r="141" spans="1:12" s="1903" customFormat="1">
      <c r="A141" s="249"/>
      <c r="D141" s="1904"/>
      <c r="K141" s="57"/>
      <c r="L141" s="57"/>
    </row>
    <row r="142" spans="1:12" s="1903" customFormat="1">
      <c r="A142" s="249"/>
      <c r="D142" s="1904"/>
      <c r="K142" s="57"/>
      <c r="L142" s="57"/>
    </row>
    <row r="143" spans="1:12" s="1903" customFormat="1">
      <c r="A143" s="249"/>
      <c r="D143" s="1904"/>
      <c r="K143" s="57"/>
      <c r="L143" s="57"/>
    </row>
    <row r="144" spans="1:12" s="1903" customFormat="1">
      <c r="A144" s="249"/>
      <c r="D144" s="1904"/>
      <c r="K144" s="57"/>
      <c r="L144" s="57"/>
    </row>
    <row r="145" spans="1:12" s="1903" customFormat="1">
      <c r="A145" s="249"/>
      <c r="D145" s="1904"/>
      <c r="K145" s="57"/>
      <c r="L145" s="57"/>
    </row>
    <row r="146" spans="1:12" s="1903" customFormat="1">
      <c r="A146" s="249"/>
      <c r="D146" s="1904"/>
      <c r="K146" s="57"/>
      <c r="L146" s="57"/>
    </row>
    <row r="147" spans="1:12" s="1903" customFormat="1">
      <c r="A147" s="249"/>
      <c r="D147" s="1904"/>
      <c r="K147" s="57"/>
      <c r="L147" s="57"/>
    </row>
    <row r="148" spans="1:12" s="1903" customFormat="1">
      <c r="A148" s="249"/>
      <c r="D148" s="1904"/>
      <c r="K148" s="57"/>
      <c r="L148" s="57"/>
    </row>
    <row r="149" spans="1:12" s="1903" customFormat="1">
      <c r="A149" s="249"/>
      <c r="D149" s="1904"/>
      <c r="K149" s="57"/>
      <c r="L149" s="57"/>
    </row>
    <row r="150" spans="1:12" s="1903" customFormat="1">
      <c r="A150" s="249"/>
      <c r="D150" s="1904"/>
      <c r="K150" s="57"/>
      <c r="L150" s="57"/>
    </row>
    <row r="151" spans="1:12" s="1903" customFormat="1">
      <c r="A151" s="249"/>
      <c r="D151" s="1904"/>
      <c r="K151" s="57"/>
      <c r="L151" s="57"/>
    </row>
    <row r="152" spans="1:12" s="1903" customFormat="1">
      <c r="A152" s="249"/>
      <c r="D152" s="1904"/>
      <c r="K152" s="57"/>
      <c r="L152" s="57"/>
    </row>
    <row r="153" spans="1:12" s="1903" customFormat="1">
      <c r="A153" s="249"/>
      <c r="D153" s="1904"/>
      <c r="K153" s="57"/>
      <c r="L153" s="57"/>
    </row>
    <row r="154" spans="1:12" s="1903" customFormat="1">
      <c r="A154" s="249"/>
      <c r="D154" s="1904"/>
      <c r="K154" s="57"/>
      <c r="L154" s="57"/>
    </row>
    <row r="155" spans="1:12" s="1903" customFormat="1">
      <c r="A155" s="249"/>
      <c r="D155" s="1904"/>
      <c r="K155" s="57"/>
      <c r="L155" s="57"/>
    </row>
    <row r="156" spans="1:12" s="1903" customFormat="1">
      <c r="A156" s="249"/>
      <c r="D156" s="1904"/>
      <c r="K156" s="57"/>
      <c r="L156" s="57"/>
    </row>
    <row r="157" spans="1:12" s="1903" customFormat="1">
      <c r="A157" s="249"/>
      <c r="D157" s="1904"/>
      <c r="K157" s="57"/>
      <c r="L157" s="57"/>
    </row>
    <row r="158" spans="1:12" s="1903" customFormat="1">
      <c r="A158" s="249"/>
      <c r="D158" s="1904"/>
      <c r="K158" s="57"/>
      <c r="L158" s="57"/>
    </row>
    <row r="159" spans="1:12" s="1903" customFormat="1">
      <c r="A159" s="249"/>
      <c r="D159" s="1904"/>
      <c r="K159" s="57"/>
      <c r="L159" s="57"/>
    </row>
    <row r="160" spans="1:12" s="1903" customFormat="1">
      <c r="A160" s="249"/>
      <c r="D160" s="1904"/>
      <c r="K160" s="57"/>
      <c r="L160" s="57"/>
    </row>
    <row r="161" spans="1:12" s="1903" customFormat="1">
      <c r="A161" s="249"/>
      <c r="D161" s="1904"/>
      <c r="K161" s="57"/>
      <c r="L161" s="57"/>
    </row>
    <row r="162" spans="1:12" s="1903" customFormat="1">
      <c r="A162" s="249"/>
      <c r="D162" s="1904"/>
      <c r="K162" s="57"/>
      <c r="L162" s="57"/>
    </row>
    <row r="163" spans="1:12" s="1903" customFormat="1">
      <c r="A163" s="249"/>
      <c r="D163" s="1904"/>
      <c r="K163" s="57"/>
      <c r="L163" s="57"/>
    </row>
    <row r="164" spans="1:12" s="1903" customFormat="1">
      <c r="A164" s="249"/>
      <c r="D164" s="1904"/>
      <c r="K164" s="57"/>
      <c r="L164" s="57"/>
    </row>
    <row r="165" spans="1:12" s="1903" customFormat="1">
      <c r="A165" s="249"/>
      <c r="D165" s="1904"/>
      <c r="K165" s="57"/>
      <c r="L165" s="57"/>
    </row>
    <row r="166" spans="1:12" s="1903" customFormat="1">
      <c r="A166" s="249"/>
      <c r="D166" s="1904"/>
      <c r="K166" s="57"/>
      <c r="L166" s="57"/>
    </row>
    <row r="167" spans="1:12" s="1903" customFormat="1">
      <c r="A167" s="249"/>
      <c r="D167" s="1904"/>
      <c r="K167" s="57"/>
      <c r="L167" s="57"/>
    </row>
    <row r="168" spans="1:12" s="1903" customFormat="1">
      <c r="A168" s="249"/>
      <c r="D168" s="1904"/>
      <c r="K168" s="57"/>
      <c r="L168" s="57"/>
    </row>
    <row r="169" spans="1:12" s="1903" customFormat="1">
      <c r="A169" s="249"/>
      <c r="D169" s="1904"/>
      <c r="K169" s="57"/>
      <c r="L169" s="57"/>
    </row>
    <row r="170" spans="1:12" s="1903" customFormat="1">
      <c r="A170" s="249"/>
      <c r="D170" s="1904"/>
      <c r="K170" s="57"/>
      <c r="L170" s="57"/>
    </row>
    <row r="171" spans="1:12" s="1903" customFormat="1">
      <c r="A171" s="249"/>
      <c r="D171" s="1904"/>
      <c r="K171" s="57"/>
      <c r="L171" s="57"/>
    </row>
    <row r="172" spans="1:12" s="1903" customFormat="1">
      <c r="A172" s="249"/>
      <c r="D172" s="1904"/>
      <c r="K172" s="57"/>
      <c r="L172" s="57"/>
    </row>
    <row r="173" spans="1:12" s="1903" customFormat="1">
      <c r="A173" s="249"/>
      <c r="D173" s="1904"/>
      <c r="K173" s="57"/>
      <c r="L173" s="57"/>
    </row>
    <row r="174" spans="1:12" s="1903" customFormat="1">
      <c r="A174" s="249"/>
      <c r="D174" s="1904"/>
      <c r="K174" s="57"/>
      <c r="L174" s="57"/>
    </row>
    <row r="175" spans="1:12" s="1903" customFormat="1">
      <c r="A175" s="249"/>
      <c r="D175" s="1904"/>
      <c r="K175" s="57"/>
      <c r="L175" s="57"/>
    </row>
    <row r="176" spans="1:12" s="1903" customFormat="1">
      <c r="A176" s="249"/>
      <c r="D176" s="1904"/>
      <c r="K176" s="57"/>
      <c r="L176" s="57"/>
    </row>
    <row r="177" spans="1:12" s="1903" customFormat="1">
      <c r="A177" s="249"/>
      <c r="D177" s="1904"/>
      <c r="K177" s="57"/>
      <c r="L177" s="57"/>
    </row>
    <row r="178" spans="1:12" s="1903" customFormat="1">
      <c r="A178" s="249"/>
      <c r="D178" s="1904"/>
      <c r="K178" s="57"/>
      <c r="L178" s="57"/>
    </row>
    <row r="179" spans="1:12" s="1903" customFormat="1">
      <c r="A179" s="249"/>
      <c r="D179" s="1904"/>
      <c r="K179" s="57"/>
      <c r="L179" s="57"/>
    </row>
    <row r="180" spans="1:12" s="1903" customFormat="1">
      <c r="A180" s="249"/>
      <c r="D180" s="1904"/>
      <c r="K180" s="57"/>
      <c r="L180" s="57"/>
    </row>
    <row r="181" spans="1:12" s="1903" customFormat="1">
      <c r="A181" s="249"/>
      <c r="D181" s="1904"/>
      <c r="K181" s="57"/>
      <c r="L181" s="57"/>
    </row>
    <row r="182" spans="1:12" s="1903" customFormat="1">
      <c r="A182" s="249"/>
      <c r="D182" s="1904"/>
      <c r="K182" s="57"/>
      <c r="L182" s="57"/>
    </row>
    <row r="183" spans="1:12" s="1903" customFormat="1">
      <c r="A183" s="249"/>
      <c r="D183" s="1904"/>
      <c r="K183" s="57"/>
      <c r="L183" s="57"/>
    </row>
    <row r="184" spans="1:12" s="1903" customFormat="1">
      <c r="A184" s="249"/>
      <c r="D184" s="1904"/>
      <c r="K184" s="57"/>
      <c r="L184" s="57"/>
    </row>
    <row r="185" spans="1:12" s="1903" customFormat="1">
      <c r="A185" s="249"/>
      <c r="D185" s="1904"/>
      <c r="K185" s="57"/>
      <c r="L185" s="57"/>
    </row>
    <row r="186" spans="1:12" s="1903" customFormat="1">
      <c r="A186" s="249"/>
      <c r="D186" s="1904"/>
      <c r="K186" s="57"/>
      <c r="L186" s="57"/>
    </row>
    <row r="187" spans="1:12" s="1903" customFormat="1">
      <c r="A187" s="249"/>
      <c r="D187" s="1904"/>
      <c r="K187" s="57"/>
      <c r="L187" s="57"/>
    </row>
    <row r="188" spans="1:12" s="1903" customFormat="1">
      <c r="A188" s="249"/>
      <c r="D188" s="1904"/>
      <c r="K188" s="57"/>
      <c r="L188" s="57"/>
    </row>
    <row r="189" spans="1:12" s="1903" customFormat="1">
      <c r="A189" s="249"/>
      <c r="D189" s="1904"/>
      <c r="K189" s="57"/>
      <c r="L189" s="57"/>
    </row>
    <row r="190" spans="1:12" s="1903" customFormat="1">
      <c r="A190" s="249"/>
      <c r="D190" s="1904"/>
      <c r="K190" s="57"/>
      <c r="L190" s="57"/>
    </row>
    <row r="191" spans="1:12" s="1903" customFormat="1">
      <c r="A191" s="249"/>
      <c r="D191" s="1904"/>
      <c r="K191" s="57"/>
      <c r="L191" s="57"/>
    </row>
    <row r="192" spans="1:12" s="1903" customFormat="1">
      <c r="A192" s="249"/>
      <c r="D192" s="1904"/>
      <c r="K192" s="57"/>
      <c r="L192" s="57"/>
    </row>
  </sheetData>
  <sheetProtection formatCells="0" formatColumns="0" formatRows="0"/>
  <dataConsolidate/>
  <phoneticPr fontId="3" type="noConversion"/>
  <conditionalFormatting sqref="T6:T15">
    <cfRule type="containsText" dxfId="262" priority="12" stopIfTrue="1" operator="containsText" text="自行计算">
      <formula>NOT(ISERROR(SEARCH("自行计算",T6)))</formula>
    </cfRule>
    <cfRule type="containsText" dxfId="261" priority="13" stopIfTrue="1" operator="containsText" text="自行计算">
      <formula>NOT(ISERROR(SEARCH("自行计算",T6)))</formula>
    </cfRule>
  </conditionalFormatting>
  <conditionalFormatting sqref="T6:T13">
    <cfRule type="containsText" dxfId="260" priority="10" stopIfTrue="1" operator="containsText" text="自行计算">
      <formula>NOT(ISERROR(SEARCH("自行计算",T6)))</formula>
    </cfRule>
    <cfRule type="containsText" dxfId="259" priority="11" stopIfTrue="1" operator="containsText" text="自行计算">
      <formula>NOT(ISERROR(SEARCH("自行计算",T6)))</formula>
    </cfRule>
  </conditionalFormatting>
  <conditionalFormatting sqref="T12:T13">
    <cfRule type="containsText" dxfId="258" priority="4" stopIfTrue="1" operator="containsText" text="自行计算">
      <formula>NOT(ISERROR(SEARCH("自行计算",T12)))</formula>
    </cfRule>
    <cfRule type="containsText" dxfId="257" priority="5" stopIfTrue="1" operator="containsText" text="自行计算">
      <formula>NOT(ISERROR(SEARCH("自行计算",T12)))</formula>
    </cfRule>
  </conditionalFormatting>
  <conditionalFormatting sqref="T12:T13">
    <cfRule type="containsText" dxfId="256" priority="2" stopIfTrue="1" operator="containsText" text="自行计算">
      <formula>NOT(ISERROR(SEARCH("自行计算",T12)))</formula>
    </cfRule>
    <cfRule type="containsText" dxfId="255" priority="3" stopIfTrue="1" operator="containsText" text="自行计算">
      <formula>NOT(ISERROR(SEARCH("自行计算",T12)))</formula>
    </cfRule>
  </conditionalFormatting>
  <conditionalFormatting sqref="T6:T15">
    <cfRule type="expression" dxfId="2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4" sqref="F14"/>
    </sheetView>
  </sheetViews>
  <sheetFormatPr defaultColWidth="9" defaultRowHeight="13.5"/>
  <cols>
    <col min="1" max="1" width="9.5" style="3117" customWidth="1"/>
    <col min="2" max="2" width="23.5" style="3151" customWidth="1"/>
    <col min="3" max="3" width="32.125" style="3153" customWidth="1"/>
    <col min="4" max="4" width="2.625" style="3153" customWidth="1"/>
    <col min="5" max="5" width="5.875" style="3153" customWidth="1"/>
    <col min="6" max="6" width="23.625" style="3151" customWidth="1"/>
    <col min="7" max="7" width="33.375" style="3152" customWidth="1"/>
    <col min="8" max="8" width="11.875" style="3151" customWidth="1"/>
    <col min="9" max="9" width="16.875" style="3152" customWidth="1"/>
    <col min="10" max="10" width="2.625" style="3153" customWidth="1"/>
    <col min="11" max="11" width="11.875" style="3151" customWidth="1"/>
    <col min="12" max="12" width="16.875" style="3152" customWidth="1"/>
    <col min="13" max="13" width="2.625" style="3153" customWidth="1"/>
    <col min="14" max="14" width="11.875" style="3151" customWidth="1"/>
    <col min="15" max="15" width="16.875" style="3152" customWidth="1"/>
    <col min="16" max="16" width="2.625" style="3153" customWidth="1"/>
    <col min="17" max="17" width="11.875" style="3151" customWidth="1"/>
    <col min="18" max="18" width="16.875" style="3154" customWidth="1"/>
    <col min="19" max="16384" width="9" style="3117"/>
  </cols>
  <sheetData>
    <row r="1" spans="1:18" s="3111" customFormat="1" ht="19.5" thickBot="1">
      <c r="A1" s="3606" t="s">
        <v>1653</v>
      </c>
      <c r="B1" s="3607"/>
      <c r="C1" s="3607"/>
      <c r="D1" s="3607"/>
      <c r="E1" s="3607"/>
      <c r="F1" s="3607"/>
      <c r="G1" s="3607"/>
      <c r="H1" s="3106"/>
      <c r="I1" s="3107"/>
      <c r="J1" s="3108"/>
      <c r="K1" s="3106"/>
      <c r="L1" s="3107"/>
      <c r="M1" s="3108"/>
      <c r="N1" s="3106"/>
      <c r="O1" s="3107"/>
      <c r="P1" s="3108"/>
      <c r="Q1" s="3109"/>
      <c r="R1" s="3110"/>
    </row>
    <row r="2" spans="1:18" ht="14.25" thickBot="1">
      <c r="A2" s="3112"/>
      <c r="B2" s="3113"/>
      <c r="C2" s="3114" t="s">
        <v>1654</v>
      </c>
      <c r="D2" s="3115"/>
      <c r="E2" s="3112"/>
      <c r="F2" s="3116"/>
      <c r="G2" s="3114" t="s">
        <v>1655</v>
      </c>
      <c r="H2" s="3117"/>
      <c r="I2" s="3117"/>
      <c r="J2" s="3117"/>
      <c r="K2" s="3117"/>
      <c r="L2" s="3117"/>
      <c r="M2" s="3117"/>
      <c r="N2" s="3117"/>
      <c r="O2" s="3117"/>
      <c r="P2" s="3117"/>
      <c r="Q2" s="3117"/>
      <c r="R2" s="3117"/>
    </row>
    <row r="3" spans="1:18" ht="40.5">
      <c r="A3" s="3118" t="s">
        <v>1656</v>
      </c>
      <c r="B3" s="3119" t="s">
        <v>1643</v>
      </c>
      <c r="C3" s="3120" t="s">
        <v>2887</v>
      </c>
      <c r="D3" s="3121"/>
      <c r="E3" s="3122" t="s">
        <v>1656</v>
      </c>
      <c r="F3" s="3123" t="s">
        <v>1644</v>
      </c>
      <c r="G3" s="3124" t="s">
        <v>2886</v>
      </c>
      <c r="H3" s="3117"/>
      <c r="I3" s="3117"/>
      <c r="J3" s="3117"/>
      <c r="K3" s="3117"/>
      <c r="L3" s="3117"/>
      <c r="M3" s="3117"/>
      <c r="N3" s="3117"/>
      <c r="O3" s="3117"/>
      <c r="P3" s="3117"/>
      <c r="Q3" s="3117"/>
      <c r="R3" s="3117"/>
    </row>
    <row r="4" spans="1:18" ht="40.5">
      <c r="A4" s="3122"/>
      <c r="B4" s="3125" t="s">
        <v>1657</v>
      </c>
      <c r="C4" s="3306" t="s">
        <v>3029</v>
      </c>
      <c r="D4" s="3121"/>
      <c r="E4" s="3126"/>
      <c r="F4" s="3127" t="s">
        <v>1658</v>
      </c>
      <c r="G4" s="3128" t="s">
        <v>2883</v>
      </c>
      <c r="H4" s="3117"/>
      <c r="I4" s="3117"/>
      <c r="J4" s="3117"/>
      <c r="K4" s="3117"/>
      <c r="L4" s="3117"/>
      <c r="M4" s="3117"/>
      <c r="N4" s="3117"/>
      <c r="O4" s="3117"/>
      <c r="P4" s="3117"/>
      <c r="Q4" s="3117"/>
      <c r="R4" s="3117"/>
    </row>
    <row r="5" spans="1:18" ht="40.5">
      <c r="A5" s="3122"/>
      <c r="B5" s="3125" t="s">
        <v>1659</v>
      </c>
      <c r="C5" s="3306" t="s">
        <v>3090</v>
      </c>
      <c r="D5" s="3121"/>
      <c r="E5" s="3126"/>
      <c r="F5" s="3125" t="s">
        <v>2527</v>
      </c>
      <c r="G5" s="3128" t="s">
        <v>2884</v>
      </c>
      <c r="H5" s="3117"/>
      <c r="I5" s="3117"/>
      <c r="J5" s="3117"/>
      <c r="K5" s="3117"/>
      <c r="L5" s="3117"/>
      <c r="M5" s="3117"/>
      <c r="N5" s="3117"/>
      <c r="O5" s="3117"/>
      <c r="P5" s="3117"/>
      <c r="Q5" s="3117"/>
      <c r="R5" s="3117"/>
    </row>
    <row r="6" spans="1:18" ht="67.5">
      <c r="A6" s="3122"/>
      <c r="B6" s="3125" t="s">
        <v>1645</v>
      </c>
      <c r="C6" s="3304" t="s">
        <v>3028</v>
      </c>
      <c r="D6" s="3121"/>
      <c r="E6" s="3126"/>
      <c r="F6" s="3125" t="s">
        <v>2528</v>
      </c>
      <c r="G6" s="3128" t="s">
        <v>2882</v>
      </c>
      <c r="H6" s="3117"/>
      <c r="I6" s="3117"/>
      <c r="J6" s="3117"/>
      <c r="K6" s="3117"/>
      <c r="L6" s="3117"/>
      <c r="M6" s="3117"/>
      <c r="N6" s="3117"/>
      <c r="O6" s="3117"/>
      <c r="P6" s="3117"/>
      <c r="Q6" s="3117"/>
      <c r="R6" s="3117"/>
    </row>
    <row r="7" spans="1:18" ht="149.25" thickBot="1">
      <c r="A7" s="3122"/>
      <c r="B7" s="3125" t="s">
        <v>2527</v>
      </c>
      <c r="C7" s="3305" t="s">
        <v>3043</v>
      </c>
      <c r="D7" s="3129"/>
      <c r="E7" s="3130"/>
      <c r="F7" s="3131" t="s">
        <v>1660</v>
      </c>
      <c r="G7" s="3132" t="s">
        <v>2885</v>
      </c>
      <c r="H7" s="3117"/>
      <c r="I7" s="3117"/>
      <c r="J7" s="3117"/>
      <c r="K7" s="3117"/>
      <c r="L7" s="3117"/>
      <c r="M7" s="3117"/>
      <c r="N7" s="3117"/>
      <c r="O7" s="3117"/>
      <c r="P7" s="3117"/>
      <c r="Q7" s="3117"/>
      <c r="R7" s="3117"/>
    </row>
    <row r="8" spans="1:18">
      <c r="A8" s="3122"/>
      <c r="B8" s="3125" t="s">
        <v>2528</v>
      </c>
      <c r="C8" s="3304" t="s">
        <v>2540</v>
      </c>
      <c r="D8" s="3129"/>
      <c r="E8" s="3129"/>
      <c r="F8" s="3133"/>
      <c r="G8" s="3133"/>
      <c r="H8" s="3117"/>
      <c r="I8" s="3117"/>
      <c r="J8" s="3117"/>
      <c r="K8" s="3117"/>
      <c r="L8" s="3117"/>
      <c r="M8" s="3117"/>
      <c r="N8" s="3117"/>
      <c r="O8" s="3117"/>
      <c r="P8" s="3117"/>
      <c r="Q8" s="3117"/>
      <c r="R8" s="3117"/>
    </row>
    <row r="9" spans="1:18" ht="73.5">
      <c r="A9" s="3122"/>
      <c r="B9" s="3125" t="s">
        <v>1646</v>
      </c>
      <c r="C9" s="3303" t="s">
        <v>3039</v>
      </c>
      <c r="D9" s="3121"/>
      <c r="E9" s="3129"/>
      <c r="F9" s="3133"/>
      <c r="G9" s="3133"/>
      <c r="H9" s="3117"/>
      <c r="I9" s="3117"/>
      <c r="J9" s="3117"/>
      <c r="K9" s="3117"/>
      <c r="L9" s="3117"/>
      <c r="M9" s="3117"/>
      <c r="N9" s="3117"/>
      <c r="O9" s="3117"/>
      <c r="P9" s="3117"/>
      <c r="Q9" s="3117"/>
      <c r="R9" s="3117"/>
    </row>
    <row r="10" spans="1:18" s="3140" customFormat="1" ht="15" thickBot="1">
      <c r="A10" s="3134"/>
      <c r="B10" s="3135" t="s">
        <v>1661</v>
      </c>
      <c r="C10" s="3136"/>
      <c r="D10" s="3121"/>
      <c r="E10" s="3121"/>
      <c r="F10" s="3133"/>
      <c r="G10" s="3133"/>
      <c r="H10" s="3137"/>
      <c r="I10" s="3138"/>
      <c r="J10" s="3139"/>
      <c r="K10" s="3137"/>
      <c r="L10" s="3138"/>
      <c r="M10" s="3139"/>
      <c r="N10" s="3137"/>
      <c r="O10" s="3138"/>
      <c r="P10" s="3139"/>
      <c r="Q10" s="3137"/>
      <c r="R10" s="3138"/>
    </row>
    <row r="11" spans="1:18" s="3140" customFormat="1">
      <c r="A11" s="3141"/>
      <c r="B11" s="3129"/>
      <c r="C11" s="3121"/>
      <c r="D11" s="3121"/>
      <c r="E11" s="3121"/>
      <c r="F11" s="3129"/>
      <c r="G11" s="3142"/>
      <c r="H11" s="3137"/>
      <c r="I11" s="3138"/>
      <c r="J11" s="3139"/>
      <c r="K11" s="3137"/>
      <c r="L11" s="3138"/>
      <c r="M11" s="3139"/>
      <c r="N11" s="3137"/>
      <c r="O11" s="3138"/>
      <c r="P11" s="3139"/>
      <c r="Q11" s="3137"/>
      <c r="R11" s="3138"/>
    </row>
    <row r="12" spans="1:18" s="3111" customFormat="1" ht="18.75">
      <c r="A12" s="3141"/>
      <c r="B12" s="3129"/>
      <c r="C12" s="3121"/>
      <c r="D12" s="3143"/>
      <c r="E12" s="3121"/>
      <c r="F12" s="3129"/>
      <c r="G12" s="3142"/>
      <c r="H12" s="3144"/>
      <c r="I12" s="3145"/>
      <c r="J12" s="3144"/>
      <c r="K12" s="3144"/>
      <c r="L12" s="3146"/>
      <c r="M12" s="3144"/>
      <c r="N12" s="3147"/>
      <c r="O12" s="3148"/>
      <c r="P12" s="3149"/>
      <c r="Q12" s="3147"/>
      <c r="R12" s="3110"/>
    </row>
    <row r="13" spans="1:18" ht="19.5" thickBot="1">
      <c r="A13" s="3150" t="s">
        <v>1662</v>
      </c>
      <c r="B13" s="3143"/>
      <c r="C13" s="3143"/>
      <c r="D13" s="3115"/>
      <c r="E13" s="3143"/>
      <c r="F13" s="3143"/>
      <c r="G13" s="3143"/>
    </row>
    <row r="14" spans="1:18" ht="14.25" thickBot="1">
      <c r="A14" s="3155"/>
      <c r="B14" s="3155"/>
      <c r="C14" s="3156" t="s">
        <v>1654</v>
      </c>
      <c r="D14" s="3121"/>
      <c r="E14" s="3157"/>
      <c r="F14" s="3157"/>
      <c r="G14" s="3114" t="s">
        <v>1655</v>
      </c>
    </row>
    <row r="15" spans="1:18" ht="40.5">
      <c r="A15" s="3158" t="s">
        <v>1647</v>
      </c>
      <c r="B15" s="3159" t="s">
        <v>1643</v>
      </c>
      <c r="C15" s="3160" t="str">
        <f>C3</f>
        <v>估价对象周边居住用地比例、居住小区规模和社区发展完善程度，综合评价居住社区成熟度一般</v>
      </c>
      <c r="D15" s="3121"/>
      <c r="E15" s="3161" t="s">
        <v>1648</v>
      </c>
      <c r="F15" s="3159" t="s">
        <v>1663</v>
      </c>
      <c r="G15" s="3162" t="str">
        <f>G3</f>
        <v>估价对象位于XX开发区，园区建设成熟度XX，产业集聚程度XX</v>
      </c>
    </row>
    <row r="16" spans="1:18" ht="40.5">
      <c r="A16" s="3163"/>
      <c r="B16" s="3164" t="s">
        <v>1657</v>
      </c>
      <c r="C16" s="3165" t="str">
        <f>C4</f>
        <v>安泰购购物中心 1.2，商业繁华度一般</v>
      </c>
      <c r="D16" s="3121"/>
      <c r="E16" s="3166"/>
      <c r="F16" s="3167" t="s">
        <v>1658</v>
      </c>
      <c r="G16" s="3168" t="str">
        <f>G4</f>
        <v>估价对象周边道路状况、公共交通通达情况、停车便捷程度，综合评价交通便捷度较好</v>
      </c>
    </row>
    <row r="17" spans="1:7" ht="54">
      <c r="A17" s="3163"/>
      <c r="B17" s="3164" t="s">
        <v>1659</v>
      </c>
      <c r="C17" s="3165" t="str">
        <f>C5</f>
        <v>卫生大厦、新浪总部大厦、百度科技园、网易大厦、腾讯北京总部大楼、联想总部等，办公集聚程度较好</v>
      </c>
      <c r="D17" s="3129"/>
      <c r="E17" s="3166"/>
      <c r="F17" s="3167" t="s">
        <v>1664</v>
      </c>
      <c r="G17" s="3169"/>
    </row>
    <row r="18" spans="1:7" ht="67.5">
      <c r="A18" s="3163"/>
      <c r="B18" s="3167" t="s">
        <v>1645</v>
      </c>
      <c r="C18" s="3168" t="str">
        <f>C6</f>
        <v>紧邻地铁16号线（西北旺站），周边有333路、384路、438路、570路、575路、623路、902路、908路、909路、快速直达专线152路、专143路等多条公交线路，交通便捷度好</v>
      </c>
      <c r="D18" s="3129"/>
      <c r="E18" s="3166"/>
      <c r="F18" s="3167" t="s">
        <v>1660</v>
      </c>
      <c r="G18" s="3168" t="str">
        <f>G7</f>
        <v>该园区内是否有污染型企业，绿化情况，卫生条件，整体环境状况判断</v>
      </c>
    </row>
    <row r="19" spans="1:7" ht="27">
      <c r="A19" s="3163"/>
      <c r="B19" s="3167" t="s">
        <v>1649</v>
      </c>
      <c r="C19" s="3169"/>
      <c r="D19" s="3121"/>
      <c r="E19" s="3166"/>
      <c r="F19" s="3125" t="s">
        <v>2527</v>
      </c>
      <c r="G19" s="3168" t="str">
        <f>G5</f>
        <v>估价对象所在区域公共配套设施齐备情况</v>
      </c>
    </row>
    <row r="20" spans="1:7" ht="67.5">
      <c r="A20" s="3163"/>
      <c r="B20" s="3167" t="s">
        <v>1650</v>
      </c>
      <c r="C20" s="3165" t="str">
        <f>C9</f>
        <v>区域自然环境：百望山、药用植物园、百旺公园、首师大附中口袋公园、中关村公园、小关村公园、京密引水渠等；人文环境：西北旺镇政府；综合评价环境状况较好</v>
      </c>
      <c r="D20" s="3129"/>
      <c r="E20" s="3166"/>
      <c r="F20" s="3125" t="s">
        <v>2528</v>
      </c>
      <c r="G20" s="3168" t="str">
        <f>G6</f>
        <v>估价对象所在区域基础设施水平</v>
      </c>
    </row>
    <row r="21" spans="1:7" ht="135">
      <c r="A21" s="3163"/>
      <c r="B21" s="3125" t="s">
        <v>2527</v>
      </c>
      <c r="C21" s="3168" t="str">
        <f>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1" s="3121"/>
      <c r="E21" s="3166"/>
      <c r="F21" s="3167" t="s">
        <v>1651</v>
      </c>
      <c r="G21" s="3170"/>
    </row>
    <row r="22" spans="1:7" ht="14.25">
      <c r="A22" s="3163"/>
      <c r="B22" s="3125" t="s">
        <v>2528</v>
      </c>
      <c r="C22" s="3168" t="str">
        <f>C8</f>
        <v>七通</v>
      </c>
      <c r="D22" s="3121"/>
      <c r="E22" s="3166"/>
      <c r="F22" s="3167" t="s">
        <v>1661</v>
      </c>
      <c r="G22" s="3169"/>
    </row>
    <row r="23" spans="1:7" ht="15" thickBot="1">
      <c r="A23" s="3163"/>
      <c r="B23" s="3167" t="s">
        <v>1651</v>
      </c>
      <c r="C23" s="3170"/>
      <c r="E23" s="3171"/>
      <c r="F23" s="3172" t="s">
        <v>1665</v>
      </c>
      <c r="G23" s="3173"/>
    </row>
    <row r="24" spans="1:7" ht="14.25" thickBot="1">
      <c r="A24" s="3174"/>
      <c r="B24" s="3172" t="s">
        <v>1652</v>
      </c>
      <c r="C24" s="3175">
        <f>C10</f>
        <v>0</v>
      </c>
      <c r="E24" s="3176"/>
      <c r="F24" s="3176"/>
      <c r="G24" s="3177"/>
    </row>
    <row r="25" spans="1:7">
      <c r="E25" s="3117"/>
      <c r="F25" s="3117"/>
      <c r="G25" s="3117"/>
    </row>
    <row r="26" spans="1:7">
      <c r="E26" s="3117"/>
      <c r="F26" s="3117"/>
      <c r="G26" s="3117"/>
    </row>
    <row r="27" spans="1:7">
      <c r="E27" s="3117"/>
      <c r="F27" s="3117"/>
      <c r="G27" s="3117"/>
    </row>
    <row r="28" spans="1:7">
      <c r="E28" s="3117"/>
      <c r="F28" s="3117"/>
      <c r="G28" s="3117"/>
    </row>
    <row r="29" spans="1:7">
      <c r="E29" s="3117"/>
      <c r="F29" s="3117"/>
      <c r="G29" s="3117"/>
    </row>
    <row r="30" spans="1:7">
      <c r="E30" s="3117"/>
      <c r="F30" s="3117"/>
      <c r="G30" s="3117"/>
    </row>
    <row r="31" spans="1:7">
      <c r="E31" s="3117"/>
      <c r="F31" s="3117"/>
      <c r="G31" s="3117"/>
    </row>
    <row r="32" spans="1:7">
      <c r="E32" s="3117"/>
      <c r="F32" s="3117"/>
      <c r="G32" s="3117"/>
    </row>
    <row r="33" spans="5:7">
      <c r="E33" s="3117"/>
      <c r="F33" s="3117"/>
      <c r="G33" s="3117"/>
    </row>
    <row r="34" spans="5:7">
      <c r="E34" s="3117"/>
      <c r="F34" s="3117"/>
      <c r="G34" s="3117"/>
    </row>
    <row r="35" spans="5:7">
      <c r="E35" s="3117"/>
      <c r="F35" s="3117"/>
      <c r="G35" s="3117"/>
    </row>
    <row r="36" spans="5:7">
      <c r="E36" s="3117"/>
      <c r="F36" s="3117"/>
      <c r="G36" s="3117"/>
    </row>
    <row r="37" spans="5:7">
      <c r="E37" s="3117"/>
      <c r="F37" s="3117"/>
      <c r="G37" s="311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79" customWidth="1"/>
    <col min="2" max="16384" width="14.625" style="3179"/>
  </cols>
  <sheetData>
    <row r="1" spans="1:10" ht="16.5">
      <c r="A1" s="3178" t="s">
        <v>2822</v>
      </c>
      <c r="B1" s="3178">
        <f>SUM(B14:B23)</f>
        <v>121547.97</v>
      </c>
      <c r="C1" s="3187"/>
      <c r="D1" s="3187"/>
      <c r="E1" s="3187"/>
      <c r="F1" s="3187"/>
      <c r="G1" s="3188"/>
      <c r="H1" s="3188"/>
      <c r="I1" s="3188"/>
      <c r="J1" s="3188"/>
    </row>
    <row r="2" spans="1:10" ht="16.5">
      <c r="A2" s="3178" t="s">
        <v>2823</v>
      </c>
      <c r="B2" s="3178">
        <f>SUM(C14:C23)</f>
        <v>60461.7</v>
      </c>
      <c r="C2" s="3187"/>
      <c r="D2" s="3187"/>
      <c r="E2" s="3187"/>
      <c r="F2" s="3187"/>
      <c r="G2" s="3188"/>
      <c r="H2" s="3188"/>
      <c r="I2" s="3188"/>
      <c r="J2" s="3188"/>
    </row>
    <row r="3" spans="1:10" ht="16.5">
      <c r="A3" s="3178" t="s">
        <v>2824</v>
      </c>
      <c r="B3" s="3180">
        <f>项目基本情况!D3</f>
        <v>44412</v>
      </c>
      <c r="C3" s="3187"/>
      <c r="D3" s="3187"/>
      <c r="E3" s="3187"/>
      <c r="F3" s="3187"/>
      <c r="G3" s="3188"/>
      <c r="H3" s="3188"/>
      <c r="I3" s="3188"/>
      <c r="J3" s="3188"/>
    </row>
    <row r="4" spans="1:10" ht="33">
      <c r="A4" s="3178" t="s">
        <v>2825</v>
      </c>
      <c r="B4" s="3178" t="s">
        <v>2826</v>
      </c>
      <c r="C4" s="3178" t="s">
        <v>2827</v>
      </c>
      <c r="D4" s="3178" t="s">
        <v>2828</v>
      </c>
      <c r="E4" s="3187"/>
      <c r="F4" s="3187"/>
      <c r="G4" s="3188"/>
      <c r="H4" s="3188"/>
      <c r="I4" s="3188"/>
      <c r="J4" s="3188"/>
    </row>
    <row r="5" spans="1:10" ht="16.5">
      <c r="A5" s="3178" t="s">
        <v>2829</v>
      </c>
      <c r="B5" s="3178">
        <f ca="1">SUM(D14:D23)</f>
        <v>43286</v>
      </c>
      <c r="C5" s="3178">
        <f ca="1">ROUND(B5*10000/$B$1,0)</f>
        <v>3561</v>
      </c>
      <c r="D5" s="3178">
        <f ca="1">ROUND(B5*10000/$B$2,0)</f>
        <v>7159</v>
      </c>
      <c r="E5" s="3187"/>
      <c r="F5" s="3187"/>
      <c r="G5" s="3188"/>
      <c r="H5" s="3188"/>
      <c r="I5" s="3188"/>
      <c r="J5" s="3188"/>
    </row>
    <row r="6" spans="1:10" ht="16.5">
      <c r="A6" s="3178" t="s">
        <v>2830</v>
      </c>
      <c r="B6" s="3178">
        <f>SUM(G14:G23)</f>
        <v>0</v>
      </c>
      <c r="C6" s="3178">
        <f t="shared" ref="C6:C8" si="0">ROUND(B6*10000/$B$1,0)</f>
        <v>0</v>
      </c>
      <c r="D6" s="3178">
        <f t="shared" ref="D6:D8" si="1">ROUND(B6*10000/$B$2,0)</f>
        <v>0</v>
      </c>
      <c r="E6" s="3187"/>
      <c r="F6" s="3187"/>
      <c r="G6" s="3188"/>
      <c r="H6" s="3188"/>
      <c r="I6" s="3188"/>
      <c r="J6" s="3188"/>
    </row>
    <row r="7" spans="1:10" ht="16.5">
      <c r="A7" s="3178" t="s">
        <v>2831</v>
      </c>
      <c r="B7" s="3178">
        <f>SUM(H14:H23)</f>
        <v>0</v>
      </c>
      <c r="C7" s="3178">
        <f t="shared" si="0"/>
        <v>0</v>
      </c>
      <c r="D7" s="3178">
        <f t="shared" si="1"/>
        <v>0</v>
      </c>
      <c r="E7" s="3187"/>
      <c r="F7" s="3187"/>
      <c r="G7" s="3188"/>
      <c r="H7" s="3188"/>
      <c r="I7" s="3188"/>
      <c r="J7" s="3188"/>
    </row>
    <row r="8" spans="1:10" ht="16.5">
      <c r="A8" s="3178" t="s">
        <v>2832</v>
      </c>
      <c r="B8" s="3178">
        <f>SUM(I14:I23)</f>
        <v>0</v>
      </c>
      <c r="C8" s="3178">
        <f t="shared" si="0"/>
        <v>0</v>
      </c>
      <c r="D8" s="3178">
        <f t="shared" si="1"/>
        <v>0</v>
      </c>
      <c r="E8" s="3187"/>
      <c r="F8" s="3187"/>
      <c r="G8" s="3188"/>
      <c r="H8" s="3188"/>
      <c r="I8" s="3188"/>
      <c r="J8" s="3188"/>
    </row>
    <row r="9" spans="1:10" ht="16.5">
      <c r="A9" s="3178" t="s">
        <v>2833</v>
      </c>
      <c r="B9" s="3186"/>
      <c r="C9" s="3187"/>
      <c r="D9" s="3187"/>
      <c r="E9" s="3187"/>
      <c r="F9" s="3187"/>
      <c r="G9" s="3188"/>
      <c r="H9" s="3188"/>
      <c r="I9" s="3188"/>
      <c r="J9" s="3188"/>
    </row>
    <row r="10" spans="1:10" ht="16.5">
      <c r="A10" s="3178" t="s">
        <v>2834</v>
      </c>
      <c r="B10" s="3186"/>
      <c r="C10" s="3187"/>
      <c r="D10" s="3187"/>
      <c r="E10" s="3187"/>
      <c r="F10" s="3187"/>
      <c r="G10" s="3188"/>
      <c r="H10" s="3188"/>
      <c r="I10" s="3188"/>
      <c r="J10" s="3188"/>
    </row>
    <row r="11" spans="1:10" ht="16.5">
      <c r="A11" s="3178" t="s">
        <v>2851</v>
      </c>
      <c r="B11" s="3186"/>
      <c r="C11" s="3187"/>
      <c r="D11" s="3187"/>
      <c r="E11" s="3187"/>
      <c r="F11" s="3187"/>
      <c r="G11" s="3188"/>
      <c r="H11" s="3188"/>
      <c r="I11" s="3188"/>
      <c r="J11" s="3188"/>
    </row>
    <row r="12" spans="1:10" ht="16.5">
      <c r="A12" s="3187"/>
      <c r="B12" s="3187"/>
      <c r="C12" s="3187"/>
      <c r="D12" s="3187"/>
      <c r="E12" s="3187"/>
      <c r="F12" s="3187"/>
      <c r="G12" s="3188"/>
      <c r="H12" s="3188"/>
      <c r="I12" s="3188"/>
      <c r="J12" s="3188"/>
    </row>
    <row r="13" spans="1:10" ht="33">
      <c r="A13" s="3181" t="s">
        <v>2850</v>
      </c>
      <c r="B13" s="3182" t="s">
        <v>2822</v>
      </c>
      <c r="C13" s="3182" t="s">
        <v>2823</v>
      </c>
      <c r="D13" s="3182" t="s">
        <v>2835</v>
      </c>
      <c r="E13" s="3178" t="s">
        <v>2849</v>
      </c>
      <c r="F13" s="3178" t="s">
        <v>2828</v>
      </c>
      <c r="G13" s="3182" t="s">
        <v>2836</v>
      </c>
      <c r="H13" s="3182" t="s">
        <v>2837</v>
      </c>
      <c r="I13" s="3182" t="s">
        <v>2838</v>
      </c>
      <c r="J13" s="3188"/>
    </row>
    <row r="14" spans="1:10" ht="16.5">
      <c r="A14" s="3183" t="s">
        <v>2848</v>
      </c>
      <c r="B14" s="3184">
        <f>'结果表(商业）'!L38</f>
        <v>121547.97</v>
      </c>
      <c r="C14" s="3184">
        <f>'结果表(商业）'!K38</f>
        <v>60461.7</v>
      </c>
      <c r="D14" s="3184">
        <f ca="1">'结果表(商业）'!C42</f>
        <v>43286</v>
      </c>
      <c r="E14" s="3184">
        <f ca="1">ROUND(D14*10000/B14,0)</f>
        <v>3561</v>
      </c>
      <c r="F14" s="3184">
        <f ca="1">ROUND(D14*10000/C14,0)</f>
        <v>7159</v>
      </c>
      <c r="G14" s="3184" t="str">
        <f>'结果表(商业）'!C44</f>
        <v>——</v>
      </c>
      <c r="H14" s="3184" t="str">
        <f>'结果表(商业）'!C45</f>
        <v>——</v>
      </c>
      <c r="I14" s="3184" t="str">
        <f>'结果表(商业）'!C46</f>
        <v>——</v>
      </c>
      <c r="J14" s="3188"/>
    </row>
    <row r="15" spans="1:10" ht="16.5">
      <c r="A15" s="3183" t="s">
        <v>2839</v>
      </c>
      <c r="B15" s="3185"/>
      <c r="C15" s="3185"/>
      <c r="D15" s="3185"/>
      <c r="E15" s="3184" t="e">
        <f t="shared" ref="E15:E23" si="2">ROUND(D15*10000/B15,0)</f>
        <v>#DIV/0!</v>
      </c>
      <c r="F15" s="3184" t="e">
        <f t="shared" ref="F15:F23" si="3">ROUND(D15*10000/C15,0)</f>
        <v>#DIV/0!</v>
      </c>
      <c r="G15" s="2751"/>
      <c r="H15" s="2751"/>
      <c r="I15" s="3185"/>
      <c r="J15" s="3188"/>
    </row>
    <row r="16" spans="1:10" ht="16.5">
      <c r="A16" s="3183" t="s">
        <v>2840</v>
      </c>
      <c r="B16" s="3185"/>
      <c r="C16" s="3185"/>
      <c r="D16" s="3185"/>
      <c r="E16" s="3184" t="e">
        <f t="shared" si="2"/>
        <v>#DIV/0!</v>
      </c>
      <c r="F16" s="3184" t="e">
        <f t="shared" si="3"/>
        <v>#DIV/0!</v>
      </c>
      <c r="G16" s="2751"/>
      <c r="H16" s="2751"/>
      <c r="I16" s="3185"/>
      <c r="J16" s="3188"/>
    </row>
    <row r="17" spans="1:10" ht="16.5">
      <c r="A17" s="3183" t="s">
        <v>2841</v>
      </c>
      <c r="B17" s="3185"/>
      <c r="C17" s="3185"/>
      <c r="D17" s="3185"/>
      <c r="E17" s="3184" t="e">
        <f t="shared" si="2"/>
        <v>#DIV/0!</v>
      </c>
      <c r="F17" s="3184" t="e">
        <f t="shared" si="3"/>
        <v>#DIV/0!</v>
      </c>
      <c r="G17" s="2751"/>
      <c r="H17" s="2751"/>
      <c r="I17" s="3185"/>
      <c r="J17" s="3188"/>
    </row>
    <row r="18" spans="1:10" ht="16.5">
      <c r="A18" s="3183" t="s">
        <v>2842</v>
      </c>
      <c r="B18" s="3185"/>
      <c r="C18" s="3185"/>
      <c r="D18" s="3185"/>
      <c r="E18" s="3184" t="e">
        <f t="shared" si="2"/>
        <v>#DIV/0!</v>
      </c>
      <c r="F18" s="3184" t="e">
        <f t="shared" si="3"/>
        <v>#DIV/0!</v>
      </c>
      <c r="G18" s="3185"/>
      <c r="H18" s="3185"/>
      <c r="I18" s="3185"/>
      <c r="J18" s="3188"/>
    </row>
    <row r="19" spans="1:10" ht="16.5">
      <c r="A19" s="3183" t="s">
        <v>2843</v>
      </c>
      <c r="B19" s="3185"/>
      <c r="C19" s="3185"/>
      <c r="D19" s="3185"/>
      <c r="E19" s="3184" t="e">
        <f t="shared" si="2"/>
        <v>#DIV/0!</v>
      </c>
      <c r="F19" s="3184" t="e">
        <f t="shared" si="3"/>
        <v>#DIV/0!</v>
      </c>
      <c r="G19" s="3185"/>
      <c r="H19" s="3185"/>
      <c r="I19" s="3185"/>
      <c r="J19" s="3188"/>
    </row>
    <row r="20" spans="1:10" ht="16.5">
      <c r="A20" s="3183" t="s">
        <v>2844</v>
      </c>
      <c r="B20" s="3185"/>
      <c r="C20" s="3185"/>
      <c r="D20" s="3185"/>
      <c r="E20" s="3184" t="e">
        <f t="shared" si="2"/>
        <v>#DIV/0!</v>
      </c>
      <c r="F20" s="3184" t="e">
        <f t="shared" si="3"/>
        <v>#DIV/0!</v>
      </c>
      <c r="G20" s="3185"/>
      <c r="H20" s="3185"/>
      <c r="I20" s="3185"/>
      <c r="J20" s="3188"/>
    </row>
    <row r="21" spans="1:10" ht="16.5">
      <c r="A21" s="3183" t="s">
        <v>2845</v>
      </c>
      <c r="B21" s="3185"/>
      <c r="C21" s="3185"/>
      <c r="D21" s="3185"/>
      <c r="E21" s="3184" t="e">
        <f t="shared" si="2"/>
        <v>#DIV/0!</v>
      </c>
      <c r="F21" s="3184" t="e">
        <f t="shared" si="3"/>
        <v>#DIV/0!</v>
      </c>
      <c r="G21" s="3185"/>
      <c r="H21" s="3185"/>
      <c r="I21" s="3185"/>
      <c r="J21" s="3188"/>
    </row>
    <row r="22" spans="1:10" ht="16.5">
      <c r="A22" s="3183" t="s">
        <v>2846</v>
      </c>
      <c r="B22" s="3185"/>
      <c r="C22" s="3185"/>
      <c r="D22" s="3185"/>
      <c r="E22" s="3184" t="e">
        <f t="shared" si="2"/>
        <v>#DIV/0!</v>
      </c>
      <c r="F22" s="3184" t="e">
        <f t="shared" si="3"/>
        <v>#DIV/0!</v>
      </c>
      <c r="G22" s="3185"/>
      <c r="H22" s="3185"/>
      <c r="I22" s="3185"/>
      <c r="J22" s="3188"/>
    </row>
    <row r="23" spans="1:10" ht="16.5">
      <c r="A23" s="3183" t="s">
        <v>2847</v>
      </c>
      <c r="B23" s="3185"/>
      <c r="C23" s="3185"/>
      <c r="D23" s="3185"/>
      <c r="E23" s="3186" t="e">
        <f t="shared" si="2"/>
        <v>#DIV/0!</v>
      </c>
      <c r="F23" s="3186" t="e">
        <f t="shared" si="3"/>
        <v>#DIV/0!</v>
      </c>
      <c r="G23" s="3185"/>
      <c r="H23" s="3185"/>
      <c r="I23" s="3185"/>
      <c r="J23" s="3188"/>
    </row>
    <row r="24" spans="1:10">
      <c r="A24" s="3188"/>
      <c r="B24" s="3188"/>
      <c r="C24" s="3188"/>
      <c r="D24" s="3188"/>
      <c r="E24" s="3188"/>
      <c r="F24" s="3188"/>
      <c r="G24" s="3188"/>
      <c r="H24" s="3188"/>
      <c r="I24" s="3188"/>
      <c r="J24" s="3188"/>
    </row>
    <row r="25" spans="1:10">
      <c r="A25" s="3188"/>
      <c r="B25" s="3188"/>
      <c r="C25" s="3188"/>
      <c r="D25" s="3188"/>
      <c r="E25" s="3188"/>
      <c r="F25" s="3188"/>
      <c r="G25" s="3188"/>
      <c r="H25" s="3188"/>
      <c r="I25" s="3188"/>
      <c r="J25" s="3188"/>
    </row>
    <row r="26" spans="1:10">
      <c r="A26" s="3188"/>
      <c r="B26" s="3188"/>
      <c r="C26" s="3188"/>
      <c r="D26" s="3188"/>
      <c r="E26" s="3188"/>
      <c r="F26" s="3188"/>
      <c r="G26" s="3188"/>
      <c r="H26" s="3188"/>
      <c r="I26" s="3188"/>
      <c r="J26" s="3188"/>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sheetPr>
    <tabColor rgb="FFFF0000"/>
  </sheetPr>
  <dimension ref="A1:N65"/>
  <sheetViews>
    <sheetView tabSelected="1" topLeftCell="A38" zoomScale="80" zoomScaleNormal="80" workbookViewId="0">
      <selection activeCell="F65" sqref="F65"/>
    </sheetView>
  </sheetViews>
  <sheetFormatPr defaultRowHeight="13.5"/>
  <cols>
    <col min="1" max="1" width="13.25" customWidth="1"/>
    <col min="2" max="2" width="17.125" customWidth="1"/>
    <col min="3" max="3" width="10.875" customWidth="1"/>
    <col min="4" max="4" width="14" customWidth="1"/>
    <col min="5" max="5" width="14.75" customWidth="1"/>
    <col min="6" max="6" width="12.25" customWidth="1"/>
    <col min="7" max="7" width="17" customWidth="1"/>
    <col min="8" max="8" width="10.5" bestFit="1" customWidth="1"/>
    <col min="10" max="10" width="16" customWidth="1"/>
    <col min="11" max="11" width="11.375" bestFit="1" customWidth="1"/>
    <col min="13" max="13" width="12.625" bestFit="1" customWidth="1"/>
    <col min="14" max="14" width="12" customWidth="1"/>
    <col min="15" max="15" width="12.25" customWidth="1"/>
  </cols>
  <sheetData>
    <row r="1" spans="1:8" ht="28.5">
      <c r="A1" s="3334" t="s">
        <v>3126</v>
      </c>
      <c r="B1" s="3334" t="s">
        <v>3127</v>
      </c>
      <c r="C1" s="3334" t="s">
        <v>3128</v>
      </c>
      <c r="D1" s="3334" t="s">
        <v>3129</v>
      </c>
      <c r="E1" s="3334" t="s">
        <v>3130</v>
      </c>
      <c r="F1" s="3334" t="s">
        <v>3131</v>
      </c>
    </row>
    <row r="2" spans="1:8">
      <c r="A2" s="3639" t="s">
        <v>3827</v>
      </c>
      <c r="B2" s="3343" t="s">
        <v>3132</v>
      </c>
      <c r="C2" s="3343">
        <f ca="1">'基准地价 住宅'!C33</f>
        <v>15487</v>
      </c>
      <c r="D2" s="3426">
        <v>0.4</v>
      </c>
      <c r="E2" s="3629">
        <f ca="1">ROUND(C2*D2+C3*D3+C4*D4,0)</f>
        <v>34061</v>
      </c>
      <c r="F2" s="3636">
        <f ca="1">ROUND(E2*0.25,0)</f>
        <v>8515</v>
      </c>
    </row>
    <row r="3" spans="1:8">
      <c r="A3" s="3639"/>
      <c r="B3" s="3343" t="s">
        <v>3133</v>
      </c>
      <c r="C3" s="3343">
        <f ca="1">剩余法住宅!B3</f>
        <v>46443</v>
      </c>
      <c r="D3" s="3343">
        <f>1-D2</f>
        <v>0.6</v>
      </c>
      <c r="E3" s="3630"/>
      <c r="F3" s="3637"/>
      <c r="G3">
        <f ca="1">E2-E5</f>
        <v>13004</v>
      </c>
      <c r="H3" s="3458">
        <v>12690</v>
      </c>
    </row>
    <row r="4" spans="1:8">
      <c r="A4" s="3639"/>
      <c r="B4" s="3426" t="s">
        <v>3154</v>
      </c>
      <c r="C4" s="3343"/>
      <c r="D4" s="3343">
        <v>0</v>
      </c>
      <c r="E4" s="3631"/>
      <c r="F4" s="3638"/>
    </row>
    <row r="5" spans="1:8">
      <c r="A5" s="3632" t="s">
        <v>3828</v>
      </c>
      <c r="B5" s="3640" t="s">
        <v>3132</v>
      </c>
      <c r="C5" s="3640">
        <f ca="1">'基准地价（商业）'!C29</f>
        <v>22061</v>
      </c>
      <c r="D5" s="3642">
        <v>0.3</v>
      </c>
      <c r="E5" s="3608">
        <f ca="1">ROUND(C5*D5+C7*D7+C8*D8,0)</f>
        <v>21057</v>
      </c>
      <c r="F5" s="3633">
        <f ca="1">ROUND(E5*0.25,0)</f>
        <v>5264</v>
      </c>
    </row>
    <row r="6" spans="1:8">
      <c r="A6" s="3632"/>
      <c r="B6" s="3640"/>
      <c r="C6" s="3640"/>
      <c r="D6" s="3642"/>
      <c r="E6" s="3609"/>
      <c r="F6" s="3634"/>
    </row>
    <row r="7" spans="1:8">
      <c r="A7" s="3632"/>
      <c r="B7" s="3339" t="s">
        <v>3133</v>
      </c>
      <c r="C7" s="3339">
        <f ca="1">'剩余法-待开发（商业）'!B3</f>
        <v>20206</v>
      </c>
      <c r="D7" s="3453">
        <v>0.3</v>
      </c>
      <c r="E7" s="3609"/>
      <c r="F7" s="3634"/>
    </row>
    <row r="8" spans="1:8">
      <c r="A8" s="3632"/>
      <c r="B8" s="3338" t="s">
        <v>3154</v>
      </c>
      <c r="C8" s="3339">
        <f>'比较法-商业'!C49</f>
        <v>20942</v>
      </c>
      <c r="D8" s="3453">
        <v>0.4</v>
      </c>
      <c r="E8" s="3610"/>
      <c r="F8" s="3635"/>
    </row>
    <row r="9" spans="1:8">
      <c r="A9" s="3643" t="s">
        <v>3835</v>
      </c>
      <c r="B9" s="3341" t="s">
        <v>3132</v>
      </c>
      <c r="C9" s="3341">
        <f ca="1">'基准地价 (办公)'!C29</f>
        <v>22796</v>
      </c>
      <c r="D9" s="3341">
        <f>D5</f>
        <v>0.3</v>
      </c>
      <c r="E9" s="3629">
        <f ca="1">ROUND(C9*D9+C10*D10+C11*D11,0)</f>
        <v>20158</v>
      </c>
      <c r="F9" s="3636">
        <f ca="1">ROUND(E9*0.25,0)</f>
        <v>5040</v>
      </c>
    </row>
    <row r="10" spans="1:8">
      <c r="A10" s="3643"/>
      <c r="B10" s="3341" t="s">
        <v>3133</v>
      </c>
      <c r="C10" s="3341">
        <f ca="1">'剩余法-待开发 (办公)'!B3</f>
        <v>17703</v>
      </c>
      <c r="D10" s="3341">
        <f>D7</f>
        <v>0.3</v>
      </c>
      <c r="E10" s="3630"/>
      <c r="F10" s="3637"/>
    </row>
    <row r="11" spans="1:8">
      <c r="A11" s="3643"/>
      <c r="B11" s="3340" t="s">
        <v>3154</v>
      </c>
      <c r="C11" s="3341">
        <f>'比较法-办公'!C49</f>
        <v>20020</v>
      </c>
      <c r="D11" s="3341">
        <f>D8</f>
        <v>0.4</v>
      </c>
      <c r="E11" s="3631"/>
      <c r="F11" s="3638"/>
    </row>
    <row r="12" spans="1:8" ht="18">
      <c r="A12" s="3632" t="s">
        <v>3829</v>
      </c>
      <c r="B12" s="3339" t="s">
        <v>3132</v>
      </c>
      <c r="C12" s="3339">
        <f ca="1">'基准地价（商业）'!C33</f>
        <v>10249</v>
      </c>
      <c r="D12" s="3339">
        <f>D9</f>
        <v>0.3</v>
      </c>
      <c r="E12" s="3608">
        <f t="shared" ref="E12" ca="1" si="0">ROUND(C12*D12+C13*D13+C14*D14,0)</f>
        <v>13182</v>
      </c>
      <c r="F12" s="3633">
        <f ca="1">ROUND(E12*0.25,0)</f>
        <v>3296</v>
      </c>
      <c r="G12" s="3394" t="e">
        <f>#REF!</f>
        <v>#REF!</v>
      </c>
      <c r="H12" t="e">
        <f ca="1">C12*$G$12</f>
        <v>#REF!</v>
      </c>
    </row>
    <row r="13" spans="1:8">
      <c r="A13" s="3632"/>
      <c r="B13" s="3339" t="s">
        <v>3133</v>
      </c>
      <c r="C13" s="3339">
        <f ca="1">ROUND(C7*0.7,0)</f>
        <v>14144</v>
      </c>
      <c r="D13" s="3339">
        <f>D10</f>
        <v>0.3</v>
      </c>
      <c r="E13" s="3609"/>
      <c r="F13" s="3634"/>
    </row>
    <row r="14" spans="1:8">
      <c r="A14" s="3632"/>
      <c r="B14" s="3339" t="s">
        <v>3153</v>
      </c>
      <c r="C14" s="3344">
        <f>ROUND(C8*0.7,0)</f>
        <v>14659</v>
      </c>
      <c r="D14" s="3339">
        <f>D8</f>
        <v>0.4</v>
      </c>
      <c r="E14" s="3610"/>
      <c r="F14" s="3635"/>
    </row>
    <row r="15" spans="1:8" ht="18">
      <c r="A15" s="3639" t="s">
        <v>3830</v>
      </c>
      <c r="B15" s="3341" t="s">
        <v>3132</v>
      </c>
      <c r="C15" s="3341">
        <f ca="1">'基准地价（商业）'!C34</f>
        <v>5857</v>
      </c>
      <c r="D15" s="3341">
        <f>D12</f>
        <v>0.3</v>
      </c>
      <c r="E15" s="3629">
        <f t="shared" ref="E15" ca="1" si="1">ROUND(C15*D15+C16*D16+C17*D17,0)</f>
        <v>7533</v>
      </c>
      <c r="F15" s="3636">
        <f t="shared" ref="F15" ca="1" si="2">ROUND(E15*0.25,0)</f>
        <v>1883</v>
      </c>
      <c r="G15" s="3394" t="e">
        <f>#REF!</f>
        <v>#REF!</v>
      </c>
      <c r="H15" t="e">
        <f ca="1">C15*$G$15</f>
        <v>#REF!</v>
      </c>
    </row>
    <row r="16" spans="1:8">
      <c r="A16" s="3639"/>
      <c r="B16" s="3341" t="s">
        <v>3133</v>
      </c>
      <c r="C16" s="3341">
        <f ca="1">ROUND(C7*0.4,0)</f>
        <v>8082</v>
      </c>
      <c r="D16" s="3341">
        <f>D13</f>
        <v>0.3</v>
      </c>
      <c r="E16" s="3630"/>
      <c r="F16" s="3637"/>
    </row>
    <row r="17" spans="1:8">
      <c r="A17" s="3639"/>
      <c r="B17" s="3341" t="s">
        <v>3153</v>
      </c>
      <c r="C17" s="3343">
        <f>ROUND(C8*0.4,0)</f>
        <v>8377</v>
      </c>
      <c r="D17" s="3341">
        <f>D8</f>
        <v>0.4</v>
      </c>
      <c r="E17" s="3631"/>
      <c r="F17" s="3638"/>
    </row>
    <row r="18" spans="1:8">
      <c r="A18" s="3632" t="s">
        <v>3831</v>
      </c>
      <c r="B18" s="3339" t="s">
        <v>3132</v>
      </c>
      <c r="C18" s="3339">
        <f ca="1">'基准地价 住宅'!C38</f>
        <v>5075</v>
      </c>
      <c r="D18" s="3339">
        <f>D2</f>
        <v>0.4</v>
      </c>
      <c r="E18" s="3608">
        <f t="shared" ref="E18" ca="1" si="3">ROUND(C18*D18+C19*D19+C20*D20,0)</f>
        <v>8997</v>
      </c>
      <c r="F18" s="3633">
        <f t="shared" ref="F18" ca="1" si="4">ROUND(E18*0.25,0)</f>
        <v>2249</v>
      </c>
      <c r="G18" t="e">
        <f>#REF!</f>
        <v>#REF!</v>
      </c>
      <c r="H18" t="e">
        <f ca="1">C18*$G$18</f>
        <v>#REF!</v>
      </c>
    </row>
    <row r="19" spans="1:8">
      <c r="A19" s="3632"/>
      <c r="B19" s="3339" t="s">
        <v>3133</v>
      </c>
      <c r="C19" s="3339">
        <f ca="1">ROUND(C3*0.25,0)</f>
        <v>11611</v>
      </c>
      <c r="D19" s="3339">
        <f>D3</f>
        <v>0.6</v>
      </c>
      <c r="E19" s="3609"/>
      <c r="F19" s="3634"/>
    </row>
    <row r="20" spans="1:8">
      <c r="A20" s="3632"/>
      <c r="B20" s="3339" t="s">
        <v>3153</v>
      </c>
      <c r="C20" s="3344">
        <f>ROUND(C4*0.25,0)</f>
        <v>0</v>
      </c>
      <c r="D20" s="3339">
        <f>D4</f>
        <v>0</v>
      </c>
      <c r="E20" s="3610"/>
      <c r="F20" s="3635"/>
    </row>
    <row r="21" spans="1:8">
      <c r="A21" s="3639" t="s">
        <v>3832</v>
      </c>
      <c r="B21" s="3341" t="s">
        <v>3132</v>
      </c>
      <c r="C21" s="3341">
        <f ca="1">'基准地价（商业）'!C38</f>
        <v>4061</v>
      </c>
      <c r="D21" s="3341">
        <f>D5</f>
        <v>0.3</v>
      </c>
      <c r="E21" s="3629">
        <f t="shared" ref="E21" ca="1" si="5">ROUND(C21*D21+C22*D22+C23*D23,0)</f>
        <v>4828</v>
      </c>
      <c r="F21" s="3636">
        <f t="shared" ref="F21" ca="1" si="6">ROUND(E21*0.25,0)</f>
        <v>1207</v>
      </c>
      <c r="G21" t="e">
        <f>#REF!</f>
        <v>#REF!</v>
      </c>
      <c r="H21" t="e">
        <f ca="1">C21*$G$21</f>
        <v>#REF!</v>
      </c>
    </row>
    <row r="22" spans="1:8">
      <c r="A22" s="3639"/>
      <c r="B22" s="3341" t="s">
        <v>3133</v>
      </c>
      <c r="C22" s="3341">
        <f ca="1">ROUND(C7*0.25,0)</f>
        <v>5052</v>
      </c>
      <c r="D22" s="3343">
        <f>D7</f>
        <v>0.3</v>
      </c>
      <c r="E22" s="3630"/>
      <c r="F22" s="3637"/>
    </row>
    <row r="23" spans="1:8">
      <c r="A23" s="3639"/>
      <c r="B23" s="3341" t="s">
        <v>3153</v>
      </c>
      <c r="C23" s="3343">
        <f>ROUND(C8*0.25,0)</f>
        <v>5236</v>
      </c>
      <c r="D23" s="3343">
        <f>D8</f>
        <v>0.4</v>
      </c>
      <c r="E23" s="3631"/>
      <c r="F23" s="3638"/>
    </row>
    <row r="24" spans="1:8">
      <c r="A24" s="3632" t="s">
        <v>3834</v>
      </c>
      <c r="B24" s="3339" t="s">
        <v>3132</v>
      </c>
      <c r="C24" s="3339">
        <f ca="1">'基准地价 (办公)'!C37</f>
        <v>4014</v>
      </c>
      <c r="D24" s="3339">
        <f>D12</f>
        <v>0.3</v>
      </c>
      <c r="E24" s="3608">
        <f t="shared" ref="E24" ca="1" si="7">ROUND(C24*D24+C25*D25+C26*D26,0)</f>
        <v>4146</v>
      </c>
      <c r="F24" s="3608">
        <f ca="1">ROUND(E24*0.25,0)</f>
        <v>1037</v>
      </c>
    </row>
    <row r="25" spans="1:8">
      <c r="A25" s="3632"/>
      <c r="B25" s="3339" t="s">
        <v>3133</v>
      </c>
      <c r="C25" s="3339">
        <f ca="1">ROUND(C10*'基准地价 (办公)'!C41*0.25,0)</f>
        <v>3910</v>
      </c>
      <c r="D25" s="3339">
        <f>D13</f>
        <v>0.3</v>
      </c>
      <c r="E25" s="3609"/>
      <c r="F25" s="3609"/>
      <c r="H25" t="e">
        <f ca="1">SUM(H12:H21)</f>
        <v>#REF!</v>
      </c>
    </row>
    <row r="26" spans="1:8">
      <c r="A26" s="3632"/>
      <c r="B26" s="3339" t="s">
        <v>3153</v>
      </c>
      <c r="C26" s="3344">
        <f ca="1">ROUND(C11*'基准地价 (办公)'!C41*0.25,0)</f>
        <v>4422</v>
      </c>
      <c r="D26" s="3339">
        <f>D8</f>
        <v>0.4</v>
      </c>
      <c r="E26" s="3610"/>
      <c r="F26" s="3610"/>
      <c r="H26" t="e">
        <f ca="1">H25/#REF!</f>
        <v>#REF!</v>
      </c>
    </row>
    <row r="27" spans="1:8">
      <c r="A27" s="3639" t="s">
        <v>3833</v>
      </c>
      <c r="B27" s="3341" t="s">
        <v>3132</v>
      </c>
      <c r="C27" s="3341">
        <f ca="1">'基准地价 住宅'!C39</f>
        <v>4060</v>
      </c>
      <c r="D27" s="3341">
        <f>D2</f>
        <v>0.4</v>
      </c>
      <c r="E27" s="3629">
        <f t="shared" ref="E27" ca="1" si="8">ROUND(C27*D27+C28*D28+C29*D29,0)</f>
        <v>7197</v>
      </c>
      <c r="F27" s="3629">
        <f ca="1">ROUND(E27*0.25,0)</f>
        <v>1799</v>
      </c>
    </row>
    <row r="28" spans="1:8">
      <c r="A28" s="3639"/>
      <c r="B28" s="3341" t="s">
        <v>3133</v>
      </c>
      <c r="C28" s="3341">
        <f ca="1">ROUND(C3*0.2,0)</f>
        <v>9289</v>
      </c>
      <c r="D28" s="3343">
        <f t="shared" ref="D28:D29" si="9">D3</f>
        <v>0.6</v>
      </c>
      <c r="E28" s="3630"/>
      <c r="F28" s="3630"/>
    </row>
    <row r="29" spans="1:8">
      <c r="A29" s="3639"/>
      <c r="B29" s="3351" t="s">
        <v>3153</v>
      </c>
      <c r="C29" s="3343">
        <f>ROUND(C4*0.2,0)</f>
        <v>0</v>
      </c>
      <c r="D29" s="3343">
        <f t="shared" si="9"/>
        <v>0</v>
      </c>
      <c r="E29" s="3631"/>
      <c r="F29" s="3631"/>
    </row>
    <row r="30" spans="1:8">
      <c r="A30" s="3632" t="s">
        <v>3855</v>
      </c>
      <c r="B30" s="3502" t="s">
        <v>3132</v>
      </c>
      <c r="C30" s="3502" t="e">
        <f ca="1">ROUND((C12*$C$42+#REF!*C15)/#REF!,0)</f>
        <v>#REF!</v>
      </c>
      <c r="D30" s="3502">
        <f>D12</f>
        <v>0.3</v>
      </c>
      <c r="E30" s="3608" t="e">
        <f t="shared" ref="E30" ca="1" si="10">ROUND(C30*D30+C31*D31+C32*D32,0)</f>
        <v>#REF!</v>
      </c>
      <c r="F30" s="3608" t="e">
        <f ca="1">ROUND(E30*0.25,0)</f>
        <v>#REF!</v>
      </c>
    </row>
    <row r="31" spans="1:8">
      <c r="A31" s="3632"/>
      <c r="B31" s="3502" t="s">
        <v>3133</v>
      </c>
      <c r="C31" s="3502" t="e">
        <f ca="1">ROUND((C13*$C$42+#REF!*C16)/#REF!,0)</f>
        <v>#REF!</v>
      </c>
      <c r="D31" s="3502">
        <f t="shared" ref="D31:D32" si="11">D13</f>
        <v>0.3</v>
      </c>
      <c r="E31" s="3609"/>
      <c r="F31" s="3609"/>
    </row>
    <row r="32" spans="1:8">
      <c r="A32" s="3632"/>
      <c r="B32" s="3502" t="s">
        <v>3153</v>
      </c>
      <c r="C32" s="3502" t="e">
        <f>ROUND((C14*$C$42+#REF!*C17)/#REF!,0)</f>
        <v>#REF!</v>
      </c>
      <c r="D32" s="3502">
        <f t="shared" si="11"/>
        <v>0.4</v>
      </c>
      <c r="E32" s="3610"/>
      <c r="F32" s="3610"/>
    </row>
    <row r="34" spans="1:14" ht="19.5" thickBot="1">
      <c r="A34" s="3336" t="s">
        <v>3144</v>
      </c>
      <c r="I34" s="3641" t="s">
        <v>3152</v>
      </c>
      <c r="J34" s="3641"/>
      <c r="K34" s="3641"/>
    </row>
    <row r="35" spans="1:14" ht="14.25" customHeight="1">
      <c r="A35" s="3618" t="s">
        <v>3145</v>
      </c>
      <c r="B35" s="3618" t="s">
        <v>3126</v>
      </c>
      <c r="C35" s="3488" t="s">
        <v>3146</v>
      </c>
      <c r="D35" s="3488" t="s">
        <v>3147</v>
      </c>
      <c r="E35" s="3488" t="s">
        <v>3148</v>
      </c>
      <c r="F35" s="3613"/>
      <c r="I35" s="3618" t="s">
        <v>3145</v>
      </c>
      <c r="J35" s="3618" t="s">
        <v>3126</v>
      </c>
      <c r="K35" s="3488" t="s">
        <v>3146</v>
      </c>
      <c r="L35" s="3488" t="s">
        <v>3850</v>
      </c>
      <c r="M35" s="3488" t="s">
        <v>3851</v>
      </c>
      <c r="N35" s="3613"/>
    </row>
    <row r="36" spans="1:14" ht="31.5">
      <c r="A36" s="3619"/>
      <c r="B36" s="3619"/>
      <c r="C36" s="3489" t="s">
        <v>3149</v>
      </c>
      <c r="D36" s="3489" t="s">
        <v>3150</v>
      </c>
      <c r="E36" s="3489" t="s">
        <v>3151</v>
      </c>
      <c r="F36" s="3613"/>
      <c r="I36" s="3619"/>
      <c r="J36" s="3619"/>
      <c r="K36" s="3489" t="s">
        <v>3149</v>
      </c>
      <c r="L36" s="3489" t="s">
        <v>3845</v>
      </c>
      <c r="M36" s="3489" t="s">
        <v>3151</v>
      </c>
      <c r="N36" s="3613"/>
    </row>
    <row r="37" spans="1:14" ht="18" thickBot="1">
      <c r="A37" s="3627"/>
      <c r="B37" s="3620"/>
      <c r="C37" s="3490" t="s">
        <v>3844</v>
      </c>
      <c r="D37" s="3490" t="s">
        <v>3845</v>
      </c>
      <c r="E37" s="3337"/>
      <c r="F37" s="3613"/>
      <c r="I37" s="3627"/>
      <c r="J37" s="3620"/>
      <c r="K37" s="3490" t="s">
        <v>3844</v>
      </c>
      <c r="L37" s="3337"/>
      <c r="M37" s="3337"/>
      <c r="N37" s="3613"/>
    </row>
    <row r="38" spans="1:14" ht="14.25" customHeight="1">
      <c r="A38" s="3621" t="s">
        <v>2996</v>
      </c>
      <c r="B38" s="3492" t="s">
        <v>1667</v>
      </c>
      <c r="C38" s="3623">
        <f>面积信息!G5</f>
        <v>101.68</v>
      </c>
      <c r="D38" s="3616">
        <f ca="1">E9</f>
        <v>20158</v>
      </c>
      <c r="E38" s="3611">
        <f ca="1">ROUND(C38*D38/10000,4)</f>
        <v>204.9665</v>
      </c>
      <c r="F38" s="3613"/>
      <c r="I38" s="3621" t="s">
        <v>2996</v>
      </c>
      <c r="J38" s="3492" t="s">
        <v>1667</v>
      </c>
      <c r="K38" s="3616">
        <f>C38</f>
        <v>101.68</v>
      </c>
      <c r="L38" s="3616">
        <f ca="1">ROUND(D38/4,0)</f>
        <v>5040</v>
      </c>
      <c r="M38" s="3611">
        <f ca="1">ROUND(K38*L38/10000,4)</f>
        <v>51.246699999999997</v>
      </c>
      <c r="N38" s="3613"/>
    </row>
    <row r="39" spans="1:14" ht="29.25" thickBot="1">
      <c r="A39" s="3622"/>
      <c r="B39" s="3493" t="s">
        <v>3846</v>
      </c>
      <c r="C39" s="3617"/>
      <c r="D39" s="3617"/>
      <c r="E39" s="3612"/>
      <c r="F39" s="3613"/>
      <c r="I39" s="3622"/>
      <c r="J39" s="3493" t="s">
        <v>3846</v>
      </c>
      <c r="K39" s="3617"/>
      <c r="L39" s="3617"/>
      <c r="M39" s="3612"/>
      <c r="N39" s="3613"/>
    </row>
    <row r="40" spans="1:14" ht="14.25" customHeight="1">
      <c r="A40" s="3624" t="s">
        <v>2997</v>
      </c>
      <c r="B40" s="3492" t="s">
        <v>3847</v>
      </c>
      <c r="C40" s="3623">
        <f>面积信息!G8</f>
        <v>50.63</v>
      </c>
      <c r="D40" s="3616">
        <f ca="1">E24</f>
        <v>4146</v>
      </c>
      <c r="E40" s="3611">
        <f ca="1">ROUND(C40*D40/10000,4)</f>
        <v>20.991199999999999</v>
      </c>
      <c r="F40" s="3491"/>
      <c r="I40" s="3624" t="s">
        <v>2997</v>
      </c>
      <c r="J40" s="3492" t="s">
        <v>3847</v>
      </c>
      <c r="K40" s="3616">
        <f>C40</f>
        <v>50.63</v>
      </c>
      <c r="L40" s="3616">
        <f ca="1">ROUND(D40/4,0)</f>
        <v>1037</v>
      </c>
      <c r="M40" s="3611">
        <f ca="1">ROUND(K40*L40/10000,4)</f>
        <v>5.2503000000000002</v>
      </c>
      <c r="N40" s="3491"/>
    </row>
    <row r="41" spans="1:14" ht="29.25" thickBot="1">
      <c r="A41" s="3625"/>
      <c r="B41" s="3494" t="s">
        <v>3846</v>
      </c>
      <c r="C41" s="3617"/>
      <c r="D41" s="3626"/>
      <c r="E41" s="3612"/>
      <c r="F41" s="3491"/>
      <c r="I41" s="3625"/>
      <c r="J41" s="3494" t="s">
        <v>3846</v>
      </c>
      <c r="K41" s="3617"/>
      <c r="L41" s="3617"/>
      <c r="M41" s="3612"/>
      <c r="N41" s="3491"/>
    </row>
    <row r="42" spans="1:14" ht="14.25" customHeight="1">
      <c r="A42" s="3625"/>
      <c r="B42" s="3492" t="s">
        <v>3848</v>
      </c>
      <c r="C42" s="3623">
        <v>3434.08</v>
      </c>
      <c r="D42" s="3628">
        <f ca="1">E12</f>
        <v>13182</v>
      </c>
      <c r="E42" s="3611">
        <f ca="1">ROUND(C42*D42/10000,4)</f>
        <v>4526.8042999999998</v>
      </c>
      <c r="F42" s="3491"/>
      <c r="I42" s="3625"/>
      <c r="J42" s="3492" t="s">
        <v>3848</v>
      </c>
      <c r="K42" s="3616">
        <f>C42</f>
        <v>3434.08</v>
      </c>
      <c r="L42" s="3616">
        <f ca="1">ROUND(D42/4,0)</f>
        <v>3296</v>
      </c>
      <c r="M42" s="3611">
        <f ca="1">ROUND(K42*L42/10000,4)</f>
        <v>1131.8728000000001</v>
      </c>
      <c r="N42" s="3491"/>
    </row>
    <row r="43" spans="1:14" ht="15" customHeight="1" thickBot="1">
      <c r="A43" s="3625"/>
      <c r="B43" s="3494" t="s">
        <v>3849</v>
      </c>
      <c r="C43" s="3626"/>
      <c r="D43" s="3626"/>
      <c r="E43" s="3612"/>
      <c r="F43" s="3491"/>
      <c r="I43" s="3625"/>
      <c r="J43" s="3494" t="s">
        <v>3849</v>
      </c>
      <c r="K43" s="3626"/>
      <c r="L43" s="3617"/>
      <c r="M43" s="3612"/>
      <c r="N43" s="3491"/>
    </row>
    <row r="44" spans="1:14" ht="15.75" thickBot="1">
      <c r="A44" s="3625"/>
      <c r="B44" s="3493" t="s">
        <v>3854</v>
      </c>
      <c r="C44" s="3503">
        <f>面积信息!F14</f>
        <v>20244.13</v>
      </c>
      <c r="D44" s="3497">
        <f ca="1">E18</f>
        <v>8997</v>
      </c>
      <c r="E44" s="3498">
        <f ca="1">ROUND(C44*D44/10000,4)</f>
        <v>18213.643800000002</v>
      </c>
      <c r="F44" s="3491"/>
      <c r="I44" s="3625"/>
      <c r="J44" s="3493" t="s">
        <v>3854</v>
      </c>
      <c r="K44" s="3503">
        <f>C44</f>
        <v>20244.13</v>
      </c>
      <c r="L44" s="3497">
        <f ca="1">ROUND(D44/4,0)</f>
        <v>2249</v>
      </c>
      <c r="M44" s="3498">
        <f ca="1">ROUND(K44*L44/10000,4)</f>
        <v>4552.9048000000003</v>
      </c>
      <c r="N44" s="3491"/>
    </row>
    <row r="45" spans="1:14" ht="15.75" thickBot="1">
      <c r="A45" s="3625"/>
      <c r="B45" s="3493" t="s">
        <v>35</v>
      </c>
      <c r="C45" s="3500">
        <f>面积信息!F15</f>
        <v>23373.33</v>
      </c>
      <c r="D45" s="3497">
        <f ca="1">E27</f>
        <v>7197</v>
      </c>
      <c r="E45" s="3498">
        <f ca="1">ROUND(C45*D45/10000,4)</f>
        <v>16821.785599999999</v>
      </c>
      <c r="F45" s="3491"/>
      <c r="I45" s="3625"/>
      <c r="J45" s="3493" t="s">
        <v>35</v>
      </c>
      <c r="K45" s="3497">
        <f>C45</f>
        <v>23373.33</v>
      </c>
      <c r="L45" s="3497">
        <f ca="1">ROUND(D45/4,0)</f>
        <v>1799</v>
      </c>
      <c r="M45" s="3498">
        <f ca="1">ROUND(K45*L45/10000,4)</f>
        <v>4204.8621000000003</v>
      </c>
      <c r="N45" s="3491"/>
    </row>
    <row r="46" spans="1:14" ht="16.5" thickBot="1">
      <c r="A46" s="3622"/>
      <c r="B46" s="3490" t="s">
        <v>27</v>
      </c>
      <c r="C46" s="3499">
        <f>C40+C42+C44+C45</f>
        <v>47102.17</v>
      </c>
      <c r="D46" s="3495" t="s">
        <v>2796</v>
      </c>
      <c r="E46" s="3496">
        <f ca="1">E40+E42+E44+E45</f>
        <v>39583.224900000001</v>
      </c>
      <c r="F46" s="3491"/>
      <c r="I46" s="3622"/>
      <c r="J46" s="3490" t="s">
        <v>27</v>
      </c>
      <c r="K46" s="3499">
        <f>C46</f>
        <v>47102.17</v>
      </c>
      <c r="L46" s="3497" t="s">
        <v>2796</v>
      </c>
      <c r="M46" s="3496">
        <f ca="1">M40+M42+M44+M45</f>
        <v>9894.89</v>
      </c>
      <c r="N46" s="3491"/>
    </row>
    <row r="47" spans="1:14" ht="16.5" thickBot="1">
      <c r="A47" s="3614" t="s">
        <v>24</v>
      </c>
      <c r="B47" s="3615"/>
      <c r="C47" s="3499">
        <f>C46+C38</f>
        <v>47203.85</v>
      </c>
      <c r="D47" s="3495" t="s">
        <v>2796</v>
      </c>
      <c r="E47" s="3496">
        <f ca="1">E46+E38</f>
        <v>39788.191400000003</v>
      </c>
      <c r="F47" s="3491"/>
      <c r="I47" s="3614" t="s">
        <v>24</v>
      </c>
      <c r="J47" s="3615"/>
      <c r="K47" s="3495">
        <f>K38+K46</f>
        <v>47203.85</v>
      </c>
      <c r="L47" s="3495" t="s">
        <v>2796</v>
      </c>
      <c r="M47" s="3496">
        <f ca="1">M46+M38</f>
        <v>9946.1366999999991</v>
      </c>
      <c r="N47" s="3491"/>
    </row>
    <row r="52" spans="1:6" ht="14.25" thickBot="1"/>
    <row r="53" spans="1:6" ht="28.5">
      <c r="A53" s="3618" t="s">
        <v>3145</v>
      </c>
      <c r="B53" s="3618" t="s">
        <v>3126</v>
      </c>
      <c r="C53" s="3488" t="s">
        <v>3146</v>
      </c>
      <c r="D53" s="3488" t="s">
        <v>3147</v>
      </c>
      <c r="E53" s="3488" t="s">
        <v>3850</v>
      </c>
      <c r="F53" s="3488" t="s">
        <v>3853</v>
      </c>
    </row>
    <row r="54" spans="1:6" ht="17.25">
      <c r="A54" s="3619"/>
      <c r="B54" s="3619"/>
      <c r="C54" s="3489" t="s">
        <v>3149</v>
      </c>
      <c r="D54" s="3489" t="s">
        <v>3150</v>
      </c>
      <c r="E54" s="3489" t="s">
        <v>3845</v>
      </c>
      <c r="F54" s="3489" t="s">
        <v>3151</v>
      </c>
    </row>
    <row r="55" spans="1:6" ht="18" thickBot="1">
      <c r="A55" s="3627"/>
      <c r="B55" s="3620"/>
      <c r="C55" s="3490" t="s">
        <v>3844</v>
      </c>
      <c r="D55" s="3490" t="s">
        <v>3845</v>
      </c>
      <c r="E55" s="3337"/>
      <c r="F55" s="3337"/>
    </row>
    <row r="56" spans="1:6" ht="14.25">
      <c r="A56" s="3621" t="s">
        <v>2996</v>
      </c>
      <c r="B56" s="3492" t="s">
        <v>1667</v>
      </c>
      <c r="C56" s="3623">
        <f>面积信息!G30</f>
        <v>101.68</v>
      </c>
      <c r="D56" s="3616">
        <f ca="1">D38</f>
        <v>20158</v>
      </c>
      <c r="E56" s="3616" t="s">
        <v>3852</v>
      </c>
      <c r="F56" s="3611">
        <f ca="1">ROUND(C56*D56/10000,4)</f>
        <v>204.9665</v>
      </c>
    </row>
    <row r="57" spans="1:6" ht="15" thickBot="1">
      <c r="A57" s="3622"/>
      <c r="B57" s="3493" t="s">
        <v>3846</v>
      </c>
      <c r="C57" s="3617"/>
      <c r="D57" s="3617"/>
      <c r="E57" s="3617"/>
      <c r="F57" s="3612"/>
    </row>
    <row r="58" spans="1:6" ht="14.25">
      <c r="A58" s="3624" t="s">
        <v>2997</v>
      </c>
      <c r="B58" s="3492" t="s">
        <v>3847</v>
      </c>
      <c r="C58" s="3623">
        <f>面积信息!G33</f>
        <v>50.63</v>
      </c>
      <c r="D58" s="3616" t="s">
        <v>3852</v>
      </c>
      <c r="E58" s="3616">
        <f ca="1">L40</f>
        <v>1037</v>
      </c>
      <c r="F58" s="3611">
        <f ca="1">ROUND(C58*E58/10000,4)</f>
        <v>5.2503000000000002</v>
      </c>
    </row>
    <row r="59" spans="1:6" ht="15" thickBot="1">
      <c r="A59" s="3625"/>
      <c r="B59" s="3494" t="s">
        <v>3846</v>
      </c>
      <c r="C59" s="3617"/>
      <c r="D59" s="3626"/>
      <c r="E59" s="3617"/>
      <c r="F59" s="3612"/>
    </row>
    <row r="60" spans="1:6" ht="14.25" customHeight="1">
      <c r="A60" s="3625"/>
      <c r="B60" s="3492" t="s">
        <v>3848</v>
      </c>
      <c r="C60" s="3623">
        <f>C42</f>
        <v>3434.08</v>
      </c>
      <c r="D60" s="3616" t="s">
        <v>3852</v>
      </c>
      <c r="E60" s="3616">
        <f ca="1">L42</f>
        <v>3296</v>
      </c>
      <c r="F60" s="3611">
        <f ca="1">ROUND(C60*E60/10000,4)</f>
        <v>1131.8728000000001</v>
      </c>
    </row>
    <row r="61" spans="1:6" ht="15" customHeight="1" thickBot="1">
      <c r="A61" s="3625"/>
      <c r="B61" s="3494" t="s">
        <v>3849</v>
      </c>
      <c r="C61" s="3626"/>
      <c r="D61" s="3626"/>
      <c r="E61" s="3617"/>
      <c r="F61" s="3612"/>
    </row>
    <row r="62" spans="1:6" ht="15.75" thickBot="1">
      <c r="A62" s="3625"/>
      <c r="B62" s="3493" t="s">
        <v>3854</v>
      </c>
      <c r="C62" s="3503">
        <f>C44</f>
        <v>20244.13</v>
      </c>
      <c r="D62" s="3497" t="s">
        <v>3852</v>
      </c>
      <c r="E62" s="3497">
        <f ca="1">L44</f>
        <v>2249</v>
      </c>
      <c r="F62" s="3498">
        <f ca="1">ROUND(C62*E62/10000,4)</f>
        <v>4552.9048000000003</v>
      </c>
    </row>
    <row r="63" spans="1:6" ht="15.75" thickBot="1">
      <c r="A63" s="3625"/>
      <c r="B63" s="3493" t="s">
        <v>35</v>
      </c>
      <c r="C63" s="3500">
        <f>C45</f>
        <v>23373.33</v>
      </c>
      <c r="D63" s="3497" t="s">
        <v>3852</v>
      </c>
      <c r="E63" s="3497">
        <f ca="1">L45</f>
        <v>1799</v>
      </c>
      <c r="F63" s="3498">
        <f ca="1">ROUND(C63*E63/10000,4)</f>
        <v>4204.8621000000003</v>
      </c>
    </row>
    <row r="64" spans="1:6" ht="16.5" thickBot="1">
      <c r="A64" s="3622"/>
      <c r="B64" s="3490" t="s">
        <v>27</v>
      </c>
      <c r="C64" s="3499">
        <f>C58+C60+C62+C63</f>
        <v>47102.17</v>
      </c>
      <c r="D64" s="3495" t="s">
        <v>2796</v>
      </c>
      <c r="E64" s="3497" t="s">
        <v>2796</v>
      </c>
      <c r="F64" s="3501">
        <f ca="1">F58+F60+F62+F63</f>
        <v>9894.89</v>
      </c>
    </row>
    <row r="65" spans="1:6" ht="16.5" thickBot="1">
      <c r="A65" s="3614" t="s">
        <v>24</v>
      </c>
      <c r="B65" s="3615"/>
      <c r="C65" s="3499">
        <f>C64+C56</f>
        <v>47203.85</v>
      </c>
      <c r="D65" s="3495" t="s">
        <v>2796</v>
      </c>
      <c r="E65" s="3495" t="s">
        <v>2796</v>
      </c>
      <c r="F65" s="3501">
        <f ca="1">F64+F56</f>
        <v>10099.8565</v>
      </c>
    </row>
  </sheetData>
  <mergeCells count="83">
    <mergeCell ref="L40:L41"/>
    <mergeCell ref="I35:I37"/>
    <mergeCell ref="J35:J37"/>
    <mergeCell ref="A2:A4"/>
    <mergeCell ref="E2:E4"/>
    <mergeCell ref="F2:F4"/>
    <mergeCell ref="F27:F29"/>
    <mergeCell ref="I34:K34"/>
    <mergeCell ref="B5:B6"/>
    <mergeCell ref="A24:A26"/>
    <mergeCell ref="D5:D6"/>
    <mergeCell ref="A27:A29"/>
    <mergeCell ref="A5:A8"/>
    <mergeCell ref="A9:A11"/>
    <mergeCell ref="A12:A14"/>
    <mergeCell ref="A15:A17"/>
    <mergeCell ref="A18:A20"/>
    <mergeCell ref="A21:A23"/>
    <mergeCell ref="C5:C6"/>
    <mergeCell ref="E15:E17"/>
    <mergeCell ref="E24:E26"/>
    <mergeCell ref="F24:F26"/>
    <mergeCell ref="F15:F17"/>
    <mergeCell ref="E18:E20"/>
    <mergeCell ref="F18:F20"/>
    <mergeCell ref="F21:F23"/>
    <mergeCell ref="E21:E23"/>
    <mergeCell ref="F5:F8"/>
    <mergeCell ref="E9:E11"/>
    <mergeCell ref="F9:F11"/>
    <mergeCell ref="E12:E14"/>
    <mergeCell ref="F12:F14"/>
    <mergeCell ref="E5:E8"/>
    <mergeCell ref="E27:E29"/>
    <mergeCell ref="A35:A37"/>
    <mergeCell ref="B35:B37"/>
    <mergeCell ref="A47:B47"/>
    <mergeCell ref="A30:A32"/>
    <mergeCell ref="E30:E32"/>
    <mergeCell ref="A38:A39"/>
    <mergeCell ref="C38:C39"/>
    <mergeCell ref="D38:D39"/>
    <mergeCell ref="E38:E39"/>
    <mergeCell ref="A40:A46"/>
    <mergeCell ref="C40:C41"/>
    <mergeCell ref="D40:D41"/>
    <mergeCell ref="E40:E41"/>
    <mergeCell ref="C42:C43"/>
    <mergeCell ref="D42:D43"/>
    <mergeCell ref="E42:E43"/>
    <mergeCell ref="I47:J47"/>
    <mergeCell ref="N35:N37"/>
    <mergeCell ref="I38:I39"/>
    <mergeCell ref="N38:N39"/>
    <mergeCell ref="I40:I46"/>
    <mergeCell ref="K42:K43"/>
    <mergeCell ref="L42:L43"/>
    <mergeCell ref="M42:M43"/>
    <mergeCell ref="M38:M39"/>
    <mergeCell ref="L38:L39"/>
    <mergeCell ref="M40:M41"/>
    <mergeCell ref="K38:K39"/>
    <mergeCell ref="K40:K41"/>
    <mergeCell ref="B53:B55"/>
    <mergeCell ref="A56:A57"/>
    <mergeCell ref="C56:C57"/>
    <mergeCell ref="D56:D57"/>
    <mergeCell ref="A58:A64"/>
    <mergeCell ref="C58:C59"/>
    <mergeCell ref="D58:D59"/>
    <mergeCell ref="C60:C61"/>
    <mergeCell ref="D60:D61"/>
    <mergeCell ref="A53:A55"/>
    <mergeCell ref="A65:B65"/>
    <mergeCell ref="E56:E57"/>
    <mergeCell ref="E58:E59"/>
    <mergeCell ref="E60:E61"/>
    <mergeCell ref="F30:F32"/>
    <mergeCell ref="F56:F57"/>
    <mergeCell ref="F58:F59"/>
    <mergeCell ref="F60:F61"/>
    <mergeCell ref="F35:F37"/>
    <mergeCell ref="F38:F39"/>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85" zoomScaleNormal="100" zoomScaleSheetLayoutView="85" zoomScalePageLayoutView="80" workbookViewId="0">
      <selection activeCell="D28" sqref="D28"/>
    </sheetView>
  </sheetViews>
  <sheetFormatPr defaultColWidth="12.625" defaultRowHeight="21.75" customHeight="1"/>
  <cols>
    <col min="1" max="2" width="12.875" style="1202" bestFit="1" customWidth="1"/>
    <col min="3" max="4" width="12.625" style="1202" customWidth="1"/>
    <col min="5" max="9" width="12.875" style="1202" bestFit="1" customWidth="1"/>
    <col min="10" max="10" width="2.125" style="253" customWidth="1"/>
    <col min="11" max="12" width="12.625" style="253" customWidth="1"/>
    <col min="13" max="13" width="12.625" style="253"/>
    <col min="14" max="14" width="15.625" style="253" bestFit="1" customWidth="1"/>
    <col min="15" max="19" width="12.875" style="253" bestFit="1" customWidth="1"/>
    <col min="20" max="26" width="12.625" style="253"/>
    <col min="27" max="16384" width="12.625" style="1202"/>
  </cols>
  <sheetData>
    <row r="1" spans="1:22" ht="21.75" customHeight="1" thickBot="1">
      <c r="A1" s="1686" t="s">
        <v>2043</v>
      </c>
      <c r="B1" s="1687"/>
      <c r="C1" s="1715" t="s">
        <v>2044</v>
      </c>
      <c r="D1" s="1716" t="s">
        <v>3137</v>
      </c>
      <c r="E1" s="1715" t="s">
        <v>2045</v>
      </c>
      <c r="F1" s="1717" t="s">
        <v>3136</v>
      </c>
      <c r="G1" s="307"/>
      <c r="H1" s="307"/>
      <c r="I1" s="307"/>
      <c r="J1" s="1907"/>
      <c r="K1" s="1907"/>
      <c r="L1" s="1907"/>
      <c r="M1" s="1907"/>
      <c r="N1" s="1907"/>
      <c r="O1" s="1907"/>
      <c r="P1" s="1907"/>
      <c r="Q1" s="1907"/>
      <c r="R1" s="1907"/>
      <c r="S1" s="1907"/>
      <c r="T1" s="1907"/>
      <c r="U1" s="1907"/>
      <c r="V1" s="1907"/>
    </row>
    <row r="2" spans="1:22" ht="21.75" customHeight="1" thickBot="1">
      <c r="A2" s="3688" t="str">
        <f>项目基本情况!K2</f>
        <v>北京市出让国有建设用地使用权</v>
      </c>
      <c r="B2" s="3689"/>
      <c r="C2" s="3690"/>
      <c r="D2" s="3690"/>
      <c r="E2" s="3690"/>
      <c r="F2" s="3690"/>
      <c r="G2" s="3689"/>
      <c r="H2" s="3689"/>
      <c r="I2" s="3691"/>
      <c r="J2" s="1908"/>
      <c r="K2" s="1907"/>
      <c r="L2" s="1907"/>
      <c r="M2" s="1907"/>
      <c r="N2" s="1907"/>
      <c r="O2" s="1907"/>
      <c r="P2" s="1907"/>
      <c r="Q2" s="1907"/>
      <c r="R2" s="1907"/>
      <c r="S2" s="1907"/>
      <c r="T2" s="1907"/>
      <c r="U2" s="1907"/>
      <c r="V2" s="1907"/>
    </row>
    <row r="3" spans="1:22" ht="14.25">
      <c r="A3" s="3681" t="s">
        <v>298</v>
      </c>
      <c r="B3" s="3682"/>
      <c r="C3" s="3682"/>
      <c r="D3" s="3682"/>
      <c r="E3" s="3682"/>
      <c r="F3" s="3682"/>
      <c r="G3" s="3682"/>
      <c r="H3" s="3682"/>
      <c r="I3" s="3682"/>
      <c r="J3" s="1908"/>
      <c r="K3" s="1907"/>
      <c r="L3" s="1907"/>
      <c r="M3" s="1907"/>
      <c r="N3" s="1907"/>
      <c r="O3" s="1907"/>
      <c r="P3" s="1907"/>
      <c r="Q3" s="1907"/>
      <c r="R3" s="1907"/>
      <c r="S3" s="1907"/>
      <c r="T3" s="1907"/>
      <c r="U3" s="1907"/>
      <c r="V3" s="1907"/>
    </row>
    <row r="4" spans="1:22" ht="14.25">
      <c r="A4" s="254" t="s">
        <v>299</v>
      </c>
      <c r="B4" s="255" t="s">
        <v>300</v>
      </c>
      <c r="C4" s="256" t="s">
        <v>3008</v>
      </c>
      <c r="D4" s="256" t="s">
        <v>3140</v>
      </c>
      <c r="E4" s="3647" t="s">
        <v>301</v>
      </c>
      <c r="F4" s="3648"/>
      <c r="G4" s="3648"/>
      <c r="H4" s="3648"/>
      <c r="I4" s="3683"/>
      <c r="J4" s="1908"/>
      <c r="K4" s="1907"/>
      <c r="L4" s="3189"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646" t="s">
        <v>302</v>
      </c>
      <c r="B5" s="3675">
        <v>25</v>
      </c>
      <c r="C5" s="3673">
        <v>3</v>
      </c>
      <c r="D5" s="3677">
        <v>7</v>
      </c>
      <c r="E5" s="257" t="s">
        <v>303</v>
      </c>
      <c r="F5" s="258"/>
      <c r="G5" s="258"/>
      <c r="H5" s="258"/>
      <c r="I5" s="259"/>
      <c r="J5" s="1908"/>
      <c r="K5" s="1907"/>
      <c r="L5" s="1907"/>
      <c r="M5" s="1907"/>
      <c r="N5" s="1907"/>
      <c r="O5" s="1907"/>
      <c r="P5" s="1907"/>
      <c r="Q5" s="1907"/>
      <c r="R5" s="1907"/>
      <c r="S5" s="1907"/>
      <c r="T5" s="1907"/>
      <c r="U5" s="1907"/>
      <c r="V5" s="1907"/>
    </row>
    <row r="6" spans="1:22" ht="14.25">
      <c r="A6" s="3646"/>
      <c r="B6" s="3675"/>
      <c r="C6" s="3676"/>
      <c r="D6" s="3677"/>
      <c r="E6" s="257" t="s">
        <v>304</v>
      </c>
      <c r="F6" s="258"/>
      <c r="G6" s="258"/>
      <c r="H6" s="258"/>
      <c r="I6" s="259"/>
      <c r="J6" s="1908"/>
      <c r="K6" s="1907"/>
      <c r="L6" s="1907"/>
      <c r="M6" s="1907"/>
      <c r="N6" s="1907"/>
      <c r="O6" s="1907"/>
      <c r="P6" s="1907"/>
      <c r="Q6" s="1907"/>
      <c r="R6" s="1907"/>
      <c r="S6" s="1907"/>
      <c r="T6" s="1907"/>
      <c r="U6" s="1907"/>
      <c r="V6" s="1907"/>
    </row>
    <row r="7" spans="1:22" ht="14.25">
      <c r="A7" s="3646"/>
      <c r="B7" s="3675"/>
      <c r="C7" s="3674"/>
      <c r="D7" s="3677"/>
      <c r="E7" s="257" t="s">
        <v>305</v>
      </c>
      <c r="F7" s="258"/>
      <c r="G7" s="258"/>
      <c r="H7" s="258"/>
      <c r="I7" s="259"/>
      <c r="J7" s="1908"/>
      <c r="K7" s="1907"/>
      <c r="L7" s="1907"/>
      <c r="M7" s="1907"/>
      <c r="N7" s="1907"/>
      <c r="O7" s="1907"/>
      <c r="P7" s="1907"/>
      <c r="Q7" s="1907"/>
      <c r="R7" s="1907"/>
      <c r="S7" s="1907"/>
      <c r="T7" s="1907"/>
      <c r="U7" s="1907"/>
      <c r="V7" s="1907"/>
    </row>
    <row r="8" spans="1:22" ht="14.25">
      <c r="A8" s="3646" t="s">
        <v>306</v>
      </c>
      <c r="B8" s="3675">
        <v>15</v>
      </c>
      <c r="C8" s="3673"/>
      <c r="D8" s="3677"/>
      <c r="E8" s="257" t="s">
        <v>307</v>
      </c>
      <c r="F8" s="258"/>
      <c r="G8" s="258"/>
      <c r="H8" s="258"/>
      <c r="I8" s="259"/>
      <c r="J8" s="1908"/>
      <c r="K8" s="1907"/>
      <c r="L8" s="1907"/>
      <c r="M8" s="1907"/>
      <c r="N8" s="1907"/>
      <c r="O8" s="1907"/>
      <c r="P8" s="1907"/>
      <c r="Q8" s="1907"/>
      <c r="R8" s="1907"/>
      <c r="S8" s="1907"/>
      <c r="T8" s="1907"/>
      <c r="U8" s="1907"/>
      <c r="V8" s="1907"/>
    </row>
    <row r="9" spans="1:22" ht="14.25">
      <c r="A9" s="3646"/>
      <c r="B9" s="3675"/>
      <c r="C9" s="3674"/>
      <c r="D9" s="3677"/>
      <c r="E9" s="257" t="s">
        <v>308</v>
      </c>
      <c r="F9" s="258"/>
      <c r="G9" s="258"/>
      <c r="H9" s="258"/>
      <c r="I9" s="259"/>
      <c r="J9" s="1908"/>
      <c r="K9" s="1907"/>
      <c r="L9" s="1907"/>
      <c r="M9" s="1907"/>
      <c r="N9" s="1907"/>
      <c r="O9" s="1907"/>
      <c r="P9" s="1907"/>
      <c r="Q9" s="1907"/>
      <c r="R9" s="1907"/>
      <c r="S9" s="1907"/>
      <c r="T9" s="1907"/>
      <c r="U9" s="1907"/>
      <c r="V9" s="1907"/>
    </row>
    <row r="10" spans="1:22" ht="14.25">
      <c r="A10" s="3646" t="s">
        <v>309</v>
      </c>
      <c r="B10" s="3675">
        <v>15</v>
      </c>
      <c r="C10" s="3673"/>
      <c r="D10" s="3677"/>
      <c r="E10" s="257" t="s">
        <v>310</v>
      </c>
      <c r="F10" s="258"/>
      <c r="G10" s="258"/>
      <c r="H10" s="258"/>
      <c r="I10" s="259"/>
      <c r="J10" s="1908"/>
      <c r="K10" s="1907"/>
      <c r="L10" s="1907"/>
      <c r="M10" s="1907"/>
      <c r="N10" s="1907"/>
      <c r="O10" s="1907"/>
      <c r="P10" s="1907"/>
      <c r="Q10" s="1907"/>
      <c r="R10" s="1907"/>
      <c r="S10" s="1907"/>
      <c r="T10" s="1907"/>
      <c r="U10" s="1907"/>
      <c r="V10" s="1907"/>
    </row>
    <row r="11" spans="1:22" ht="14.25">
      <c r="A11" s="3646"/>
      <c r="B11" s="3675"/>
      <c r="C11" s="3674"/>
      <c r="D11" s="3677"/>
      <c r="E11" s="257" t="s">
        <v>311</v>
      </c>
      <c r="F11" s="258"/>
      <c r="G11" s="258"/>
      <c r="H11" s="258"/>
      <c r="I11" s="259"/>
      <c r="J11" s="1908"/>
      <c r="K11" s="1907"/>
      <c r="L11" s="1907"/>
      <c r="M11" s="1907"/>
      <c r="N11" s="1907"/>
      <c r="O11" s="1907"/>
      <c r="P11" s="1907"/>
      <c r="Q11" s="1907"/>
      <c r="R11" s="1907"/>
      <c r="S11" s="1907"/>
      <c r="T11" s="1907"/>
      <c r="U11" s="1907"/>
      <c r="V11" s="1907"/>
    </row>
    <row r="12" spans="1:22" ht="14.25">
      <c r="A12" s="3646" t="s">
        <v>312</v>
      </c>
      <c r="B12" s="3675">
        <v>15</v>
      </c>
      <c r="C12" s="3673"/>
      <c r="D12" s="3677"/>
      <c r="E12" s="257" t="s">
        <v>313</v>
      </c>
      <c r="F12" s="258"/>
      <c r="G12" s="258"/>
      <c r="H12" s="258"/>
      <c r="I12" s="259"/>
      <c r="J12" s="1908"/>
      <c r="K12" s="1907"/>
      <c r="L12" s="1907"/>
      <c r="M12" s="1907"/>
      <c r="N12" s="1907"/>
      <c r="O12" s="1907"/>
      <c r="P12" s="1907"/>
      <c r="Q12" s="1907"/>
      <c r="R12" s="1907"/>
      <c r="S12" s="1907"/>
      <c r="T12" s="1907"/>
      <c r="U12" s="1907"/>
      <c r="V12" s="1907"/>
    </row>
    <row r="13" spans="1:22" ht="14.25">
      <c r="A13" s="3646"/>
      <c r="B13" s="3675"/>
      <c r="C13" s="3674"/>
      <c r="D13" s="3677"/>
      <c r="E13" s="257" t="s">
        <v>314</v>
      </c>
      <c r="F13" s="258"/>
      <c r="G13" s="258"/>
      <c r="H13" s="258"/>
      <c r="I13" s="259"/>
      <c r="J13" s="1908"/>
      <c r="K13" s="1907"/>
      <c r="L13" s="1907"/>
      <c r="M13" s="1907"/>
      <c r="N13" s="1907"/>
      <c r="O13" s="1907"/>
      <c r="P13" s="1907"/>
      <c r="Q13" s="1907"/>
      <c r="R13" s="1907"/>
      <c r="S13" s="1907"/>
      <c r="T13" s="1907"/>
      <c r="U13" s="1907"/>
      <c r="V13" s="1907"/>
    </row>
    <row r="14" spans="1:22" ht="14.25">
      <c r="A14" s="3646" t="s">
        <v>315</v>
      </c>
      <c r="B14" s="3675">
        <v>30</v>
      </c>
      <c r="C14" s="3673"/>
      <c r="D14" s="3677"/>
      <c r="E14" s="257" t="s">
        <v>316</v>
      </c>
      <c r="F14" s="258"/>
      <c r="G14" s="258"/>
      <c r="H14" s="258"/>
      <c r="I14" s="259"/>
      <c r="J14" s="1908"/>
      <c r="K14" s="1907"/>
      <c r="L14" s="1907"/>
      <c r="M14" s="1907"/>
      <c r="N14" s="1907"/>
      <c r="O14" s="1907"/>
      <c r="P14" s="1907"/>
      <c r="Q14" s="1907"/>
      <c r="R14" s="1907"/>
      <c r="S14" s="1907"/>
      <c r="T14" s="1907"/>
      <c r="U14" s="1907"/>
      <c r="V14" s="1907"/>
    </row>
    <row r="15" spans="1:22" ht="14.25">
      <c r="A15" s="3646"/>
      <c r="B15" s="3675"/>
      <c r="C15" s="3676"/>
      <c r="D15" s="3677"/>
      <c r="E15" s="257" t="s">
        <v>317</v>
      </c>
      <c r="F15" s="258"/>
      <c r="G15" s="258"/>
      <c r="H15" s="258"/>
      <c r="I15" s="259"/>
      <c r="J15" s="1908"/>
      <c r="K15" s="1907"/>
      <c r="L15" s="1907"/>
      <c r="M15" s="1907"/>
      <c r="N15" s="1907"/>
      <c r="O15" s="1907"/>
      <c r="P15" s="1907"/>
      <c r="Q15" s="1907"/>
      <c r="R15" s="1907"/>
      <c r="S15" s="1907"/>
      <c r="T15" s="1907"/>
      <c r="U15" s="1907"/>
      <c r="V15" s="1907"/>
    </row>
    <row r="16" spans="1:22" ht="14.25">
      <c r="A16" s="3646"/>
      <c r="B16" s="3675"/>
      <c r="C16" s="3674"/>
      <c r="D16" s="3677"/>
      <c r="E16" s="257" t="s">
        <v>318</v>
      </c>
      <c r="F16" s="258"/>
      <c r="G16" s="258"/>
      <c r="H16" s="258"/>
      <c r="I16" s="259"/>
      <c r="J16" s="1908"/>
      <c r="K16" s="1907"/>
      <c r="L16" s="1907"/>
      <c r="M16" s="1907"/>
      <c r="N16" s="1907"/>
      <c r="O16" s="1907"/>
      <c r="P16" s="1907"/>
      <c r="Q16" s="1907"/>
      <c r="R16" s="1907"/>
      <c r="S16" s="1907"/>
      <c r="T16" s="1907"/>
      <c r="U16" s="1907"/>
      <c r="V16" s="1907"/>
    </row>
    <row r="17" spans="1:26" ht="15">
      <c r="A17" s="260" t="s">
        <v>319</v>
      </c>
      <c r="B17" s="140"/>
      <c r="C17" s="261">
        <f>SUM(C5:C16)</f>
        <v>3</v>
      </c>
      <c r="D17" s="261">
        <f>SUM(D5:D16)</f>
        <v>7</v>
      </c>
      <c r="E17" s="307"/>
      <c r="F17" s="307"/>
      <c r="G17" s="307"/>
      <c r="H17" s="307"/>
      <c r="I17" s="307"/>
      <c r="J17" s="1908"/>
      <c r="K17" s="1907"/>
      <c r="L17" s="1907"/>
      <c r="M17" s="1907"/>
      <c r="N17" s="1907"/>
      <c r="O17" s="1907"/>
      <c r="P17" s="1907"/>
      <c r="Q17" s="1907"/>
      <c r="R17" s="1907"/>
      <c r="S17" s="1907"/>
      <c r="T17" s="1907"/>
      <c r="U17" s="1907"/>
      <c r="V17" s="1907"/>
    </row>
    <row r="18" spans="1:26" ht="32.450000000000003" customHeight="1" thickBot="1">
      <c r="A18" s="262" t="s">
        <v>320</v>
      </c>
      <c r="B18" s="105"/>
      <c r="C18" s="263">
        <f>ROUND(C17/SUM(C17:D17),2)</f>
        <v>0.3</v>
      </c>
      <c r="D18" s="263">
        <f>1-C18</f>
        <v>0.7</v>
      </c>
      <c r="E18" s="3678" t="s">
        <v>2957</v>
      </c>
      <c r="F18" s="3679"/>
      <c r="G18" s="3679"/>
      <c r="H18" s="3679"/>
      <c r="I18" s="3679"/>
      <c r="J18" s="1907"/>
      <c r="K18" s="1907"/>
      <c r="L18" s="1907"/>
      <c r="M18" s="1907"/>
      <c r="N18" s="1907"/>
      <c r="O18" s="1907"/>
      <c r="P18" s="1907"/>
      <c r="Q18" s="1907"/>
      <c r="R18" s="1907"/>
      <c r="S18" s="1907"/>
      <c r="T18" s="1907"/>
      <c r="U18" s="1907"/>
      <c r="V18" s="1907"/>
    </row>
    <row r="19" spans="1:26" ht="15">
      <c r="A19" s="264" t="s">
        <v>321</v>
      </c>
      <c r="B19" s="265" t="s">
        <v>322</v>
      </c>
      <c r="C19" s="266">
        <f ca="1">SUMIF(INDIRECT("'"&amp;C4&amp;"'"&amp;"!A:A"),'结果表(商业）'!B19,INDIRECT("'"&amp;C4&amp;"'"&amp;"!B:B"))</f>
        <v>113852</v>
      </c>
      <c r="D19" s="267">
        <f ca="1">SUMIF(INDIRECT("'"&amp;D4&amp;"'"&amp;"!A:A"),'结果表(商业）'!B19,INDIRECT("'"&amp;D4&amp;"'"&amp;"!B:B"))</f>
        <v>13043</v>
      </c>
      <c r="E19" s="264" t="s">
        <v>323</v>
      </c>
      <c r="F19" s="265" t="s">
        <v>322</v>
      </c>
      <c r="G19" s="268">
        <f ca="1">ROUND(C19*$C$18+D19*$D$18,0)</f>
        <v>43286</v>
      </c>
      <c r="H19" s="269" t="s">
        <v>324</v>
      </c>
      <c r="I19" s="307"/>
      <c r="J19" s="1907"/>
      <c r="K19" s="1907"/>
      <c r="L19" s="1907"/>
      <c r="M19" s="1907"/>
      <c r="N19" s="1907"/>
      <c r="O19" s="1907"/>
      <c r="P19" s="1907"/>
      <c r="Q19" s="1907"/>
      <c r="R19" s="1907"/>
      <c r="S19" s="1907"/>
      <c r="T19" s="1907"/>
      <c r="U19" s="1907"/>
      <c r="V19" s="1907"/>
    </row>
    <row r="20" spans="1:26" ht="15">
      <c r="A20" s="270"/>
      <c r="B20" s="271" t="s">
        <v>325</v>
      </c>
      <c r="C20" s="272">
        <f ca="1">SUMIF(INDIRECT("'"&amp;C4&amp;"'"&amp;"!A:A"),'结果表(商业）'!B20,INDIRECT("'"&amp;C4&amp;"'"&amp;"!B:B"))</f>
        <v>22061</v>
      </c>
      <c r="D20" s="273">
        <f ca="1">SUMIF(INDIRECT("'"&amp;D4&amp;"'"&amp;"!A:A"),'结果表(商业）'!B20,INDIRECT("'"&amp;D4&amp;"'"&amp;"!B:B"))</f>
        <v>20206</v>
      </c>
      <c r="E20" s="270"/>
      <c r="F20" s="271" t="s">
        <v>325</v>
      </c>
      <c r="G20" s="274">
        <f ca="1">ROUND(C20*$C$18+D20*$D$18,0)</f>
        <v>20763</v>
      </c>
      <c r="H20" s="275" t="s">
        <v>326</v>
      </c>
      <c r="I20" s="307"/>
      <c r="J20" s="1907"/>
      <c r="K20" s="1907"/>
      <c r="L20" s="1907"/>
      <c r="M20" s="1907"/>
      <c r="N20" s="1907"/>
      <c r="O20" s="1907"/>
      <c r="P20" s="1907"/>
      <c r="Q20" s="1907"/>
      <c r="R20" s="1907"/>
      <c r="S20" s="1907"/>
      <c r="T20" s="1907"/>
      <c r="U20" s="1907"/>
      <c r="V20" s="1907"/>
    </row>
    <row r="21" spans="1:26" ht="15" customHeight="1">
      <c r="A21" s="270"/>
      <c r="B21" s="276" t="s">
        <v>327</v>
      </c>
      <c r="C21" s="277">
        <f ca="1">SUMIF(INDIRECT("'"&amp;C4&amp;"'"&amp;"!A:A"),'结果表(商业）'!B21,INDIRECT("'"&amp;C4&amp;"'"&amp;"!B:B"))</f>
        <v>158433</v>
      </c>
      <c r="D21" s="147">
        <f ca="1">SUMIF(INDIRECT("'"&amp;D4&amp;"'"&amp;"!A:A"),'结果表(商业）'!B21,INDIRECT("'"&amp;D4&amp;"'"&amp;"!B:B"))</f>
        <v>37950</v>
      </c>
      <c r="E21" s="270"/>
      <c r="F21" s="276" t="s">
        <v>327</v>
      </c>
      <c r="G21" s="278">
        <f ca="1">ROUND(C21*$C$18+D21*$D$18,0)</f>
        <v>74095</v>
      </c>
      <c r="H21" s="1203" t="s">
        <v>326</v>
      </c>
      <c r="I21" s="307"/>
      <c r="J21" s="1907"/>
      <c r="K21" s="1907"/>
      <c r="L21" s="1907"/>
      <c r="M21" s="1907"/>
      <c r="N21" s="1907"/>
      <c r="O21" s="1907"/>
      <c r="P21" s="1907"/>
      <c r="Q21" s="1907"/>
      <c r="R21" s="1907"/>
      <c r="S21" s="1907"/>
      <c r="T21" s="1907"/>
      <c r="U21" s="1907"/>
      <c r="V21" s="1907"/>
    </row>
    <row r="22" spans="1:26" ht="15.75" thickBot="1">
      <c r="A22" s="126" t="s">
        <v>328</v>
      </c>
      <c r="B22" s="1204"/>
      <c r="C22" s="1205"/>
      <c r="D22" s="279">
        <f ca="1">IF(C19&lt;D19,D19/C19-1,C19/D19-1)</f>
        <v>7.7289733956911757</v>
      </c>
      <c r="E22" s="280"/>
      <c r="F22" s="281"/>
      <c r="G22" s="282">
        <f ca="1">ROUND(G19/('数据-汇总表'!D3/666.67),0)</f>
        <v>477</v>
      </c>
      <c r="H22" s="283" t="s">
        <v>329</v>
      </c>
      <c r="I22" s="307"/>
      <c r="J22" s="1907"/>
      <c r="K22" s="1907"/>
      <c r="L22" s="1907"/>
      <c r="M22" s="1907"/>
      <c r="N22" s="1907"/>
      <c r="O22" s="1907"/>
      <c r="P22" s="1907"/>
      <c r="Q22" s="1907"/>
      <c r="R22" s="1907"/>
      <c r="S22" s="1907"/>
      <c r="T22" s="1907"/>
      <c r="U22" s="1907"/>
      <c r="V22" s="1907"/>
    </row>
    <row r="23" spans="1:26" ht="13.5" thickBot="1">
      <c r="A23" s="307"/>
      <c r="B23" s="307"/>
      <c r="C23" s="307"/>
      <c r="D23" s="307"/>
      <c r="E23" s="307"/>
      <c r="F23" s="307"/>
      <c r="G23" s="307"/>
      <c r="H23" s="307"/>
      <c r="I23" s="307"/>
      <c r="J23" s="1907"/>
      <c r="K23" s="1907"/>
      <c r="L23" s="1907"/>
      <c r="M23" s="1907"/>
      <c r="N23" s="1907"/>
      <c r="O23" s="1907"/>
      <c r="P23" s="1907"/>
      <c r="Q23" s="1907"/>
      <c r="R23" s="1907"/>
      <c r="S23" s="1907"/>
      <c r="T23" s="1907"/>
      <c r="U23" s="1907"/>
      <c r="V23" s="1907"/>
    </row>
    <row r="24" spans="1:26" ht="15" thickBot="1">
      <c r="A24" s="3652" t="s">
        <v>330</v>
      </c>
      <c r="B24" s="265" t="s">
        <v>322</v>
      </c>
      <c r="C24" s="284">
        <f>IF(B30=0,0,D30)</f>
        <v>0</v>
      </c>
      <c r="D24" s="285"/>
      <c r="E24" s="307"/>
      <c r="F24" s="307"/>
      <c r="G24" s="307"/>
      <c r="H24" s="307"/>
      <c r="I24" s="307"/>
      <c r="J24" s="1907"/>
      <c r="K24" s="1907"/>
      <c r="L24" s="1907"/>
      <c r="M24" s="1907"/>
      <c r="N24" s="1907"/>
      <c r="O24" s="1907"/>
      <c r="P24" s="1907"/>
      <c r="Q24" s="1907"/>
      <c r="R24" s="1907"/>
      <c r="S24" s="1907"/>
      <c r="T24" s="1907"/>
      <c r="U24" s="1907"/>
      <c r="V24" s="1907"/>
    </row>
    <row r="25" spans="1:26" ht="18">
      <c r="A25" s="3653"/>
      <c r="B25" s="1273" t="s">
        <v>331</v>
      </c>
      <c r="C25" s="286">
        <f>IF(B30=0,0,C30)</f>
        <v>0</v>
      </c>
      <c r="D25" s="287"/>
      <c r="E25" s="307"/>
      <c r="F25" s="307"/>
      <c r="G25" s="307"/>
      <c r="H25" s="307"/>
      <c r="I25" s="307"/>
      <c r="J25" s="1907"/>
      <c r="K25" s="1207" t="str">
        <f ca="1">项目基本情况!B16&amp;"国有建设用地使用权价格："&amp;O38&amp;"万元"</f>
        <v>出让国有建设用地使用权价格：43286万元</v>
      </c>
      <c r="L25" s="1208"/>
      <c r="M25" s="1208"/>
      <c r="N25" s="1208"/>
      <c r="O25" s="1209"/>
      <c r="P25" s="1907"/>
      <c r="Q25" s="1907"/>
      <c r="R25" s="1907"/>
      <c r="S25" s="1907"/>
      <c r="T25" s="1907"/>
      <c r="U25" s="1907"/>
      <c r="V25" s="1907"/>
    </row>
    <row r="26" spans="1:26" s="1206" customFormat="1" ht="18">
      <c r="A26" s="289" t="s">
        <v>332</v>
      </c>
      <c r="B26" s="290" t="s">
        <v>333</v>
      </c>
      <c r="C26" s="290" t="s">
        <v>334</v>
      </c>
      <c r="D26" s="291" t="s">
        <v>335</v>
      </c>
      <c r="E26" s="307"/>
      <c r="F26" s="307"/>
      <c r="G26" s="307"/>
      <c r="H26" s="307"/>
      <c r="I26" s="307"/>
      <c r="J26" s="1907"/>
      <c r="K26" s="1210" t="str">
        <f ca="1">"大写金额：人民币"&amp;NUMBERSTRING(INT(O38*10000),2)&amp;"元整"</f>
        <v>大写金额：人民币肆亿叁仟贰佰捌拾陆万元整</v>
      </c>
      <c r="L26" s="1204"/>
      <c r="M26" s="1204"/>
      <c r="N26" s="1204"/>
      <c r="O26" s="1203"/>
      <c r="P26" s="1907"/>
      <c r="Q26" s="1907"/>
      <c r="R26" s="1907"/>
      <c r="S26" s="1907"/>
      <c r="T26" s="1907"/>
      <c r="U26" s="1907"/>
      <c r="V26" s="1907"/>
      <c r="W26" s="288"/>
      <c r="X26" s="288"/>
      <c r="Y26" s="288"/>
      <c r="Z26" s="288"/>
    </row>
    <row r="27" spans="1:26" ht="18">
      <c r="A27" s="289"/>
      <c r="B27" s="290"/>
      <c r="C27" s="290"/>
      <c r="D27" s="291"/>
      <c r="E27" s="307"/>
      <c r="F27" s="307"/>
      <c r="G27" s="307"/>
      <c r="H27" s="307"/>
      <c r="I27" s="307"/>
      <c r="J27" s="1907"/>
      <c r="K27" s="1210" t="str">
        <f ca="1">"单位面积地价："&amp;M38&amp;"元/平方米"</f>
        <v>单位面积地价：7159元/平方米</v>
      </c>
      <c r="L27" s="1204"/>
      <c r="M27" s="1204"/>
      <c r="N27" s="1204"/>
      <c r="O27" s="1203"/>
      <c r="P27" s="1907"/>
      <c r="Q27" s="1907"/>
      <c r="R27" s="1907"/>
      <c r="S27" s="1907"/>
      <c r="T27" s="1907"/>
      <c r="U27" s="1907"/>
      <c r="V27" s="1907"/>
    </row>
    <row r="28" spans="1:26" ht="18.75" customHeight="1">
      <c r="A28" s="289"/>
      <c r="B28" s="290"/>
      <c r="C28" s="290"/>
      <c r="D28" s="291"/>
      <c r="E28" s="307"/>
      <c r="F28" s="307"/>
      <c r="G28" s="307"/>
      <c r="H28" s="307"/>
      <c r="I28" s="307"/>
      <c r="J28" s="1907"/>
      <c r="K28" s="1210" t="str">
        <f ca="1">"楼面地价："&amp;N38&amp;"元/平方米"</f>
        <v>楼面地价：3561元/平方米</v>
      </c>
      <c r="L28" s="1204"/>
      <c r="M28" s="1204"/>
      <c r="N28" s="1204"/>
      <c r="O28" s="1203"/>
      <c r="P28" s="1907"/>
      <c r="V28" s="1907"/>
    </row>
    <row r="29" spans="1:26" ht="18">
      <c r="A29" s="289"/>
      <c r="B29" s="290"/>
      <c r="C29" s="290"/>
      <c r="D29" s="291"/>
      <c r="E29" s="307"/>
      <c r="F29" s="307"/>
      <c r="G29" s="307"/>
      <c r="H29" s="307"/>
      <c r="I29" s="307"/>
      <c r="J29" s="1907"/>
      <c r="K29" s="1210" t="str">
        <f>IF(OR(项目基本情况!E8="抵押价格",项目基本情况!E8="已注销及未注销"),"抵押价格："&amp;O39&amp;"万元","——")</f>
        <v>——</v>
      </c>
      <c r="L29" s="1204"/>
      <c r="M29" s="1204"/>
      <c r="N29" s="1204"/>
      <c r="O29" s="1203"/>
      <c r="P29" s="1907"/>
      <c r="V29" s="1907"/>
    </row>
    <row r="30" spans="1:26" ht="18.75" thickBot="1">
      <c r="A30" s="2794" t="s">
        <v>336</v>
      </c>
      <c r="B30" s="305"/>
      <c r="C30" s="305"/>
      <c r="D30" s="306"/>
      <c r="E30" s="2997" t="s">
        <v>2958</v>
      </c>
      <c r="F30" s="307"/>
      <c r="G30" s="307"/>
      <c r="H30" s="307"/>
      <c r="I30" s="307"/>
      <c r="J30" s="1907"/>
      <c r="K30" s="1210" t="str">
        <f>IF(K29="——","——","大写金额：人民币"&amp;NUMBERSTRING(INT(O39*10000),2)&amp;"元整")</f>
        <v>——</v>
      </c>
      <c r="L30" s="1204"/>
      <c r="M30" s="1204"/>
      <c r="N30" s="1204"/>
      <c r="O30" s="1203"/>
      <c r="P30" s="1907"/>
      <c r="V30" s="1907"/>
    </row>
    <row r="31" spans="1:26" ht="24" customHeight="1" thickBot="1">
      <c r="A31" s="3680" t="s">
        <v>2959</v>
      </c>
      <c r="B31" s="3680"/>
      <c r="C31" s="3680"/>
      <c r="D31" s="3680"/>
      <c r="E31" s="3680"/>
      <c r="F31" s="3680"/>
      <c r="G31" s="3680"/>
      <c r="H31" s="3680"/>
      <c r="I31" s="3680"/>
      <c r="J31" s="1907"/>
      <c r="K31" s="2318" t="str">
        <f>IF(项目基本情况!E8="抵押价格","——","抵押担保权已注销时的抵押价格："&amp;O40&amp;"万元")</f>
        <v>抵押担保权已注销时的抵押价格：——万元</v>
      </c>
      <c r="L31" s="2314"/>
      <c r="M31" s="2314"/>
      <c r="N31" s="2314"/>
      <c r="O31" s="2315"/>
      <c r="P31" s="1907"/>
      <c r="V31" s="1907"/>
    </row>
    <row r="32" spans="1:26" ht="19.5" thickTop="1" thickBot="1">
      <c r="A32" s="270" t="s">
        <v>337</v>
      </c>
      <c r="B32" s="2998" t="s">
        <v>1678</v>
      </c>
      <c r="C32" s="262">
        <f ca="1">G19-C24</f>
        <v>43286</v>
      </c>
      <c r="D32" s="2999" t="s">
        <v>1679</v>
      </c>
      <c r="E32" s="307"/>
      <c r="F32" s="307"/>
      <c r="G32" s="307"/>
      <c r="H32" s="307"/>
      <c r="I32" s="307"/>
      <c r="J32" s="1907"/>
      <c r="K32" s="2313" t="e">
        <f>IF(K31="——","——","大写金额：人民币"&amp;NUMBERSTRING(INT(O40*10000),2)&amp;"元整")</f>
        <v>#VALUE!</v>
      </c>
      <c r="L32" s="2316"/>
      <c r="M32" s="2316"/>
      <c r="N32" s="2316"/>
      <c r="O32" s="2317"/>
      <c r="P32" s="1907"/>
      <c r="V32" s="1907"/>
    </row>
    <row r="33" spans="1:26" ht="18.75" thickBot="1">
      <c r="A33" s="294" t="s">
        <v>340</v>
      </c>
      <c r="B33" s="1330" t="s">
        <v>1680</v>
      </c>
      <c r="C33" s="260">
        <f ca="1">ROUND(C32*10000/'数据-汇总表'!E3,0)</f>
        <v>3561</v>
      </c>
      <c r="D33" s="1331" t="s">
        <v>1681</v>
      </c>
      <c r="E33" s="3652" t="s">
        <v>338</v>
      </c>
      <c r="F33" s="292" t="s">
        <v>339</v>
      </c>
      <c r="G33" s="293"/>
      <c r="H33" s="966"/>
      <c r="I33" s="1211"/>
      <c r="J33" s="1907"/>
      <c r="K33" s="1210" t="str">
        <f>IF(项目基本情况!E9="——","——","抵押净值："&amp;C46&amp;"万元")</f>
        <v>抵押净值：——万元</v>
      </c>
      <c r="L33" s="1204"/>
      <c r="M33" s="1204"/>
      <c r="N33" s="1204"/>
      <c r="O33" s="1203"/>
      <c r="P33" s="1907"/>
      <c r="V33" s="1907"/>
    </row>
    <row r="34" spans="1:26" s="1206" customFormat="1" ht="18.75" thickBot="1">
      <c r="A34" s="296"/>
      <c r="B34" s="1332" t="s">
        <v>1682</v>
      </c>
      <c r="C34" s="260">
        <f ca="1">ROUND(C32*10000/'数据-汇总表'!D3,0)</f>
        <v>7159</v>
      </c>
      <c r="D34" s="1333" t="s">
        <v>1681</v>
      </c>
      <c r="E34" s="3696"/>
      <c r="F34" s="127" t="s">
        <v>341</v>
      </c>
      <c r="G34" s="295"/>
      <c r="H34" s="105"/>
      <c r="I34" s="307"/>
      <c r="J34" s="1907"/>
      <c r="K34" s="1213" t="e">
        <f>IF(K33="——","——","大写金额：人民币"&amp;NUMBERSTRING(INT(O41*10000),2)&amp;"元整")</f>
        <v>#VALUE!</v>
      </c>
      <c r="L34" s="1214"/>
      <c r="M34" s="1214"/>
      <c r="N34" s="1214"/>
      <c r="O34" s="1215"/>
      <c r="P34" s="1907"/>
      <c r="Q34" s="288"/>
      <c r="R34" s="288"/>
      <c r="S34" s="288"/>
      <c r="T34" s="288"/>
      <c r="U34" s="288"/>
      <c r="V34" s="1907"/>
      <c r="W34" s="288"/>
      <c r="X34" s="288"/>
      <c r="Y34" s="288"/>
      <c r="Z34" s="288"/>
    </row>
    <row r="35" spans="1:26" ht="15.75" thickBot="1">
      <c r="A35" s="280"/>
      <c r="B35" s="1334"/>
      <c r="C35" s="1335">
        <f ca="1">ROUND(C32/('数据-汇总表'!D3/666.67),0)</f>
        <v>477</v>
      </c>
      <c r="D35" s="1336" t="s">
        <v>1683</v>
      </c>
      <c r="E35" s="3697"/>
      <c r="F35" s="297" t="s">
        <v>342</v>
      </c>
      <c r="G35" s="968"/>
      <c r="H35" s="967" t="s">
        <v>343</v>
      </c>
      <c r="I35" s="307"/>
      <c r="J35" s="1907"/>
      <c r="K35" s="3670" t="s">
        <v>350</v>
      </c>
      <c r="L35" s="3670" t="s">
        <v>351</v>
      </c>
      <c r="M35" s="1216" t="s">
        <v>352</v>
      </c>
      <c r="N35" s="3670" t="s">
        <v>353</v>
      </c>
      <c r="O35" s="3670" t="s">
        <v>354</v>
      </c>
      <c r="P35" s="1907"/>
      <c r="V35" s="1907"/>
    </row>
    <row r="36" spans="1:26" ht="16.5" customHeight="1">
      <c r="A36" s="299" t="s">
        <v>344</v>
      </c>
      <c r="B36" s="300" t="s">
        <v>333</v>
      </c>
      <c r="C36" s="301" t="s">
        <v>345</v>
      </c>
      <c r="D36" s="301" t="s">
        <v>346</v>
      </c>
      <c r="E36" s="302" t="s">
        <v>347</v>
      </c>
      <c r="F36" s="307"/>
      <c r="G36" s="307"/>
      <c r="H36" s="307"/>
      <c r="I36" s="307"/>
      <c r="J36" s="1909"/>
      <c r="K36" s="3671"/>
      <c r="L36" s="3671"/>
      <c r="M36" s="1218" t="s">
        <v>355</v>
      </c>
      <c r="N36" s="3671"/>
      <c r="O36" s="3671"/>
      <c r="P36" s="1907"/>
      <c r="V36" s="1907"/>
    </row>
    <row r="37" spans="1:26" ht="16.5" customHeight="1" thickBot="1">
      <c r="A37" s="1212" t="s">
        <v>348</v>
      </c>
      <c r="B37" s="303"/>
      <c r="C37" s="290"/>
      <c r="D37" s="290"/>
      <c r="E37" s="291"/>
      <c r="F37" s="307"/>
      <c r="G37" s="307"/>
      <c r="H37" s="307"/>
      <c r="I37" s="307"/>
      <c r="J37" s="1909"/>
      <c r="K37" s="3672"/>
      <c r="L37" s="3672"/>
      <c r="M37" s="1219"/>
      <c r="N37" s="3672"/>
      <c r="O37" s="3672"/>
      <c r="P37" s="1907"/>
      <c r="V37" s="1907"/>
    </row>
    <row r="38" spans="1:26" ht="16.5" customHeight="1" thickBot="1">
      <c r="A38" s="1212" t="s">
        <v>349</v>
      </c>
      <c r="B38" s="303"/>
      <c r="C38" s="290"/>
      <c r="D38" s="290"/>
      <c r="E38" s="291"/>
      <c r="F38" s="307"/>
      <c r="G38" s="307"/>
      <c r="H38" s="307"/>
      <c r="I38" s="307"/>
      <c r="J38" s="1909"/>
      <c r="K38" s="1220">
        <f>'数据-汇总表'!D3</f>
        <v>60461.7</v>
      </c>
      <c r="L38" s="1221">
        <f>'数据-汇总表'!E3</f>
        <v>121547.97</v>
      </c>
      <c r="M38" s="1221">
        <f ca="1">C34</f>
        <v>7159</v>
      </c>
      <c r="N38" s="1221">
        <f ca="1">C33</f>
        <v>3561</v>
      </c>
      <c r="O38" s="1222">
        <f ca="1">C32</f>
        <v>43286</v>
      </c>
      <c r="P38" s="1907"/>
      <c r="V38" s="1907"/>
    </row>
    <row r="39" spans="1:26" ht="16.5" customHeight="1" thickBot="1">
      <c r="A39" s="1217"/>
      <c r="B39" s="304"/>
      <c r="C39" s="305"/>
      <c r="D39" s="305"/>
      <c r="E39" s="306"/>
      <c r="F39" s="307"/>
      <c r="G39" s="307"/>
      <c r="H39" s="307"/>
      <c r="I39" s="307"/>
      <c r="J39" s="1909"/>
      <c r="K39" s="3710" t="str">
        <f>MID(A44,3,LEN(A44)-2)</f>
        <v/>
      </c>
      <c r="L39" s="3711"/>
      <c r="M39" s="3711"/>
      <c r="N39" s="3712"/>
      <c r="O39" s="1338" t="str">
        <f>C44</f>
        <v>——</v>
      </c>
      <c r="P39" s="1907"/>
      <c r="V39" s="1907"/>
    </row>
    <row r="40" spans="1:26" ht="19.5" thickBot="1">
      <c r="A40" s="104" t="s">
        <v>864</v>
      </c>
      <c r="B40" s="307"/>
      <c r="C40" s="307"/>
      <c r="D40" s="307"/>
      <c r="E40" s="307"/>
      <c r="F40" s="307"/>
      <c r="G40" s="307"/>
      <c r="H40" s="307"/>
      <c r="I40" s="307"/>
      <c r="J40" s="1909"/>
      <c r="K40" s="3710" t="str">
        <f t="shared" ref="K40:K41" si="0">MID(A45,3,LEN(A45)-2)</f>
        <v/>
      </c>
      <c r="L40" s="3711"/>
      <c r="M40" s="3711"/>
      <c r="N40" s="3712"/>
      <c r="O40" s="1338" t="str">
        <f>C45</f>
        <v>——</v>
      </c>
      <c r="P40" s="1907"/>
      <c r="V40" s="1907"/>
    </row>
    <row r="41" spans="1:26" ht="16.5" thickBot="1">
      <c r="A41" s="308" t="s">
        <v>356</v>
      </c>
      <c r="B41" s="309"/>
      <c r="C41" s="310" t="s">
        <v>357</v>
      </c>
      <c r="D41" s="311" t="s">
        <v>358</v>
      </c>
      <c r="E41" s="311" t="s">
        <v>359</v>
      </c>
      <c r="F41" s="312" t="s">
        <v>360</v>
      </c>
      <c r="G41" s="307"/>
      <c r="H41" s="307"/>
      <c r="I41" s="307"/>
      <c r="J41" s="1909"/>
      <c r="K41" s="3710" t="str">
        <f t="shared" si="0"/>
        <v/>
      </c>
      <c r="L41" s="3711"/>
      <c r="M41" s="3711"/>
      <c r="N41" s="3712"/>
      <c r="O41" s="1338" t="str">
        <f>C46</f>
        <v>——</v>
      </c>
      <c r="P41" s="1907"/>
      <c r="V41" s="1907"/>
    </row>
    <row r="42" spans="1:26" ht="29.25">
      <c r="A42" s="3654" t="s">
        <v>2055</v>
      </c>
      <c r="B42" s="3655"/>
      <c r="C42" s="260">
        <f ca="1">C32</f>
        <v>43286</v>
      </c>
      <c r="D42" s="313">
        <f ca="1">C33</f>
        <v>3561</v>
      </c>
      <c r="E42" s="313">
        <f ca="1">C34</f>
        <v>7159</v>
      </c>
      <c r="F42" s="314">
        <f ca="1">C35</f>
        <v>477</v>
      </c>
      <c r="G42" s="307"/>
      <c r="H42" s="307"/>
      <c r="I42" s="315"/>
      <c r="J42" s="1909"/>
      <c r="K42" s="1223" t="s">
        <v>361</v>
      </c>
      <c r="L42" s="1926" t="s">
        <v>362</v>
      </c>
      <c r="M42" s="1224" t="s">
        <v>363</v>
      </c>
      <c r="N42" s="1927" t="s">
        <v>364</v>
      </c>
      <c r="O42" s="1928" t="s">
        <v>365</v>
      </c>
      <c r="P42" s="1907"/>
      <c r="V42" s="1907"/>
    </row>
    <row r="43" spans="1:26" ht="30">
      <c r="A43" s="3665" t="s">
        <v>2709</v>
      </c>
      <c r="B43" s="3666"/>
      <c r="C43" s="260">
        <f>IF(H33="正常操作",G33+G34+G35,G34+G35)</f>
        <v>0</v>
      </c>
      <c r="D43" s="313" t="s">
        <v>43</v>
      </c>
      <c r="E43" s="313" t="s">
        <v>44</v>
      </c>
      <c r="F43" s="314" t="s">
        <v>44</v>
      </c>
      <c r="G43" s="2579" t="s">
        <v>943</v>
      </c>
      <c r="H43" s="307"/>
      <c r="I43" s="315"/>
      <c r="J43" s="1909"/>
      <c r="K43" s="1225" t="str">
        <f>C4</f>
        <v>基准地价（商业）</v>
      </c>
      <c r="L43" s="1226">
        <f ca="1">IF(L42="估价结果/万元",C19,C20)</f>
        <v>113852</v>
      </c>
      <c r="M43" s="1227">
        <f>C18</f>
        <v>0.3</v>
      </c>
      <c r="N43" s="1228">
        <f ca="1">IF(N42="测算结果/万元",G19,G20)</f>
        <v>43286</v>
      </c>
      <c r="O43" s="1229">
        <f ca="1">IF(O42="最终结果/万元",C32,C33)</f>
        <v>43286</v>
      </c>
      <c r="P43" s="1907"/>
      <c r="V43" s="1907"/>
    </row>
    <row r="44" spans="1:26" ht="30.75" thickBot="1">
      <c r="A44" s="3654" t="str">
        <f>IF(OR(项目基本情况!E8="抵押价格",项目基本情况!E8="已注销及未注销"),"3.抵押价格","——")</f>
        <v>——</v>
      </c>
      <c r="B44" s="3655"/>
      <c r="C44" s="260" t="str">
        <f>IF(A44="——","——",C42-C43)</f>
        <v>——</v>
      </c>
      <c r="D44" s="313" t="e">
        <f>ROUND(C44*10000/'数据-汇总表'!E3,0)</f>
        <v>#VALUE!</v>
      </c>
      <c r="E44" s="313" t="e">
        <f>ROUND(C44*10000/'数据-汇总表'!D3,0)</f>
        <v>#VALUE!</v>
      </c>
      <c r="F44" s="314" t="e">
        <f>ROUND(C44/('数据-汇总表'!D3/666.67),0)</f>
        <v>#VALUE!</v>
      </c>
      <c r="G44" s="307"/>
      <c r="H44" s="307"/>
      <c r="I44" s="315"/>
      <c r="J44" s="1909"/>
      <c r="K44" s="1230" t="str">
        <f>D4</f>
        <v>剩余法-待开发（商业）</v>
      </c>
      <c r="L44" s="1231">
        <f ca="1">IF(L42="估价结果/万元",D19,D20)</f>
        <v>13043</v>
      </c>
      <c r="M44" s="1232">
        <f>D18</f>
        <v>0.7</v>
      </c>
      <c r="N44" s="1233"/>
      <c r="O44" s="1234"/>
      <c r="P44" s="1907"/>
      <c r="V44" s="1907"/>
    </row>
    <row r="45" spans="1:26" ht="15">
      <c r="A45" s="3660" t="str">
        <f>IF(项目基本情况!E8="已注销及未注销","4.抵押担保权已注销时的抵押价格",IF(项目基本情况!E8="已注销","3.抵押担保权已注销时的抵押价格","——"))</f>
        <v>——</v>
      </c>
      <c r="B45" s="3661"/>
      <c r="C45" s="1714"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09"/>
      <c r="K45" s="1907"/>
      <c r="L45" s="1907"/>
      <c r="M45" s="1907"/>
      <c r="N45" s="1907"/>
      <c r="O45" s="1907"/>
      <c r="P45" s="1907"/>
      <c r="V45" s="1907"/>
    </row>
    <row r="46" spans="1:26" ht="15.75" thickBot="1">
      <c r="A46" s="3656" t="str">
        <f>IF(项目基本情况!E9="抵押净值",IF(A45="——","4.抵押净值","5.抵押净值"),"——")</f>
        <v>——</v>
      </c>
      <c r="B46" s="3657"/>
      <c r="C46" s="316" t="str">
        <f>IF(A46="——","——",O79)</f>
        <v>——</v>
      </c>
      <c r="D46" s="313" t="e">
        <f>ROUND(C46*10000/'数据-汇总表'!E3,0)</f>
        <v>#VALUE!</v>
      </c>
      <c r="E46" s="313" t="e">
        <f>ROUND(C46*10000/'数据-汇总表'!D3,0)</f>
        <v>#VALUE!</v>
      </c>
      <c r="F46" s="314" t="e">
        <f>ROUND(C46/('数据-汇总表'!D3/666.67),0)</f>
        <v>#VALUE!</v>
      </c>
      <c r="G46" s="307"/>
      <c r="H46" s="307"/>
      <c r="I46" s="315"/>
      <c r="J46" s="1909"/>
      <c r="K46" s="1907"/>
      <c r="L46" s="1907"/>
      <c r="M46" s="1907"/>
      <c r="N46" s="1907"/>
      <c r="O46" s="1907"/>
      <c r="P46" s="1907"/>
      <c r="Q46" s="1907"/>
      <c r="R46" s="1907"/>
      <c r="S46" s="1907"/>
      <c r="T46" s="1907"/>
      <c r="U46" s="1907"/>
      <c r="V46" s="1907"/>
    </row>
    <row r="47" spans="1:26" ht="15.75">
      <c r="A47" s="317" t="s">
        <v>366</v>
      </c>
      <c r="B47" s="1235"/>
      <c r="C47" s="318" t="s">
        <v>367</v>
      </c>
      <c r="D47" s="319"/>
      <c r="E47" s="319"/>
      <c r="F47" s="319"/>
      <c r="G47" s="320"/>
      <c r="H47" s="321"/>
      <c r="I47" s="322"/>
      <c r="J47" s="1909"/>
      <c r="K47" s="307"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3">
        <v>1</v>
      </c>
      <c r="B48" s="324"/>
      <c r="C48" s="324"/>
      <c r="D48" s="319"/>
      <c r="E48" s="319"/>
      <c r="F48" s="319"/>
      <c r="G48" s="319"/>
      <c r="H48" s="325"/>
      <c r="I48" s="326"/>
      <c r="J48" s="1909"/>
      <c r="K48" s="1907"/>
      <c r="L48" s="1907"/>
      <c r="M48" s="1907"/>
      <c r="N48" s="1907"/>
      <c r="O48" s="1907"/>
      <c r="P48" s="1907"/>
      <c r="Q48" s="1907"/>
      <c r="R48" s="1907"/>
      <c r="S48" s="1907"/>
      <c r="T48" s="1907"/>
      <c r="U48" s="1907"/>
      <c r="V48" s="1907"/>
    </row>
    <row r="49" spans="1:22" ht="12.75">
      <c r="A49" s="323">
        <v>2</v>
      </c>
      <c r="B49" s="324"/>
      <c r="C49" s="324"/>
      <c r="D49" s="319"/>
      <c r="E49" s="319"/>
      <c r="F49" s="319"/>
      <c r="G49" s="319"/>
      <c r="H49" s="325"/>
      <c r="I49" s="326"/>
      <c r="J49" s="1910"/>
      <c r="K49" s="1907"/>
      <c r="L49" s="1907"/>
      <c r="M49" s="1907"/>
      <c r="N49" s="1907"/>
      <c r="O49" s="1907"/>
      <c r="P49" s="1907"/>
      <c r="Q49" s="1907"/>
      <c r="R49" s="1907"/>
      <c r="S49" s="1907"/>
      <c r="T49" s="1907"/>
      <c r="U49" s="1907"/>
      <c r="V49" s="1907"/>
    </row>
    <row r="50" spans="1:22" ht="12.75">
      <c r="A50" s="323">
        <v>3</v>
      </c>
      <c r="B50" s="324"/>
      <c r="C50" s="324"/>
      <c r="D50" s="319"/>
      <c r="E50" s="319"/>
      <c r="F50" s="319"/>
      <c r="G50" s="319"/>
      <c r="H50" s="325"/>
      <c r="I50" s="326"/>
      <c r="J50" s="1910"/>
      <c r="K50" s="1907"/>
      <c r="L50" s="1907"/>
      <c r="M50" s="1907"/>
      <c r="N50" s="1907"/>
      <c r="O50" s="1907"/>
      <c r="P50" s="1907"/>
      <c r="Q50" s="1907"/>
      <c r="R50" s="1907"/>
      <c r="S50" s="1907"/>
      <c r="T50" s="1907"/>
      <c r="U50" s="1907"/>
      <c r="V50" s="1907"/>
    </row>
    <row r="51" spans="1:22" ht="12.75">
      <c r="A51" s="327"/>
      <c r="B51" s="328"/>
      <c r="C51" s="328"/>
      <c r="D51" s="329"/>
      <c r="E51" s="329"/>
      <c r="F51" s="329"/>
      <c r="G51" s="329"/>
      <c r="H51" s="330"/>
      <c r="I51" s="331"/>
      <c r="J51" s="1910"/>
      <c r="K51" s="1907"/>
      <c r="L51" s="1907"/>
      <c r="M51" s="1907"/>
      <c r="N51" s="1907"/>
      <c r="O51" s="1907"/>
      <c r="P51" s="1907"/>
      <c r="Q51" s="1907"/>
      <c r="R51" s="1907"/>
      <c r="S51" s="1907"/>
      <c r="T51" s="1907"/>
      <c r="U51" s="1907"/>
      <c r="V51" s="1907"/>
    </row>
    <row r="52" spans="1:22" ht="12.75">
      <c r="A52" s="324"/>
      <c r="B52" s="324"/>
      <c r="C52" s="324"/>
      <c r="D52" s="319"/>
      <c r="E52" s="319"/>
      <c r="F52" s="319"/>
      <c r="G52" s="319"/>
      <c r="H52" s="325"/>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2" t="s">
        <v>368</v>
      </c>
      <c r="G53" s="333"/>
      <c r="H53" s="333"/>
      <c r="I53" s="334" t="s">
        <v>369</v>
      </c>
      <c r="J53" s="1910"/>
      <c r="K53" s="1907"/>
      <c r="L53" s="1907"/>
      <c r="M53" s="1907"/>
      <c r="N53" s="1907"/>
      <c r="O53" s="1907"/>
      <c r="P53" s="1907"/>
      <c r="Q53" s="1907"/>
      <c r="R53" s="1907"/>
      <c r="S53" s="1907"/>
      <c r="T53" s="1907"/>
      <c r="U53" s="1907"/>
      <c r="V53" s="1907"/>
    </row>
    <row r="54" spans="1:22" ht="12.75">
      <c r="A54" s="253"/>
      <c r="B54" s="335" t="s">
        <v>370</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3"/>
      <c r="C56" s="333"/>
      <c r="D56" s="333"/>
      <c r="E56" s="333"/>
      <c r="F56" s="333"/>
      <c r="G56" s="333"/>
      <c r="H56" s="333"/>
      <c r="I56" s="334" t="s">
        <v>371</v>
      </c>
      <c r="J56" s="1910"/>
      <c r="K56" s="1907"/>
      <c r="L56" s="1907"/>
      <c r="M56" s="1907"/>
      <c r="N56" s="1907"/>
      <c r="O56" s="1907"/>
      <c r="P56" s="1907"/>
      <c r="Q56" s="1907"/>
      <c r="R56" s="1907"/>
      <c r="S56" s="1907"/>
      <c r="T56" s="1907"/>
      <c r="U56" s="1907"/>
      <c r="V56" s="1907"/>
    </row>
    <row r="57" spans="1:22" ht="12.75">
      <c r="A57" s="253"/>
      <c r="B57" s="335" t="s">
        <v>372</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5"/>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3"/>
      <c r="C59" s="333"/>
      <c r="D59" s="333"/>
      <c r="E59" s="333"/>
      <c r="F59" s="333"/>
      <c r="G59" s="333"/>
      <c r="H59" s="333"/>
      <c r="I59" s="334" t="s">
        <v>371</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5"/>
      <c r="C61" s="336"/>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6" t="s">
        <v>373</v>
      </c>
      <c r="B62" s="1237"/>
      <c r="C62" s="1237"/>
      <c r="D62" s="1238"/>
      <c r="E62" s="1238"/>
      <c r="F62" s="1239"/>
      <c r="G62" s="1239"/>
      <c r="H62" s="1239"/>
      <c r="I62" s="1239"/>
      <c r="J62" s="1911"/>
      <c r="K62" s="1907"/>
      <c r="L62" s="1907"/>
      <c r="M62" s="1907"/>
      <c r="N62" s="1907"/>
      <c r="O62" s="1907"/>
      <c r="P62" s="1907"/>
      <c r="Q62" s="1907"/>
      <c r="R62" s="1907"/>
      <c r="S62" s="1907"/>
      <c r="T62" s="1907"/>
      <c r="U62" s="1907"/>
      <c r="V62" s="1907"/>
    </row>
    <row r="63" spans="1:22" ht="14.25" customHeight="1" thickBot="1">
      <c r="A63" s="3704" t="s">
        <v>374</v>
      </c>
      <c r="B63" s="3705"/>
      <c r="C63" s="3706"/>
      <c r="D63" s="337">
        <f ca="1">ROUND(C42*F63,0)</f>
        <v>43286</v>
      </c>
      <c r="E63" s="298" t="s">
        <v>375</v>
      </c>
      <c r="F63" s="338">
        <v>1</v>
      </c>
      <c r="G63" s="339" t="s">
        <v>376</v>
      </c>
      <c r="H63" s="307"/>
      <c r="I63" s="307"/>
      <c r="J63" s="1907"/>
      <c r="K63" s="1907"/>
      <c r="L63" s="1907"/>
      <c r="M63" s="1907"/>
      <c r="N63" s="1907"/>
      <c r="O63" s="1907"/>
      <c r="P63" s="1907"/>
      <c r="Q63" s="1907"/>
      <c r="R63" s="1907"/>
      <c r="S63" s="1907"/>
      <c r="T63" s="1907"/>
      <c r="U63" s="1907"/>
      <c r="V63" s="1907"/>
    </row>
    <row r="64" spans="1:22" ht="14.25" customHeight="1">
      <c r="A64" s="3662" t="s">
        <v>378</v>
      </c>
      <c r="B64" s="3663"/>
      <c r="C64" s="3663"/>
      <c r="D64" s="3663"/>
      <c r="E64" s="3663"/>
      <c r="F64" s="3663"/>
      <c r="G64" s="3664"/>
      <c r="H64" s="1240"/>
      <c r="I64" s="935"/>
      <c r="J64" s="1898"/>
      <c r="K64" s="1495" t="s">
        <v>377</v>
      </c>
      <c r="L64" s="11"/>
      <c r="M64" s="11"/>
      <c r="N64" s="11"/>
      <c r="O64" s="11"/>
      <c r="P64" s="307"/>
      <c r="Q64" s="1907"/>
      <c r="R64" s="1907"/>
      <c r="S64" s="1907"/>
      <c r="T64" s="1907"/>
      <c r="U64" s="1907"/>
      <c r="V64" s="1907"/>
    </row>
    <row r="65" spans="1:22" ht="12" customHeight="1">
      <c r="A65" s="340" t="s">
        <v>380</v>
      </c>
      <c r="B65" s="341"/>
      <c r="C65" s="342"/>
      <c r="D65" s="343" t="s">
        <v>381</v>
      </c>
      <c r="E65" s="53" t="s">
        <v>382</v>
      </c>
      <c r="F65" s="344" t="s">
        <v>383</v>
      </c>
      <c r="G65" s="345" t="s">
        <v>384</v>
      </c>
      <c r="H65" s="1240"/>
      <c r="I65" s="935"/>
      <c r="J65" s="1898"/>
      <c r="K65" s="1241"/>
      <c r="L65" s="1242"/>
      <c r="M65" s="1242"/>
      <c r="N65" s="1274" t="s">
        <v>379</v>
      </c>
      <c r="O65" s="1275"/>
      <c r="P65" s="1276"/>
      <c r="Q65" s="1907"/>
      <c r="R65" s="1907"/>
      <c r="S65" s="1907"/>
      <c r="T65" s="1907"/>
      <c r="U65" s="1907"/>
      <c r="V65" s="1907"/>
    </row>
    <row r="66" spans="1:22" ht="25.5">
      <c r="A66" s="3658" t="s">
        <v>386</v>
      </c>
      <c r="B66" s="3659"/>
      <c r="C66" s="3659"/>
      <c r="D66" s="257" t="b">
        <f>IF(H66="情况1",0,IF(H66="情况2",D70,IF(H66="情况3",D71,IF(H66="情况4",D72))))</f>
        <v>0</v>
      </c>
      <c r="E66" s="979" t="str">
        <f>IF(H66="情况4","(销售额-原购置价)×税（费）率","销售额×税（费）率")</f>
        <v>销售额×税（费）率</v>
      </c>
      <c r="F66" s="346">
        <f>IF(H66="情况1","免征",'数据-取费表'!B41)</f>
        <v>5.6000000000000001E-2</v>
      </c>
      <c r="G66" s="347" t="s">
        <v>387</v>
      </c>
      <c r="H66" s="187"/>
      <c r="I66" s="1240"/>
      <c r="J66" s="1913"/>
      <c r="K66" s="1243">
        <v>1</v>
      </c>
      <c r="L66" s="3719" t="s">
        <v>385</v>
      </c>
      <c r="M66" s="3720"/>
      <c r="N66" s="2308"/>
      <c r="O66" s="2309"/>
      <c r="P66" s="2310"/>
      <c r="Q66" s="1907"/>
      <c r="R66" s="1907"/>
      <c r="S66" s="1907"/>
      <c r="T66" s="1907"/>
      <c r="U66" s="1907"/>
      <c r="V66" s="1907"/>
    </row>
    <row r="67" spans="1:22" ht="25.5" customHeight="1">
      <c r="A67" s="348" t="s">
        <v>389</v>
      </c>
      <c r="B67" s="3649" t="s">
        <v>390</v>
      </c>
      <c r="C67" s="3649"/>
      <c r="D67" s="349">
        <v>0</v>
      </c>
      <c r="E67" s="41" t="s">
        <v>391</v>
      </c>
      <c r="F67" s="62" t="s">
        <v>21</v>
      </c>
      <c r="G67" s="3707"/>
      <c r="H67" s="3000" t="s">
        <v>2960</v>
      </c>
      <c r="I67" s="3002"/>
      <c r="J67" s="1914"/>
      <c r="K67" s="1886">
        <v>2</v>
      </c>
      <c r="L67" s="3713" t="s">
        <v>388</v>
      </c>
      <c r="M67" s="3713"/>
      <c r="N67" s="1277">
        <f>'数据-取费表'!B2</f>
        <v>44412</v>
      </c>
      <c r="O67" s="1277"/>
      <c r="P67" s="1277"/>
      <c r="Q67" s="1907"/>
      <c r="R67" s="1907"/>
      <c r="S67" s="1907"/>
      <c r="T67" s="1907"/>
      <c r="U67" s="1907"/>
      <c r="V67" s="1907"/>
    </row>
    <row r="68" spans="1:22" ht="25.5" customHeight="1">
      <c r="A68" s="350"/>
      <c r="B68" s="3649" t="s">
        <v>393</v>
      </c>
      <c r="C68" s="3649"/>
      <c r="D68" s="351"/>
      <c r="E68" s="77"/>
      <c r="F68" s="352"/>
      <c r="G68" s="3708"/>
      <c r="H68" s="3001" t="s">
        <v>2961</v>
      </c>
      <c r="I68" s="3002"/>
      <c r="J68" s="1914"/>
      <c r="K68" s="1886">
        <v>3</v>
      </c>
      <c r="L68" s="3713" t="s">
        <v>392</v>
      </c>
      <c r="M68" s="3713"/>
      <c r="N68" s="1245">
        <f ca="1">C42</f>
        <v>43286</v>
      </c>
      <c r="O68" s="1245"/>
      <c r="P68" s="1245"/>
      <c r="Q68" s="1907"/>
      <c r="R68" s="1907"/>
      <c r="S68" s="1907"/>
      <c r="T68" s="1907"/>
      <c r="U68" s="1907"/>
      <c r="V68" s="1907"/>
    </row>
    <row r="69" spans="1:22" ht="23.45" customHeight="1">
      <c r="A69" s="353"/>
      <c r="B69" s="3649" t="s">
        <v>394</v>
      </c>
      <c r="C69" s="3649"/>
      <c r="D69" s="354"/>
      <c r="E69" s="73"/>
      <c r="F69" s="352"/>
      <c r="G69" s="3709"/>
      <c r="H69" s="3001" t="s">
        <v>2962</v>
      </c>
      <c r="I69" s="3002"/>
      <c r="J69" s="1914"/>
      <c r="K69" s="1246">
        <v>4</v>
      </c>
      <c r="L69" s="3723" t="s">
        <v>2861</v>
      </c>
      <c r="M69" s="3724"/>
      <c r="N69" s="1247" t="str">
        <f>C44</f>
        <v>——</v>
      </c>
      <c r="O69" s="1247"/>
      <c r="P69" s="1247"/>
      <c r="Q69" s="1907"/>
      <c r="R69" s="1907"/>
      <c r="S69" s="1907"/>
      <c r="T69" s="1907"/>
      <c r="U69" s="1907"/>
      <c r="V69" s="1907"/>
    </row>
    <row r="70" spans="1:22" ht="24" customHeight="1">
      <c r="A70" s="355" t="s">
        <v>395</v>
      </c>
      <c r="B70" s="3649" t="s">
        <v>396</v>
      </c>
      <c r="C70" s="3649"/>
      <c r="D70" s="354">
        <f ca="1">ROUND(D63*'数据-取费表'!B41/(1+'数据-取费表'!C42),0)</f>
        <v>2309</v>
      </c>
      <c r="E70" s="17" t="s">
        <v>397</v>
      </c>
      <c r="F70" s="356">
        <f>'数据-取费表'!B41</f>
        <v>5.6000000000000001E-2</v>
      </c>
      <c r="G70" s="357"/>
      <c r="H70" s="307"/>
      <c r="I70" s="1244"/>
      <c r="J70" s="1914"/>
      <c r="K70" s="2759"/>
      <c r="L70" s="2760"/>
      <c r="M70" s="2760"/>
      <c r="N70" s="2761" t="s">
        <v>2865</v>
      </c>
      <c r="O70" s="2760"/>
      <c r="P70" s="2762"/>
      <c r="Q70" s="1907"/>
      <c r="R70" s="1907"/>
      <c r="S70" s="1907"/>
      <c r="T70" s="1907"/>
      <c r="U70" s="1907"/>
      <c r="V70" s="1907"/>
    </row>
    <row r="71" spans="1:22" ht="12" customHeight="1">
      <c r="A71" s="355" t="s">
        <v>403</v>
      </c>
      <c r="B71" s="3650" t="s">
        <v>2991</v>
      </c>
      <c r="C71" s="3651"/>
      <c r="D71" s="354">
        <f ca="1">ROUND(D63*'数据-取费表'!B41/(1+'数据-取费表'!C42),0)</f>
        <v>2309</v>
      </c>
      <c r="E71" s="17" t="s">
        <v>397</v>
      </c>
      <c r="F71" s="356">
        <f>'数据-取费表'!B41</f>
        <v>5.6000000000000001E-2</v>
      </c>
      <c r="G71" s="357"/>
      <c r="H71" s="307"/>
      <c r="I71" s="1244"/>
      <c r="J71" s="1914"/>
      <c r="K71" s="2758" t="s">
        <v>398</v>
      </c>
      <c r="L71" s="3725" t="s">
        <v>399</v>
      </c>
      <c r="M71" s="3725"/>
      <c r="N71" s="2758" t="s">
        <v>400</v>
      </c>
      <c r="O71" s="2758" t="s">
        <v>401</v>
      </c>
      <c r="P71" s="2758" t="s">
        <v>402</v>
      </c>
      <c r="Q71" s="1907"/>
      <c r="R71" s="1907"/>
      <c r="S71" s="1907"/>
      <c r="T71" s="1907"/>
      <c r="U71" s="1907"/>
      <c r="V71" s="1907"/>
    </row>
    <row r="72" spans="1:22" ht="12" customHeight="1">
      <c r="A72" s="355" t="s">
        <v>405</v>
      </c>
      <c r="B72" s="3650" t="s">
        <v>2992</v>
      </c>
      <c r="C72" s="3651"/>
      <c r="D72" s="354">
        <f ca="1">C86</f>
        <v>2309</v>
      </c>
      <c r="E72" s="73" t="s">
        <v>406</v>
      </c>
      <c r="F72" s="356">
        <f>'数据-取费表'!B41</f>
        <v>5.6000000000000001E-2</v>
      </c>
      <c r="G72" s="357"/>
      <c r="H72" s="1250"/>
      <c r="I72" s="1244"/>
      <c r="J72" s="1914"/>
      <c r="K72" s="1886">
        <v>1</v>
      </c>
      <c r="L72" s="3700" t="s">
        <v>404</v>
      </c>
      <c r="M72" s="3700"/>
      <c r="N72" s="1248" t="b">
        <f>D66</f>
        <v>0</v>
      </c>
      <c r="O72" s="1769" t="str">
        <f>E66</f>
        <v>销售额×税（费）率</v>
      </c>
      <c r="P72" s="1249">
        <f>F66</f>
        <v>5.6000000000000001E-2</v>
      </c>
      <c r="Q72" s="1907"/>
      <c r="R72" s="1907"/>
      <c r="S72" s="1907"/>
      <c r="T72" s="1907"/>
      <c r="U72" s="1907"/>
      <c r="V72" s="1907"/>
    </row>
    <row r="73" spans="1:22" ht="24" customHeight="1">
      <c r="A73" s="3695" t="s">
        <v>408</v>
      </c>
      <c r="B73" s="3659"/>
      <c r="C73" s="3659"/>
      <c r="D73" s="358">
        <f ca="1">IF(H73="个人住宅",0,ROUND(D63*I73,0))</f>
        <v>22</v>
      </c>
      <c r="E73" s="17" t="s">
        <v>409</v>
      </c>
      <c r="F73" s="356" t="str">
        <f>IF(H73="正常",I73,"免征")</f>
        <v>免征</v>
      </c>
      <c r="G73" s="357"/>
      <c r="H73" s="187"/>
      <c r="I73" s="356">
        <f>'数据-取费表'!B49</f>
        <v>5.0000000000000001E-4</v>
      </c>
      <c r="J73" s="1914"/>
      <c r="K73" s="1886">
        <v>2</v>
      </c>
      <c r="L73" s="3700" t="s">
        <v>407</v>
      </c>
      <c r="M73" s="3700"/>
      <c r="N73" s="1248">
        <f t="shared" ref="N73:P74" ca="1" si="1">D73</f>
        <v>22</v>
      </c>
      <c r="O73" s="1769" t="str">
        <f t="shared" si="1"/>
        <v>销售额×税（费）率</v>
      </c>
      <c r="P73" s="1249" t="str">
        <f t="shared" si="1"/>
        <v>免征</v>
      </c>
      <c r="Q73" s="1907"/>
      <c r="R73" s="1907"/>
      <c r="S73" s="1907"/>
      <c r="T73" s="1907"/>
      <c r="U73" s="1907"/>
      <c r="V73" s="1907"/>
    </row>
    <row r="74" spans="1:22" ht="24.75">
      <c r="A74" s="3695" t="s">
        <v>411</v>
      </c>
      <c r="B74" s="3659"/>
      <c r="C74" s="3659"/>
      <c r="D74" s="358">
        <f ca="1">IF(H74="个人住宅",D75,D76)</f>
        <v>24500</v>
      </c>
      <c r="E74" s="17" t="s">
        <v>412</v>
      </c>
      <c r="F74" s="356" t="str">
        <f>IF(H74="正常",F76,"免征")</f>
        <v>免征</v>
      </c>
      <c r="G74" s="969" t="s">
        <v>413</v>
      </c>
      <c r="H74" s="359"/>
      <c r="I74" s="42"/>
      <c r="J74" s="1914"/>
      <c r="K74" s="1886">
        <v>3</v>
      </c>
      <c r="L74" s="3700" t="s">
        <v>410</v>
      </c>
      <c r="M74" s="3700"/>
      <c r="N74" s="1248">
        <f t="shared" ca="1" si="1"/>
        <v>24500</v>
      </c>
      <c r="O74" s="1769" t="str">
        <f t="shared" si="1"/>
        <v>增值额×税（费）率</v>
      </c>
      <c r="P74" s="1251" t="str">
        <f t="shared" si="1"/>
        <v>免征</v>
      </c>
      <c r="Q74" s="1907"/>
      <c r="R74" s="1907"/>
      <c r="S74" s="1907"/>
      <c r="T74" s="1907"/>
      <c r="U74" s="1907"/>
      <c r="V74" s="1907"/>
    </row>
    <row r="75" spans="1:22" ht="12.75">
      <c r="A75" s="355" t="s">
        <v>414</v>
      </c>
      <c r="B75" s="3647" t="s">
        <v>415</v>
      </c>
      <c r="C75" s="3683"/>
      <c r="D75" s="360">
        <v>0</v>
      </c>
      <c r="E75" s="41" t="s">
        <v>416</v>
      </c>
      <c r="F75" s="361"/>
      <c r="G75" s="357"/>
      <c r="H75" s="42"/>
      <c r="I75" s="42"/>
      <c r="J75" s="1914"/>
      <c r="K75" s="2752">
        <f>IF(H77="非个人房产","",4)</f>
        <v>4</v>
      </c>
      <c r="L75" s="3700" t="str">
        <f>IF(H77="非个人房产","——","个人所得税")</f>
        <v>个人所得税</v>
      </c>
      <c r="M75" s="3700"/>
      <c r="N75" s="1252">
        <f>D77</f>
        <v>0</v>
      </c>
      <c r="O75" s="1782" t="str">
        <f>E77</f>
        <v>差额计税</v>
      </c>
      <c r="P75" s="1253">
        <f>F77</f>
        <v>0.01</v>
      </c>
      <c r="Q75" s="1907"/>
      <c r="R75" s="1907"/>
      <c r="S75" s="1907"/>
      <c r="T75" s="1907"/>
      <c r="U75" s="1907"/>
      <c r="V75" s="1907"/>
    </row>
    <row r="76" spans="1:22" ht="24.75">
      <c r="A76" s="355" t="s">
        <v>395</v>
      </c>
      <c r="B76" s="3647" t="s">
        <v>418</v>
      </c>
      <c r="C76" s="3648"/>
      <c r="D76" s="358">
        <f ca="1">IF(H76="转让取得",C99,C115)</f>
        <v>24500</v>
      </c>
      <c r="E76" s="17" t="s">
        <v>419</v>
      </c>
      <c r="F76" s="53" t="s">
        <v>21</v>
      </c>
      <c r="G76" s="357"/>
      <c r="H76" s="359"/>
      <c r="I76" s="42"/>
      <c r="J76" s="1914"/>
      <c r="K76" s="2752" t="str">
        <f>IF(项目基本情况!K6="上海银行",IF(K75="",4,K75+1),"")</f>
        <v/>
      </c>
      <c r="L76" s="3715" t="str">
        <f>IF(项目基本情况!K6="上海银行","其他处置费用","")</f>
        <v/>
      </c>
      <c r="M76" s="3716"/>
      <c r="N76" s="1248" t="str">
        <f>IF(项目基本情况!K6="上海银行",N89,"")</f>
        <v/>
      </c>
      <c r="O76" s="3717" t="str">
        <f>IF(项目基本情况!K6="上海银行","包含处置中涉及的律师、诉讼、拍卖、评估等费用","")</f>
        <v/>
      </c>
      <c r="P76" s="3718"/>
      <c r="Q76" s="1907"/>
      <c r="R76" s="1907"/>
      <c r="S76" s="1907"/>
      <c r="T76" s="1907"/>
      <c r="U76" s="1907"/>
      <c r="V76" s="1907"/>
    </row>
    <row r="77" spans="1:22" ht="24.75" thickBot="1">
      <c r="A77" s="3702" t="s">
        <v>421</v>
      </c>
      <c r="B77" s="3703"/>
      <c r="C77" s="3703"/>
      <c r="D77" s="3005">
        <f>IF(H77="非个人房产","——",IF(H77="个人住宅（满五唯一有凭证）",0,IF(H77="个人其他（无凭证）",ROUND(D63*F77,0),ROUND(C84*F77,0))))</f>
        <v>0</v>
      </c>
      <c r="E77" s="3006" t="str">
        <f>IF(H77="非个人房产","——",IF(H77="个人其他（无凭证）","销售额×税（费）率",IF(H77="个人住宅（满五唯一有凭证）","免征","差额计税")))</f>
        <v>差额计税</v>
      </c>
      <c r="F77" s="3007">
        <f>IF(OR(H77="非个人房产",H77="个人住宅（满五唯一有凭证）"),"——",IF(H77="个人其他（有凭证）",20%,1%))</f>
        <v>0.01</v>
      </c>
      <c r="G77" s="970" t="s">
        <v>413</v>
      </c>
      <c r="H77" s="3004"/>
      <c r="I77" s="3003" t="s">
        <v>2963</v>
      </c>
      <c r="J77" s="1914"/>
      <c r="K77" s="3701">
        <f>IF(AND(K75="",K76=""),4,IF(项目基本情况!K6="上海银行",K76+1,K75+1))</f>
        <v>5</v>
      </c>
      <c r="L77" s="3700" t="s">
        <v>2862</v>
      </c>
      <c r="M77" s="2757" t="s">
        <v>417</v>
      </c>
      <c r="N77" s="1254"/>
      <c r="O77" s="1255">
        <f ca="1">SUMIF(N72:N76,"&lt;9e307")</f>
        <v>24522</v>
      </c>
      <c r="P77" s="1256"/>
      <c r="Q77" s="2755" t="e">
        <f ca="1">O77/N69</f>
        <v>#VALUE!</v>
      </c>
      <c r="R77" s="1907"/>
      <c r="S77" s="1907"/>
      <c r="T77" s="1907"/>
      <c r="U77" s="1907"/>
      <c r="V77" s="1907"/>
    </row>
    <row r="78" spans="1:22" ht="12" customHeight="1">
      <c r="A78" s="1257"/>
      <c r="B78" s="307"/>
      <c r="C78" s="307"/>
      <c r="D78" s="307"/>
      <c r="E78" s="42"/>
      <c r="F78" s="42"/>
      <c r="G78" s="42"/>
      <c r="H78" s="989"/>
      <c r="I78" s="307"/>
      <c r="J78" s="1914"/>
      <c r="K78" s="3701"/>
      <c r="L78" s="3700"/>
      <c r="M78" s="2757" t="s">
        <v>420</v>
      </c>
      <c r="N78" s="1254"/>
      <c r="O78" s="1255" t="str">
        <f ca="1">NUMBERSTRING(INT(O77*10000),2)&amp;"元整"</f>
        <v>贰亿肆仟伍佰贰拾贰万元整</v>
      </c>
      <c r="P78" s="1256"/>
      <c r="Q78" s="1907"/>
      <c r="R78" s="1907"/>
      <c r="S78" s="1907"/>
      <c r="T78" s="1907"/>
      <c r="U78" s="1907"/>
      <c r="V78" s="1907"/>
    </row>
    <row r="79" spans="1:22" ht="13.5" thickBot="1">
      <c r="A79" s="3667" t="s">
        <v>422</v>
      </c>
      <c r="B79" s="3667"/>
      <c r="C79" s="3667"/>
      <c r="D79" s="3667"/>
      <c r="E79" s="3667"/>
      <c r="F79" s="42"/>
      <c r="G79" s="42"/>
      <c r="H79" s="989"/>
      <c r="I79" s="307"/>
      <c r="J79" s="1914"/>
      <c r="K79" s="3721">
        <f>K77+1</f>
        <v>6</v>
      </c>
      <c r="L79" s="3700" t="s">
        <v>2863</v>
      </c>
      <c r="M79" s="2757" t="s">
        <v>417</v>
      </c>
      <c r="N79" s="1254"/>
      <c r="O79" s="1255" t="e">
        <f ca="1">N69-O77</f>
        <v>#VALUE!</v>
      </c>
      <c r="P79" s="1256"/>
      <c r="Q79" s="1907"/>
      <c r="R79" s="1907"/>
      <c r="S79" s="1907"/>
      <c r="T79" s="1907"/>
      <c r="U79" s="1907"/>
      <c r="V79" s="1907"/>
    </row>
    <row r="80" spans="1:22" ht="12.75">
      <c r="A80" s="3668" t="s">
        <v>423</v>
      </c>
      <c r="B80" s="3669"/>
      <c r="C80" s="980"/>
      <c r="D80" s="980" t="s">
        <v>424</v>
      </c>
      <c r="E80" s="362" t="s">
        <v>425</v>
      </c>
      <c r="F80" s="42"/>
      <c r="G80" s="42"/>
      <c r="H80" s="989"/>
      <c r="I80" s="307"/>
      <c r="J80" s="1907"/>
      <c r="K80" s="3722"/>
      <c r="L80" s="3700"/>
      <c r="M80" s="2757" t="s">
        <v>420</v>
      </c>
      <c r="N80" s="1254"/>
      <c r="O80" s="1255" t="e">
        <f ca="1">NUMBERSTRING(INT(O79*10000),2)&amp;"元整"</f>
        <v>#VALUE!</v>
      </c>
      <c r="P80" s="1256"/>
      <c r="Q80" s="1907"/>
      <c r="R80" s="1907"/>
      <c r="S80" s="1907"/>
      <c r="T80" s="1907"/>
      <c r="U80" s="1907"/>
      <c r="V80" s="1907"/>
    </row>
    <row r="81" spans="1:26" ht="13.5" thickBot="1">
      <c r="A81" s="373" t="s">
        <v>1813</v>
      </c>
      <c r="B81" s="363" t="s">
        <v>426</v>
      </c>
      <c r="C81" s="364">
        <f ca="1">ROUND((C82+C83)/(1+'数据-取费表'!C42),0)</f>
        <v>41225</v>
      </c>
      <c r="D81" s="365"/>
      <c r="E81" s="366"/>
      <c r="F81" s="42"/>
      <c r="G81" s="42"/>
      <c r="H81" s="989"/>
      <c r="I81" s="307"/>
      <c r="J81" s="1907"/>
      <c r="K81" s="2752">
        <f>K79+1</f>
        <v>7</v>
      </c>
      <c r="L81" s="3698" t="s">
        <v>2864</v>
      </c>
      <c r="M81" s="3699"/>
      <c r="N81" s="1258"/>
      <c r="O81" s="1259" t="e">
        <f ca="1">ROUND(O79*10000/'数据-汇总表'!E3,0)</f>
        <v>#VALUE!</v>
      </c>
      <c r="P81" s="1260"/>
      <c r="Q81" s="1907"/>
      <c r="R81" s="1907"/>
      <c r="S81" s="1907"/>
      <c r="T81" s="1907"/>
      <c r="U81" s="1907"/>
      <c r="V81" s="1907"/>
    </row>
    <row r="82" spans="1:26" ht="13.5" thickTop="1">
      <c r="A82" s="367" t="s">
        <v>1814</v>
      </c>
      <c r="B82" s="368" t="s">
        <v>427</v>
      </c>
      <c r="C82" s="369">
        <f ca="1">D63</f>
        <v>43286</v>
      </c>
      <c r="D82" s="370" t="s">
        <v>19</v>
      </c>
      <c r="E82" s="371"/>
      <c r="F82" s="42"/>
      <c r="G82" s="42"/>
      <c r="H82" s="989"/>
      <c r="I82" s="307"/>
      <c r="J82" s="1907"/>
      <c r="K82" s="1907"/>
      <c r="L82" s="1907"/>
      <c r="M82" s="1907"/>
      <c r="N82" s="1907"/>
      <c r="O82" s="1907"/>
      <c r="P82" s="1907"/>
      <c r="Q82" s="1907"/>
      <c r="R82" s="1907"/>
      <c r="S82" s="1907"/>
      <c r="T82" s="1907"/>
      <c r="U82" s="1907"/>
      <c r="V82" s="1907"/>
    </row>
    <row r="83" spans="1:26" ht="12.75">
      <c r="A83" s="367" t="s">
        <v>1815</v>
      </c>
      <c r="B83" s="368" t="s">
        <v>428</v>
      </c>
      <c r="C83" s="372"/>
      <c r="D83" s="370"/>
      <c r="E83" s="371"/>
      <c r="F83" s="42"/>
      <c r="G83" s="42"/>
      <c r="H83" s="989"/>
      <c r="I83" s="307"/>
      <c r="J83" s="1907"/>
      <c r="K83" s="3714" t="s">
        <v>2852</v>
      </c>
      <c r="L83" s="2763" t="s">
        <v>2853</v>
      </c>
      <c r="M83" s="2753" t="e">
        <f>IF(N69&gt;10000,N69*0.5%,IF(AND(N69&gt;1000,N69&lt;=10000),N69*1%,IF(AND(N69&gt;100,N69&lt;=1000),N69*3%,IF(AND(N69&gt;10,N69&lt;=100),N69*5%,N69*8%))))</f>
        <v>#VALUE!</v>
      </c>
      <c r="N83" s="53" t="e">
        <f>ROUND(M83,1)</f>
        <v>#VALUE!</v>
      </c>
      <c r="O83" s="2756"/>
      <c r="P83" s="1907"/>
      <c r="Q83" s="1907"/>
      <c r="R83" s="1907"/>
      <c r="S83" s="1907"/>
      <c r="T83" s="1907"/>
      <c r="U83" s="1907"/>
      <c r="V83" s="1907"/>
    </row>
    <row r="84" spans="1:26" ht="12.75">
      <c r="A84" s="373" t="s">
        <v>1816</v>
      </c>
      <c r="B84" s="374" t="s">
        <v>429</v>
      </c>
      <c r="C84" s="375"/>
      <c r="D84" s="376" t="s">
        <v>19</v>
      </c>
      <c r="E84" s="2781" t="s">
        <v>2904</v>
      </c>
      <c r="F84" s="42"/>
      <c r="G84" s="42"/>
      <c r="H84" s="989"/>
      <c r="I84" s="307"/>
      <c r="J84" s="1907"/>
      <c r="K84" s="3714"/>
      <c r="L84" s="2763" t="s">
        <v>2854</v>
      </c>
      <c r="M84" s="27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7" t="s">
        <v>2855</v>
      </c>
      <c r="P84" s="1907"/>
      <c r="Q84" s="1907"/>
      <c r="R84" s="1907"/>
      <c r="S84" s="1907"/>
      <c r="T84" s="1907"/>
      <c r="U84" s="1907"/>
      <c r="V84" s="1907"/>
    </row>
    <row r="85" spans="1:26" ht="12.75">
      <c r="A85" s="373" t="s">
        <v>1817</v>
      </c>
      <c r="B85" s="374" t="s">
        <v>430</v>
      </c>
      <c r="C85" s="377">
        <f ca="1">C81-C84</f>
        <v>41225</v>
      </c>
      <c r="D85" s="370" t="s">
        <v>19</v>
      </c>
      <c r="E85" s="371"/>
      <c r="F85" s="42"/>
      <c r="G85" s="42"/>
      <c r="H85" s="989"/>
      <c r="I85" s="307"/>
      <c r="J85" s="1907"/>
      <c r="K85" s="3714"/>
      <c r="L85" s="2763" t="s">
        <v>2856</v>
      </c>
      <c r="M85" s="2753" t="e">
        <f>IF(N69&gt;1000,N69*0.1%,IF(AND(N69&gt;500,N69&lt;=1000),N69*0.5%,IF(AND(N69&gt;50,N69&lt;=500),N69*1%,IF(AND(N69&gt;1,N69&lt;=50),N69*1.5%))))</f>
        <v>#VALUE!</v>
      </c>
      <c r="N85" s="53" t="e">
        <f t="shared" si="2"/>
        <v>#VALUE!</v>
      </c>
      <c r="O85" s="1907" t="s">
        <v>2855</v>
      </c>
      <c r="P85" s="1907"/>
      <c r="Q85" s="1907"/>
      <c r="R85" s="1907"/>
      <c r="S85" s="1907"/>
      <c r="T85" s="1907"/>
      <c r="U85" s="1907"/>
      <c r="V85" s="1907"/>
    </row>
    <row r="86" spans="1:26" ht="13.5" thickBot="1">
      <c r="A86" s="378" t="s">
        <v>1818</v>
      </c>
      <c r="B86" s="379" t="s">
        <v>431</v>
      </c>
      <c r="C86" s="380">
        <f ca="1">IF(C85&lt;=0,0,ROUND(C85*D86,0))</f>
        <v>2309</v>
      </c>
      <c r="D86" s="381">
        <f>'数据-取费表'!B41</f>
        <v>5.6000000000000001E-2</v>
      </c>
      <c r="E86" s="382"/>
      <c r="F86" s="42"/>
      <c r="G86" s="42"/>
      <c r="H86" s="989"/>
      <c r="I86" s="307"/>
      <c r="J86" s="1907"/>
      <c r="K86" s="3714"/>
      <c r="L86" s="2763" t="s">
        <v>2857</v>
      </c>
      <c r="M86" s="2753" t="e">
        <f>N69*0.5%</f>
        <v>#VALUE!</v>
      </c>
      <c r="N86" s="53" t="e">
        <f>IF(M86&gt;0.5,0.5,ROUND(M86,0))</f>
        <v>#VALUE!</v>
      </c>
      <c r="O86" s="1907" t="s">
        <v>2858</v>
      </c>
      <c r="P86" s="1907"/>
      <c r="Q86" s="1907"/>
      <c r="R86" s="1907"/>
      <c r="S86" s="1907"/>
      <c r="T86" s="1907"/>
      <c r="U86" s="1907"/>
      <c r="V86" s="1907"/>
    </row>
    <row r="87" spans="1:26" s="1206" customFormat="1" ht="14.25" customHeight="1">
      <c r="A87" s="1261"/>
      <c r="B87" s="1262"/>
      <c r="C87" s="1263"/>
      <c r="D87" s="1264"/>
      <c r="E87" s="1265"/>
      <c r="F87" s="42"/>
      <c r="G87" s="42"/>
      <c r="H87" s="989"/>
      <c r="I87" s="307"/>
      <c r="J87" s="1907"/>
      <c r="K87" s="3714"/>
      <c r="L87" s="2763" t="s">
        <v>2859</v>
      </c>
      <c r="M87" s="27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6"/>
      <c r="P87" s="1907"/>
      <c r="Q87" s="1907"/>
      <c r="R87" s="1907"/>
      <c r="S87" s="1907"/>
      <c r="T87" s="1907"/>
      <c r="U87" s="1907"/>
      <c r="V87" s="1907"/>
      <c r="W87" s="288"/>
      <c r="X87" s="288"/>
      <c r="Y87" s="288"/>
      <c r="Z87" s="288"/>
    </row>
    <row r="88" spans="1:26" s="1266" customFormat="1" ht="15" thickBot="1">
      <c r="A88" s="3693" t="s">
        <v>432</v>
      </c>
      <c r="B88" s="3694"/>
      <c r="C88" s="3694"/>
      <c r="D88" s="3694"/>
      <c r="E88" s="3694"/>
      <c r="F88" s="3694"/>
      <c r="G88" s="3694"/>
      <c r="H88" s="3694"/>
      <c r="I88" s="1267"/>
      <c r="J88" s="1915"/>
      <c r="K88" s="3714"/>
      <c r="L88" s="2763" t="s">
        <v>2860</v>
      </c>
      <c r="M88" s="2753" t="e">
        <f>IF(N69&gt;10000,N69*0.5%,IF(AND(N69&gt;5000,N69&lt;=10000),N69*1%,IF(AND(N69&gt;1000,N69&lt;=5000),N69*2%,IF(AND(N69&gt;200,N69&lt;=1000),N69*3%,N69*5%))))</f>
        <v>#VALUE!</v>
      </c>
      <c r="N88" s="53" t="e">
        <f>ROUND(M88,1)</f>
        <v>#VALUE!</v>
      </c>
      <c r="O88" s="2756"/>
      <c r="P88" s="1912"/>
      <c r="Q88" s="1912"/>
      <c r="R88" s="1912"/>
      <c r="S88" s="1912"/>
      <c r="T88" s="1912"/>
      <c r="U88" s="1912"/>
      <c r="V88" s="1912"/>
      <c r="W88" s="1916"/>
      <c r="X88" s="1916"/>
      <c r="Y88" s="1916"/>
      <c r="Z88" s="1916"/>
    </row>
    <row r="89" spans="1:26" s="1266" customFormat="1" ht="14.25">
      <c r="A89" s="3668" t="s">
        <v>423</v>
      </c>
      <c r="B89" s="3669"/>
      <c r="C89" s="980"/>
      <c r="D89" s="980" t="s">
        <v>424</v>
      </c>
      <c r="E89" s="383" t="s">
        <v>433</v>
      </c>
      <c r="F89" s="384"/>
      <c r="G89" s="384"/>
      <c r="H89" s="385"/>
      <c r="I89" s="1268"/>
      <c r="J89" s="1917"/>
      <c r="K89" s="3714"/>
      <c r="L89" s="2763" t="s">
        <v>27</v>
      </c>
      <c r="M89" s="2754"/>
      <c r="N89" s="53" t="e">
        <f>ROUND(SUM(N83:N88),0)</f>
        <v>#VALUE!</v>
      </c>
      <c r="O89" s="2764" t="e">
        <f>N89/N69</f>
        <v>#VALUE!</v>
      </c>
      <c r="P89" s="1912"/>
      <c r="Q89" s="1912"/>
      <c r="R89" s="1912"/>
      <c r="S89" s="1912"/>
      <c r="T89" s="1912"/>
      <c r="U89" s="1912"/>
      <c r="V89" s="1912"/>
      <c r="W89" s="1916"/>
      <c r="X89" s="1916"/>
      <c r="Y89" s="1916"/>
      <c r="Z89" s="1916"/>
    </row>
    <row r="90" spans="1:26" s="1266" customFormat="1" ht="14.25">
      <c r="A90" s="373" t="s">
        <v>1813</v>
      </c>
      <c r="B90" s="374" t="s">
        <v>434</v>
      </c>
      <c r="C90" s="377">
        <f ca="1">ROUND(D63/(1+'数据-取费表'!C42),0)</f>
        <v>41225</v>
      </c>
      <c r="D90" s="370" t="s">
        <v>19</v>
      </c>
      <c r="E90" s="977"/>
      <c r="F90" s="976"/>
      <c r="G90" s="976"/>
      <c r="H90" s="386"/>
      <c r="I90" s="1268"/>
      <c r="J90" s="1917"/>
      <c r="K90" s="1912"/>
      <c r="L90" s="1912"/>
      <c r="M90" s="1912"/>
      <c r="N90" s="1912"/>
      <c r="O90" s="1912"/>
      <c r="P90" s="1912"/>
      <c r="Q90" s="1912"/>
      <c r="R90" s="1912"/>
      <c r="S90" s="1912"/>
      <c r="T90" s="1912"/>
      <c r="U90" s="1912"/>
      <c r="V90" s="1912"/>
      <c r="W90" s="1916"/>
      <c r="X90" s="1916"/>
      <c r="Y90" s="1916"/>
      <c r="Z90" s="1916"/>
    </row>
    <row r="91" spans="1:26" s="1266" customFormat="1" ht="14.25">
      <c r="A91" s="373" t="s">
        <v>1819</v>
      </c>
      <c r="B91" s="344" t="s">
        <v>435</v>
      </c>
      <c r="C91" s="377">
        <f ca="1">C92+C96</f>
        <v>247</v>
      </c>
      <c r="D91" s="370" t="s">
        <v>19</v>
      </c>
      <c r="E91" s="977"/>
      <c r="F91" s="976"/>
      <c r="G91" s="976"/>
      <c r="H91" s="386"/>
      <c r="I91" s="1268"/>
      <c r="J91" s="1917"/>
      <c r="K91" s="1912"/>
      <c r="L91" s="1912"/>
      <c r="M91" s="1912"/>
      <c r="N91" s="1912"/>
      <c r="O91" s="1912"/>
      <c r="P91" s="1912"/>
      <c r="Q91" s="1912"/>
      <c r="R91" s="1912"/>
      <c r="S91" s="1912"/>
      <c r="T91" s="1912"/>
      <c r="U91" s="1912"/>
      <c r="V91" s="1912"/>
      <c r="W91" s="1916"/>
      <c r="X91" s="1916"/>
      <c r="Y91" s="1916"/>
      <c r="Z91" s="1916"/>
    </row>
    <row r="92" spans="1:26" s="1266" customFormat="1" ht="24">
      <c r="A92" s="387" t="s">
        <v>1820</v>
      </c>
      <c r="B92" s="368" t="s">
        <v>436</v>
      </c>
      <c r="C92" s="370">
        <f>ROUND(IF(G95="2016年5月1日后购买",C93/(1+'数据-取费表'!C30)+C94+C95,C93+C94+C95),0)</f>
        <v>0</v>
      </c>
      <c r="D92" s="370" t="s">
        <v>19</v>
      </c>
      <c r="E92" s="977"/>
      <c r="F92" s="976"/>
      <c r="G92" s="976"/>
      <c r="H92" s="386"/>
      <c r="I92" s="1268"/>
      <c r="J92" s="1917"/>
      <c r="K92" s="1912"/>
      <c r="L92" s="1912"/>
      <c r="M92" s="1912"/>
      <c r="N92" s="1912"/>
      <c r="O92" s="1912"/>
      <c r="P92" s="1912"/>
      <c r="Q92" s="1912"/>
      <c r="R92" s="1912"/>
      <c r="S92" s="1912"/>
      <c r="T92" s="1912"/>
      <c r="U92" s="1912"/>
      <c r="V92" s="1912"/>
      <c r="W92" s="1916"/>
      <c r="X92" s="1916"/>
      <c r="Y92" s="1916"/>
      <c r="Z92" s="1916"/>
    </row>
    <row r="93" spans="1:26" s="1266" customFormat="1" ht="14.25">
      <c r="A93" s="387" t="s">
        <v>1821</v>
      </c>
      <c r="B93" s="368" t="s">
        <v>437</v>
      </c>
      <c r="C93" s="388"/>
      <c r="D93" s="370" t="s">
        <v>19</v>
      </c>
      <c r="E93" s="389" t="s">
        <v>438</v>
      </c>
      <c r="F93" s="390"/>
      <c r="G93" s="389" t="s">
        <v>439</v>
      </c>
      <c r="H93" s="391">
        <v>5</v>
      </c>
      <c r="I93" s="11"/>
      <c r="J93" s="1912"/>
      <c r="K93" s="1912"/>
      <c r="L93" s="1912"/>
      <c r="M93" s="1912"/>
      <c r="N93" s="1912"/>
      <c r="O93" s="1912"/>
      <c r="P93" s="1912"/>
      <c r="Q93" s="1912"/>
      <c r="R93" s="1912"/>
      <c r="S93" s="1912"/>
      <c r="T93" s="1912"/>
      <c r="U93" s="1912"/>
      <c r="V93" s="1912"/>
      <c r="W93" s="1916"/>
      <c r="X93" s="1916"/>
      <c r="Y93" s="1916"/>
      <c r="Z93" s="1916"/>
    </row>
    <row r="94" spans="1:26" s="1266" customFormat="1" ht="24.75" customHeight="1">
      <c r="A94" s="387" t="s">
        <v>1822</v>
      </c>
      <c r="B94" s="392" t="s">
        <v>440</v>
      </c>
      <c r="C94" s="370">
        <f>IF(F93="购房发票",ROUND(C93*H93*5%,0),0)</f>
        <v>0</v>
      </c>
      <c r="D94" s="393">
        <v>0.05</v>
      </c>
      <c r="E94" s="3650" t="s">
        <v>441</v>
      </c>
      <c r="F94" s="3649"/>
      <c r="G94" s="3649"/>
      <c r="H94" s="3692"/>
      <c r="I94" s="1268"/>
      <c r="J94" s="1917"/>
      <c r="K94" s="1912"/>
      <c r="L94" s="1912"/>
      <c r="M94" s="1912"/>
      <c r="N94" s="1912"/>
      <c r="O94" s="1912"/>
      <c r="P94" s="1912"/>
      <c r="Q94" s="1912"/>
      <c r="R94" s="1912"/>
      <c r="S94" s="1912"/>
      <c r="T94" s="1912"/>
      <c r="U94" s="1912"/>
      <c r="V94" s="1912"/>
      <c r="W94" s="1916"/>
      <c r="X94" s="1916"/>
      <c r="Y94" s="1916"/>
      <c r="Z94" s="1916"/>
    </row>
    <row r="95" spans="1:26" s="1266" customFormat="1" ht="24.75" customHeight="1">
      <c r="A95" s="387" t="s">
        <v>1823</v>
      </c>
      <c r="B95" s="368" t="s">
        <v>442</v>
      </c>
      <c r="C95" s="370">
        <f>ROUND(IF(G95="个人买卖住房",0,IF(G95="2016年5月1日前购买",C93*D95,C93*D95/(1+'数据-取费表'!C42))),0)</f>
        <v>0</v>
      </c>
      <c r="D95" s="394">
        <f>'数据-取费表'!B48+'数据-取费表'!B49</f>
        <v>3.0499999999999999E-2</v>
      </c>
      <c r="E95" s="26" t="s">
        <v>443</v>
      </c>
      <c r="F95" s="395"/>
      <c r="G95" s="396"/>
      <c r="H95" s="985" t="str">
        <f>IF(G95="个人买卖住房","免征印花税"," ")</f>
        <v xml:space="preserve"> </v>
      </c>
      <c r="I95" s="1268"/>
      <c r="J95" s="1917"/>
      <c r="K95" s="1912"/>
      <c r="L95" s="1912"/>
      <c r="M95" s="1912"/>
      <c r="N95" s="1912"/>
      <c r="O95" s="1912"/>
      <c r="P95" s="1912"/>
      <c r="Q95" s="1912"/>
      <c r="R95" s="1912"/>
      <c r="S95" s="1912"/>
      <c r="T95" s="1912"/>
      <c r="U95" s="1912"/>
      <c r="V95" s="1912"/>
      <c r="W95" s="1916"/>
      <c r="X95" s="1916"/>
      <c r="Y95" s="1916"/>
      <c r="Z95" s="1916"/>
    </row>
    <row r="96" spans="1:26" s="1266" customFormat="1" ht="24.75" customHeight="1">
      <c r="A96" s="387" t="s">
        <v>1824</v>
      </c>
      <c r="B96" s="368" t="s">
        <v>444</v>
      </c>
      <c r="C96" s="397">
        <f ca="1">ROUND(D63*D96/(1+'数据-取费表'!C42),0)</f>
        <v>247</v>
      </c>
      <c r="D96" s="398">
        <f>'数据-取费表'!B43</f>
        <v>6.000000000000001E-3</v>
      </c>
      <c r="E96" s="3684" t="s">
        <v>2412</v>
      </c>
      <c r="F96" s="3685"/>
      <c r="G96" s="3685"/>
      <c r="H96" s="3686"/>
      <c r="I96" s="1269"/>
      <c r="J96" s="1918"/>
      <c r="K96" s="1912"/>
      <c r="L96" s="1912"/>
      <c r="M96" s="1912"/>
      <c r="N96" s="1912"/>
      <c r="O96" s="1912"/>
      <c r="P96" s="1912"/>
      <c r="Q96" s="1912"/>
      <c r="R96" s="1912"/>
      <c r="S96" s="1912"/>
      <c r="T96" s="1912"/>
      <c r="U96" s="1912"/>
      <c r="V96" s="1912"/>
      <c r="W96" s="1916"/>
      <c r="X96" s="1916"/>
      <c r="Y96" s="1916"/>
      <c r="Z96" s="1916"/>
    </row>
    <row r="97" spans="1:26" s="1266" customFormat="1" ht="14.25">
      <c r="A97" s="1542" t="s">
        <v>1825</v>
      </c>
      <c r="B97" s="374" t="s">
        <v>445</v>
      </c>
      <c r="C97" s="377">
        <f ca="1">C90-C91</f>
        <v>40978</v>
      </c>
      <c r="D97" s="370" t="s">
        <v>19</v>
      </c>
      <c r="E97" s="977"/>
      <c r="F97" s="976"/>
      <c r="G97" s="976"/>
      <c r="H97" s="386"/>
      <c r="I97" s="1268"/>
      <c r="J97" s="1917"/>
      <c r="K97" s="1912"/>
      <c r="L97" s="1912"/>
      <c r="M97" s="1912"/>
      <c r="N97" s="1912"/>
      <c r="O97" s="1912"/>
      <c r="P97" s="1912"/>
      <c r="Q97" s="1912"/>
      <c r="R97" s="1912"/>
      <c r="S97" s="1912"/>
      <c r="T97" s="1912"/>
      <c r="U97" s="1912"/>
      <c r="V97" s="1912"/>
      <c r="W97" s="1916"/>
      <c r="X97" s="1916"/>
      <c r="Y97" s="1916"/>
      <c r="Z97" s="1916"/>
    </row>
    <row r="98" spans="1:26" s="1266" customFormat="1" ht="24">
      <c r="A98" s="1542" t="s">
        <v>1826</v>
      </c>
      <c r="B98" s="374" t="s">
        <v>446</v>
      </c>
      <c r="C98" s="399">
        <f ca="1">IF(C97&lt;=0,0,C97/C91)</f>
        <v>165.90283400809716</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7"/>
      <c r="K98" s="1912"/>
      <c r="L98" s="1912"/>
      <c r="M98" s="1912"/>
      <c r="N98" s="1912"/>
      <c r="O98" s="1912"/>
      <c r="P98" s="1912"/>
      <c r="Q98" s="1912"/>
      <c r="R98" s="1912"/>
      <c r="S98" s="1912"/>
      <c r="T98" s="1912"/>
      <c r="U98" s="1912"/>
      <c r="V98" s="1912"/>
      <c r="W98" s="1916"/>
      <c r="X98" s="1916"/>
      <c r="Y98" s="1916"/>
      <c r="Z98" s="1916"/>
    </row>
    <row r="99" spans="1:26" s="1266" customFormat="1" ht="24.75" thickBot="1">
      <c r="A99" s="1543" t="s">
        <v>1827</v>
      </c>
      <c r="B99" s="379" t="s">
        <v>447</v>
      </c>
      <c r="C99" s="400">
        <f ca="1">ROUND(IF(C97&lt;=0,0,IF(C98&gt;=200%,C97*60%-C91*35%,IF(C98&gt;=100%,C97*50%-C91*15%,IF(C98&gt;=50%,C97*40%-C91*5%,IF(C98&lt;50%,C97*30%,0))))),0)</f>
        <v>24500</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7"/>
      <c r="K99" s="1912"/>
      <c r="L99" s="1912"/>
      <c r="M99" s="1912"/>
      <c r="N99" s="1912"/>
      <c r="O99" s="1912"/>
      <c r="P99" s="1912"/>
      <c r="Q99" s="1912"/>
      <c r="R99" s="1912"/>
      <c r="S99" s="1912"/>
      <c r="T99" s="1912"/>
      <c r="U99" s="1912"/>
      <c r="V99" s="1912"/>
      <c r="W99" s="1916"/>
      <c r="X99" s="1916"/>
      <c r="Y99" s="1916"/>
      <c r="Z99" s="1916"/>
    </row>
    <row r="100" spans="1:26" s="1266" customFormat="1" ht="7.5" customHeight="1">
      <c r="A100" s="1270"/>
      <c r="B100" s="1271"/>
      <c r="C100" s="11"/>
      <c r="D100" s="11"/>
      <c r="E100" s="1271"/>
      <c r="F100" s="1271"/>
      <c r="G100" s="1271"/>
      <c r="H100" s="1272"/>
      <c r="I100" s="1269"/>
      <c r="J100" s="1918"/>
      <c r="K100" s="1912"/>
      <c r="L100" s="1912"/>
      <c r="M100" s="1912"/>
      <c r="N100" s="1912"/>
      <c r="O100" s="1912"/>
      <c r="P100" s="1912"/>
      <c r="Q100" s="1912"/>
      <c r="R100" s="1912"/>
      <c r="S100" s="1912"/>
      <c r="T100" s="1912"/>
      <c r="U100" s="1912"/>
      <c r="V100" s="1912"/>
      <c r="W100" s="1916"/>
      <c r="X100" s="1916"/>
      <c r="Y100" s="1916"/>
      <c r="Z100" s="1916"/>
    </row>
    <row r="101" spans="1:26" s="1266" customFormat="1" ht="15" thickBot="1">
      <c r="A101" s="3693" t="s">
        <v>448</v>
      </c>
      <c r="B101" s="3694"/>
      <c r="C101" s="3694"/>
      <c r="D101" s="3694"/>
      <c r="E101" s="3694"/>
      <c r="F101" s="3694"/>
      <c r="G101" s="3694"/>
      <c r="H101" s="3694"/>
      <c r="I101" s="11"/>
      <c r="J101" s="1912"/>
      <c r="K101" s="1912"/>
      <c r="L101" s="1912"/>
      <c r="M101" s="1912"/>
      <c r="N101" s="1912"/>
      <c r="O101" s="1912"/>
      <c r="P101" s="1912"/>
      <c r="Q101" s="1912"/>
      <c r="R101" s="1912"/>
      <c r="S101" s="1912"/>
      <c r="T101" s="1912"/>
      <c r="U101" s="1912"/>
      <c r="V101" s="1912"/>
      <c r="W101" s="1916"/>
      <c r="X101" s="1916"/>
      <c r="Y101" s="1916"/>
      <c r="Z101" s="1916"/>
    </row>
    <row r="102" spans="1:26" s="1266" customFormat="1" ht="14.25">
      <c r="A102" s="3668" t="s">
        <v>423</v>
      </c>
      <c r="B102" s="3669"/>
      <c r="C102" s="980"/>
      <c r="D102" s="980" t="s">
        <v>424</v>
      </c>
      <c r="E102" s="383" t="s">
        <v>433</v>
      </c>
      <c r="F102" s="384"/>
      <c r="G102" s="384"/>
      <c r="H102" s="405"/>
      <c r="I102" s="11"/>
      <c r="J102" s="1912"/>
      <c r="K102" s="1912"/>
      <c r="L102" s="1912"/>
      <c r="M102" s="1912"/>
      <c r="N102" s="1912"/>
      <c r="O102" s="1912"/>
      <c r="P102" s="1912"/>
      <c r="Q102" s="1912"/>
      <c r="R102" s="1912"/>
      <c r="S102" s="1912"/>
      <c r="T102" s="1912"/>
      <c r="U102" s="1912"/>
      <c r="V102" s="1912"/>
      <c r="W102" s="1916"/>
      <c r="X102" s="1916"/>
      <c r="Y102" s="1916"/>
      <c r="Z102" s="1916"/>
    </row>
    <row r="103" spans="1:26" s="1266" customFormat="1" ht="14.25">
      <c r="A103" s="373" t="s">
        <v>1813</v>
      </c>
      <c r="B103" s="374" t="s">
        <v>434</v>
      </c>
      <c r="C103" s="377">
        <f ca="1">ROUND(D63/(1+'数据-取费表'!C42),0)</f>
        <v>41225</v>
      </c>
      <c r="D103" s="370" t="s">
        <v>19</v>
      </c>
      <c r="E103" s="977"/>
      <c r="F103" s="976"/>
      <c r="G103" s="976"/>
      <c r="H103" s="406"/>
      <c r="I103" s="11"/>
      <c r="J103" s="1912"/>
      <c r="K103" s="1912"/>
      <c r="L103" s="1912"/>
      <c r="M103" s="1912"/>
      <c r="N103" s="1912"/>
      <c r="O103" s="1912"/>
      <c r="P103" s="1912"/>
      <c r="Q103" s="1912"/>
      <c r="R103" s="1912"/>
      <c r="S103" s="1912"/>
      <c r="T103" s="1912"/>
      <c r="U103" s="1912"/>
      <c r="V103" s="1912"/>
      <c r="W103" s="1916"/>
      <c r="X103" s="1916"/>
      <c r="Y103" s="1916"/>
      <c r="Z103" s="1916"/>
    </row>
    <row r="104" spans="1:26" s="1266" customFormat="1" ht="14.25">
      <c r="A104" s="373" t="s">
        <v>1819</v>
      </c>
      <c r="B104" s="344" t="s">
        <v>435</v>
      </c>
      <c r="C104" s="377">
        <f ca="1">IF(H106="仅含出让金",C105+C108+C109+C110+C111+C112,C105+C109+C110+C111+C112)</f>
        <v>247</v>
      </c>
      <c r="D104" s="407"/>
      <c r="E104" s="977"/>
      <c r="F104" s="976"/>
      <c r="G104" s="976"/>
      <c r="H104" s="406"/>
      <c r="I104" s="11"/>
      <c r="J104" s="1912"/>
      <c r="K104" s="1912"/>
      <c r="L104" s="1912"/>
      <c r="M104" s="1912"/>
      <c r="N104" s="1912"/>
      <c r="O104" s="1912"/>
      <c r="P104" s="1912"/>
      <c r="Q104" s="1912"/>
      <c r="R104" s="1912"/>
      <c r="S104" s="1912"/>
      <c r="T104" s="1912"/>
      <c r="U104" s="1912"/>
      <c r="V104" s="1912"/>
      <c r="W104" s="1916"/>
      <c r="X104" s="1916"/>
      <c r="Y104" s="1916"/>
      <c r="Z104" s="1916"/>
    </row>
    <row r="105" spans="1:26" s="1266" customFormat="1" ht="14.25">
      <c r="A105" s="387" t="s">
        <v>1820</v>
      </c>
      <c r="B105" s="368" t="s">
        <v>449</v>
      </c>
      <c r="C105" s="397">
        <f>C106+C107</f>
        <v>0</v>
      </c>
      <c r="D105" s="398"/>
      <c r="E105" s="971"/>
      <c r="F105" s="972"/>
      <c r="G105" s="972"/>
      <c r="H105" s="973"/>
      <c r="I105" s="11"/>
      <c r="J105" s="1912"/>
      <c r="K105" s="1912"/>
      <c r="L105" s="1912"/>
      <c r="M105" s="1912"/>
      <c r="N105" s="1912"/>
      <c r="O105" s="1912"/>
      <c r="P105" s="1912"/>
      <c r="Q105" s="1912"/>
      <c r="R105" s="1912"/>
      <c r="S105" s="1912"/>
      <c r="T105" s="1912"/>
      <c r="U105" s="1912"/>
      <c r="V105" s="1912"/>
      <c r="W105" s="1916"/>
      <c r="X105" s="1916"/>
      <c r="Y105" s="1916"/>
      <c r="Z105" s="1916"/>
    </row>
    <row r="106" spans="1:26" s="1266" customFormat="1" ht="14.25">
      <c r="A106" s="387" t="s">
        <v>1821</v>
      </c>
      <c r="B106" s="368" t="s">
        <v>450</v>
      </c>
      <c r="C106" s="408"/>
      <c r="D106" s="398"/>
      <c r="E106" s="409" t="s">
        <v>451</v>
      </c>
      <c r="F106" s="972"/>
      <c r="G106" s="410" t="s">
        <v>452</v>
      </c>
      <c r="H106" s="411"/>
      <c r="I106" s="11"/>
      <c r="J106" s="1912"/>
      <c r="K106" s="3237" t="s">
        <v>2984</v>
      </c>
      <c r="L106" s="1912"/>
      <c r="M106" s="1912"/>
      <c r="N106" s="1912"/>
      <c r="O106" s="1912"/>
      <c r="P106" s="1912"/>
      <c r="Q106" s="1912"/>
      <c r="R106" s="1912"/>
      <c r="S106" s="1912"/>
      <c r="T106" s="1912"/>
      <c r="U106" s="1912"/>
      <c r="V106" s="1912"/>
      <c r="W106" s="1916"/>
      <c r="X106" s="1916"/>
      <c r="Y106" s="1916"/>
      <c r="Z106" s="1916"/>
    </row>
    <row r="107" spans="1:26" s="1266" customFormat="1" ht="14.25">
      <c r="A107" s="387" t="s">
        <v>1822</v>
      </c>
      <c r="B107" s="368" t="s">
        <v>442</v>
      </c>
      <c r="C107" s="397">
        <f>ROUND(C106*D107,0)</f>
        <v>0</v>
      </c>
      <c r="D107" s="398">
        <f>'数据-取费表'!B48+'数据-取费表'!B49</f>
        <v>3.0499999999999999E-2</v>
      </c>
      <c r="E107" s="409" t="s">
        <v>453</v>
      </c>
      <c r="F107" s="972"/>
      <c r="G107" s="972"/>
      <c r="H107" s="973"/>
      <c r="I107" s="11"/>
      <c r="J107" s="1912"/>
      <c r="K107" s="1912"/>
      <c r="L107" s="1912"/>
      <c r="M107" s="1912"/>
      <c r="N107" s="1912"/>
      <c r="O107" s="1912"/>
      <c r="P107" s="1912"/>
      <c r="Q107" s="1912"/>
      <c r="R107" s="1912"/>
      <c r="S107" s="1912"/>
      <c r="T107" s="1912"/>
      <c r="U107" s="1912"/>
      <c r="V107" s="1912"/>
      <c r="W107" s="1916"/>
      <c r="X107" s="1916"/>
      <c r="Y107" s="1916"/>
      <c r="Z107" s="1916"/>
    </row>
    <row r="108" spans="1:26" s="1266" customFormat="1" ht="14.25">
      <c r="A108" s="387" t="s">
        <v>1824</v>
      </c>
      <c r="B108" s="368" t="s">
        <v>454</v>
      </c>
      <c r="C108" s="408"/>
      <c r="D108" s="398"/>
      <c r="E108" s="409" t="str">
        <f>IF(H106="-","土地取得成本中已包含该笔费用"," ")</f>
        <v xml:space="preserve"> </v>
      </c>
      <c r="F108" s="972"/>
      <c r="G108" s="3644" t="s">
        <v>2955</v>
      </c>
      <c r="H108" s="3645"/>
      <c r="I108" s="2853"/>
      <c r="J108" s="1912"/>
      <c r="K108" s="3237" t="s">
        <v>2985</v>
      </c>
      <c r="L108" s="1912"/>
      <c r="M108" s="1912"/>
      <c r="N108" s="1912"/>
      <c r="O108" s="1912"/>
      <c r="P108" s="1912"/>
      <c r="Q108" s="1912"/>
      <c r="R108" s="1912"/>
      <c r="S108" s="1912"/>
      <c r="T108" s="1912"/>
      <c r="U108" s="1912"/>
      <c r="V108" s="1912"/>
      <c r="W108" s="1916"/>
      <c r="X108" s="1916"/>
      <c r="Y108" s="1916"/>
      <c r="Z108" s="1916"/>
    </row>
    <row r="109" spans="1:26" s="1266" customFormat="1" ht="24" customHeight="1">
      <c r="A109" s="1544" t="s">
        <v>1828</v>
      </c>
      <c r="B109" s="368" t="s">
        <v>455</v>
      </c>
      <c r="C109" s="397">
        <f>IF(H109="——",IF(F1="现房",'剩余法-现房'!C18,0),I109)</f>
        <v>0</v>
      </c>
      <c r="D109" s="398"/>
      <c r="E109" s="3687" t="s">
        <v>456</v>
      </c>
      <c r="F109" s="3685"/>
      <c r="G109" s="3685"/>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6" customFormat="1" ht="25.5" customHeight="1">
      <c r="A110" s="1544" t="s">
        <v>1829</v>
      </c>
      <c r="B110" s="368" t="s">
        <v>457</v>
      </c>
      <c r="C110" s="397">
        <f>ROUND((C105+C108+C109)*D110,0)</f>
        <v>0</v>
      </c>
      <c r="D110" s="3268">
        <v>0</v>
      </c>
      <c r="E110" s="3687" t="s">
        <v>458</v>
      </c>
      <c r="F110" s="3685"/>
      <c r="G110" s="3685"/>
      <c r="H110" s="3686"/>
      <c r="I110" s="11"/>
      <c r="J110" s="1912"/>
      <c r="K110" s="3238" t="s">
        <v>2986</v>
      </c>
      <c r="L110" s="1912"/>
      <c r="M110" s="1912"/>
      <c r="N110" s="1912"/>
      <c r="O110" s="1912"/>
      <c r="P110" s="1912"/>
      <c r="Q110" s="1912"/>
      <c r="R110" s="1912"/>
      <c r="S110" s="1912"/>
      <c r="T110" s="1912"/>
      <c r="U110" s="1912"/>
      <c r="V110" s="1912"/>
      <c r="W110" s="1916"/>
      <c r="X110" s="1916"/>
      <c r="Y110" s="1916"/>
      <c r="Z110" s="1916"/>
    </row>
    <row r="111" spans="1:26" s="1266" customFormat="1" ht="25.5" customHeight="1">
      <c r="A111" s="1544" t="s">
        <v>1830</v>
      </c>
      <c r="B111" s="368" t="s">
        <v>444</v>
      </c>
      <c r="C111" s="397">
        <f ca="1">ROUND(D63*D111/(1+'数据-取费表'!C42),0)</f>
        <v>247</v>
      </c>
      <c r="D111" s="398">
        <f>'数据-取费表'!B43</f>
        <v>6.000000000000001E-3</v>
      </c>
      <c r="E111" s="3684" t="s">
        <v>2412</v>
      </c>
      <c r="F111" s="3685"/>
      <c r="G111" s="3685"/>
      <c r="H111" s="3686"/>
      <c r="I111" s="11"/>
      <c r="J111" s="1912"/>
      <c r="K111" s="1912"/>
      <c r="L111" s="1912"/>
      <c r="M111" s="1912"/>
      <c r="N111" s="1912"/>
      <c r="O111" s="1912"/>
      <c r="P111" s="1912"/>
      <c r="Q111" s="1912"/>
      <c r="R111" s="1912"/>
      <c r="S111" s="1912"/>
      <c r="T111" s="1912"/>
      <c r="U111" s="1912"/>
      <c r="V111" s="1912"/>
      <c r="W111" s="1916"/>
      <c r="X111" s="1916"/>
      <c r="Y111" s="1916"/>
      <c r="Z111" s="1916"/>
    </row>
    <row r="112" spans="1:26" s="1266" customFormat="1" ht="25.5" customHeight="1">
      <c r="A112" s="1544" t="s">
        <v>1831</v>
      </c>
      <c r="B112" s="368" t="s">
        <v>459</v>
      </c>
      <c r="C112" s="397">
        <f>ROUND(C108*D112,0)</f>
        <v>0</v>
      </c>
      <c r="D112" s="398">
        <v>0.2</v>
      </c>
      <c r="E112" s="3687" t="s">
        <v>2435</v>
      </c>
      <c r="F112" s="3685"/>
      <c r="G112" s="3685"/>
      <c r="H112" s="3686"/>
      <c r="I112" s="11"/>
      <c r="J112" s="1912"/>
      <c r="K112" s="1912"/>
      <c r="L112" s="1912"/>
      <c r="M112" s="1912"/>
      <c r="N112" s="1912"/>
      <c r="O112" s="1912"/>
      <c r="P112" s="1912"/>
      <c r="Q112" s="1912"/>
      <c r="R112" s="1912"/>
      <c r="S112" s="1912"/>
      <c r="T112" s="1912"/>
      <c r="U112" s="1912"/>
      <c r="V112" s="1912"/>
      <c r="W112" s="1916"/>
      <c r="X112" s="1916"/>
      <c r="Y112" s="1916"/>
      <c r="Z112" s="1916"/>
    </row>
    <row r="113" spans="1:26" s="1266" customFormat="1" ht="14.25">
      <c r="A113" s="1542" t="s">
        <v>1825</v>
      </c>
      <c r="B113" s="374" t="s">
        <v>445</v>
      </c>
      <c r="C113" s="377">
        <f ca="1">ROUND(C103-C104,0)</f>
        <v>40978</v>
      </c>
      <c r="D113" s="370" t="s">
        <v>19</v>
      </c>
      <c r="E113" s="977"/>
      <c r="F113" s="976"/>
      <c r="G113" s="976"/>
      <c r="H113" s="406"/>
      <c r="I113" s="11"/>
      <c r="J113" s="1912"/>
      <c r="K113" s="1912"/>
      <c r="L113" s="1912"/>
      <c r="M113" s="1912"/>
      <c r="N113" s="1912"/>
      <c r="O113" s="1912"/>
      <c r="P113" s="1912"/>
      <c r="Q113" s="1912"/>
      <c r="R113" s="1912"/>
      <c r="S113" s="1912"/>
      <c r="T113" s="1912"/>
      <c r="U113" s="1912"/>
      <c r="V113" s="1912"/>
      <c r="W113" s="1916"/>
      <c r="X113" s="1916"/>
      <c r="Y113" s="1916"/>
      <c r="Z113" s="1916"/>
    </row>
    <row r="114" spans="1:26" s="1266" customFormat="1" ht="24">
      <c r="A114" s="1542" t="s">
        <v>1826</v>
      </c>
      <c r="B114" s="374" t="s">
        <v>446</v>
      </c>
      <c r="C114" s="399">
        <f ca="1">IF(C113&lt;=0,0,C113/C104)</f>
        <v>165.90283400809716</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2"/>
      <c r="K114" s="1912"/>
      <c r="L114" s="1912"/>
      <c r="M114" s="1912"/>
      <c r="N114" s="1912"/>
      <c r="O114" s="1912"/>
      <c r="P114" s="1912"/>
      <c r="Q114" s="1912"/>
      <c r="R114" s="1912"/>
      <c r="S114" s="1912"/>
      <c r="T114" s="1912"/>
      <c r="U114" s="1912"/>
      <c r="V114" s="1912"/>
      <c r="W114" s="1916"/>
      <c r="X114" s="1916"/>
      <c r="Y114" s="1916"/>
      <c r="Z114" s="1916"/>
    </row>
    <row r="115" spans="1:26" s="1266" customFormat="1" ht="24.75" thickBot="1">
      <c r="A115" s="1543" t="s">
        <v>1827</v>
      </c>
      <c r="B115" s="379" t="s">
        <v>447</v>
      </c>
      <c r="C115" s="400">
        <f ca="1">ROUND(IF(C113&lt;=0,0,IF(C114&gt;=200%,C113*60%-C104*35%,IF(C114&gt;=100%,C113*50%-C104*15%,IF(C114&gt;=50%,C113*40%-C104*5%,IF(C114&lt;50%,C113*30%,0))))),0)</f>
        <v>24500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53" priority="21" stopIfTrue="1" operator="equal">
      <formula>25</formula>
    </cfRule>
  </conditionalFormatting>
  <conditionalFormatting sqref="C8:C9">
    <cfRule type="cellIs" dxfId="252" priority="19" stopIfTrue="1" operator="equal">
      <formula>15</formula>
    </cfRule>
  </conditionalFormatting>
  <conditionalFormatting sqref="C14:C16">
    <cfRule type="cellIs" dxfId="251" priority="13" stopIfTrue="1" operator="equal">
      <formula>30</formula>
    </cfRule>
  </conditionalFormatting>
  <conditionalFormatting sqref="D5:D7">
    <cfRule type="cellIs" dxfId="250" priority="10" stopIfTrue="1" operator="equal">
      <formula>25</formula>
    </cfRule>
  </conditionalFormatting>
  <conditionalFormatting sqref="D8:D9">
    <cfRule type="cellIs" dxfId="249" priority="9" stopIfTrue="1" operator="equal">
      <formula>15</formula>
    </cfRule>
  </conditionalFormatting>
  <conditionalFormatting sqref="C10:D13">
    <cfRule type="cellIs" dxfId="248" priority="8" stopIfTrue="1" operator="equal">
      <formula>15</formula>
    </cfRule>
  </conditionalFormatting>
  <conditionalFormatting sqref="D14:D16">
    <cfRule type="cellIs" dxfId="247" priority="6" stopIfTrue="1" operator="equal">
      <formula>30</formula>
    </cfRule>
  </conditionalFormatting>
  <conditionalFormatting sqref="C108">
    <cfRule type="expression" dxfId="246" priority="3" stopIfTrue="1">
      <formula>$H$106&lt;&gt;"仅含出让金"</formula>
    </cfRule>
  </conditionalFormatting>
  <conditionalFormatting sqref="C109">
    <cfRule type="expression" dxfId="245" priority="2" stopIfTrue="1">
      <formula>$H$109="由企业提供"</formula>
    </cfRule>
  </conditionalFormatting>
  <conditionalFormatting sqref="I33">
    <cfRule type="expression" dxfId="24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875" style="1580" customWidth="1"/>
    <col min="3" max="4" width="11.625" style="1580" customWidth="1"/>
    <col min="5" max="5" width="6.625" style="1580" customWidth="1"/>
    <col min="6" max="16384" width="9" style="1580"/>
  </cols>
  <sheetData>
    <row r="36" spans="1:9">
      <c r="A36" s="1579" t="s">
        <v>1891</v>
      </c>
      <c r="B36" s="1579" t="s">
        <v>1892</v>
      </c>
    </row>
    <row r="37" spans="1:9" ht="28.5" customHeight="1">
      <c r="A37" s="1579"/>
      <c r="B37" s="3504" t="str">
        <f>项目基本情况!B1</f>
        <v>北京市出让国有建设用地使用权市场价格预评估</v>
      </c>
      <c r="C37" s="3504"/>
      <c r="D37" s="3504"/>
      <c r="E37" s="3504"/>
      <c r="F37" s="3504"/>
      <c r="G37" s="3504"/>
      <c r="H37" s="3504"/>
      <c r="I37" s="3504"/>
    </row>
    <row r="38" spans="1:9">
      <c r="A38" s="1581"/>
      <c r="B38" s="1581"/>
    </row>
    <row r="39" spans="1:9">
      <c r="A39" s="1579" t="s">
        <v>1891</v>
      </c>
      <c r="B39" s="1579" t="s">
        <v>2034</v>
      </c>
    </row>
    <row r="40" spans="1:9">
      <c r="A40" s="1579"/>
      <c r="B40" s="1579">
        <f>项目基本情况!B5</f>
        <v>0</v>
      </c>
    </row>
    <row r="41" spans="1:9">
      <c r="A41" s="1579"/>
      <c r="B41" s="1579"/>
    </row>
    <row r="42" spans="1:9">
      <c r="A42" s="1579" t="s">
        <v>1891</v>
      </c>
      <c r="B42" s="1579" t="s">
        <v>2035</v>
      </c>
    </row>
    <row r="43" spans="1:9">
      <c r="A43" s="1579"/>
      <c r="B43" s="1579" t="s">
        <v>1893</v>
      </c>
    </row>
    <row r="44" spans="1:9">
      <c r="A44" s="1579"/>
      <c r="B44" s="1579"/>
    </row>
    <row r="45" spans="1:9">
      <c r="A45" s="1579" t="s">
        <v>1891</v>
      </c>
      <c r="B45" s="1579" t="s">
        <v>2033</v>
      </c>
    </row>
    <row r="46" spans="1:9" s="1579" customFormat="1" ht="12.75">
      <c r="B46" s="1579" t="str">
        <f>项目基本情况!K4</f>
        <v>土地估价师、土地估价师</v>
      </c>
    </row>
    <row r="47" spans="1:9">
      <c r="A47" s="1579"/>
      <c r="B47" s="1579"/>
    </row>
    <row r="48" spans="1:9">
      <c r="A48" s="1579" t="s">
        <v>1891</v>
      </c>
      <c r="B48" s="1579" t="s">
        <v>2036</v>
      </c>
    </row>
    <row r="49" spans="2:2">
      <c r="B49" s="15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225"/>
  <sheetViews>
    <sheetView view="pageBreakPreview" topLeftCell="A4" zoomScale="90" zoomScaleNormal="80" zoomScaleSheetLayoutView="90" workbookViewId="0">
      <selection activeCell="C10" sqref="C10"/>
    </sheetView>
  </sheetViews>
  <sheetFormatPr defaultColWidth="6.625" defaultRowHeight="12.75"/>
  <cols>
    <col min="1" max="1" width="10.125" style="2002" customWidth="1"/>
    <col min="2" max="2" width="25.8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3" t="s">
        <v>460</v>
      </c>
      <c r="B1" s="2522"/>
      <c r="C1" s="1982"/>
      <c r="D1" s="1982"/>
      <c r="E1" s="1982"/>
      <c r="F1" s="1982"/>
      <c r="G1" s="1982"/>
      <c r="H1" s="1982"/>
      <c r="I1" s="1982"/>
      <c r="J1" s="1982"/>
      <c r="K1" s="414" t="e">
        <f>MATCH(B1,'数据-取费表'!A6:A16,0)+5</f>
        <v>#N/A</v>
      </c>
      <c r="L1" s="288"/>
      <c r="M1" s="288"/>
      <c r="N1" s="288"/>
      <c r="O1" s="288"/>
      <c r="P1" s="288"/>
      <c r="Q1" s="288"/>
      <c r="R1" s="288"/>
      <c r="S1" s="288"/>
      <c r="T1" s="288"/>
      <c r="U1" s="288"/>
      <c r="V1" s="288"/>
      <c r="W1" s="288"/>
      <c r="X1" s="288"/>
      <c r="Y1" s="288"/>
      <c r="Z1" s="288"/>
    </row>
    <row r="2" spans="1:41" s="1920" customFormat="1" ht="18" customHeight="1">
      <c r="A2" s="415" t="s">
        <v>461</v>
      </c>
      <c r="B2" s="416">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8" t="s">
        <v>1674</v>
      </c>
      <c r="B3" s="417">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8" t="s">
        <v>462</v>
      </c>
      <c r="B4" s="419">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1"/>
      <c r="B5" s="422">
        <f ca="1">ROUND(B2/(IF(B1="",'数据-汇总表'!D3,INDIRECT("'数据-取费表'!R"&amp;$K$1))/666.67),0)</f>
        <v>0</v>
      </c>
      <c r="C5" s="423" t="s">
        <v>463</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4" t="s">
        <v>2631</v>
      </c>
      <c r="B6" s="425"/>
      <c r="C6" s="1548">
        <f>SUM(C10:K10)</f>
        <v>0</v>
      </c>
      <c r="D6" s="1987"/>
      <c r="E6" s="1987"/>
      <c r="F6" s="1987"/>
      <c r="G6" s="1987"/>
      <c r="H6" s="1987"/>
      <c r="I6" s="1987"/>
      <c r="J6" s="1987"/>
      <c r="K6" s="1988"/>
      <c r="L6" s="3190"/>
      <c r="M6" s="3190"/>
      <c r="N6" s="3190"/>
      <c r="O6" s="3190"/>
      <c r="P6" s="3190"/>
      <c r="Q6" s="3190"/>
      <c r="R6" s="3190"/>
      <c r="S6" s="3190"/>
      <c r="T6" s="3190"/>
      <c r="U6" s="3190"/>
      <c r="V6" s="3190"/>
      <c r="W6" s="3190"/>
      <c r="X6" s="3190"/>
      <c r="Y6" s="3190"/>
      <c r="Z6" s="3190"/>
    </row>
    <row r="7" spans="1:41" s="1991" customFormat="1" ht="15">
      <c r="A7" s="426" t="s">
        <v>464</v>
      </c>
      <c r="B7" s="427" t="s">
        <v>465</v>
      </c>
      <c r="C7" s="428" t="s">
        <v>3006</v>
      </c>
      <c r="D7" s="428"/>
      <c r="E7" s="428"/>
      <c r="F7" s="428"/>
      <c r="G7" s="428"/>
      <c r="H7" s="428"/>
      <c r="I7" s="428"/>
      <c r="J7" s="428"/>
      <c r="K7" s="429"/>
      <c r="AA7" s="1990"/>
      <c r="AB7" s="1990"/>
      <c r="AC7" s="1990"/>
      <c r="AD7" s="1990"/>
      <c r="AE7" s="1990"/>
      <c r="AF7" s="1990"/>
      <c r="AG7" s="1990"/>
      <c r="AH7" s="1990"/>
      <c r="AI7" s="1990"/>
      <c r="AJ7" s="1990"/>
      <c r="AK7" s="1990"/>
      <c r="AL7" s="1990"/>
      <c r="AM7" s="1990"/>
      <c r="AN7" s="1990"/>
      <c r="AO7" s="1990"/>
    </row>
    <row r="8" spans="1:41" s="1993" customFormat="1" ht="13.5" customHeight="1">
      <c r="A8" s="1556" t="s">
        <v>1835</v>
      </c>
      <c r="B8" s="430" t="s">
        <v>466</v>
      </c>
      <c r="C8" s="431"/>
      <c r="D8" s="431"/>
      <c r="E8" s="431"/>
      <c r="F8" s="431"/>
      <c r="G8" s="431"/>
      <c r="H8" s="431"/>
      <c r="I8" s="431"/>
      <c r="J8" s="431"/>
      <c r="K8" s="432"/>
      <c r="AA8" s="1992"/>
      <c r="AB8" s="1992"/>
      <c r="AC8" s="1992"/>
      <c r="AD8" s="1992"/>
      <c r="AE8" s="1992"/>
      <c r="AF8" s="1992"/>
      <c r="AG8" s="1992"/>
      <c r="AH8" s="1992"/>
      <c r="AI8" s="1992"/>
      <c r="AJ8" s="1992"/>
      <c r="AK8" s="1992"/>
      <c r="AL8" s="1992"/>
      <c r="AM8" s="1992"/>
      <c r="AN8" s="1992"/>
      <c r="AO8" s="1992"/>
    </row>
    <row r="9" spans="1:41" s="1993" customFormat="1" ht="13.5" customHeight="1">
      <c r="A9" s="1556" t="s">
        <v>1836</v>
      </c>
      <c r="B9" s="430" t="s">
        <v>467</v>
      </c>
      <c r="C9" s="433">
        <f>SUMIF('数据-汇总表'!$C19:$C33,'剩余法-现房'!C7,'数据-汇总表'!$E19:$E33)</f>
        <v>6455.06</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7" t="s">
        <v>1837</v>
      </c>
      <c r="B10" s="1549" t="s">
        <v>468</v>
      </c>
      <c r="C10" s="1550"/>
      <c r="D10" s="1550"/>
      <c r="E10" s="1550"/>
      <c r="F10" s="1551"/>
      <c r="G10" s="1551"/>
      <c r="H10" s="1551"/>
      <c r="I10" s="1551"/>
      <c r="J10" s="1551"/>
      <c r="K10" s="1552"/>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5" t="s">
        <v>1854</v>
      </c>
      <c r="B11" s="1546"/>
      <c r="C11" s="1546"/>
      <c r="D11" s="1546"/>
      <c r="E11" s="1546"/>
      <c r="F11" s="1546"/>
      <c r="G11" s="1546"/>
      <c r="H11" s="1546"/>
      <c r="I11" s="1546"/>
      <c r="J11" s="1546"/>
      <c r="K11" s="1547"/>
      <c r="L11" s="3190"/>
      <c r="M11" s="3190"/>
      <c r="N11" s="3190"/>
      <c r="O11" s="3190"/>
      <c r="P11" s="3190"/>
      <c r="Q11" s="3190"/>
      <c r="R11" s="3190"/>
      <c r="S11" s="3190"/>
      <c r="T11" s="3190"/>
      <c r="U11" s="3190"/>
      <c r="V11" s="3190"/>
      <c r="W11" s="3190"/>
      <c r="X11" s="3190"/>
      <c r="Y11" s="3190"/>
      <c r="Z11" s="3190"/>
    </row>
    <row r="12" spans="1:41" s="1963" customFormat="1" ht="13.5" customHeight="1">
      <c r="A12" s="426" t="s">
        <v>464</v>
      </c>
      <c r="B12" s="436" t="s">
        <v>465</v>
      </c>
      <c r="C12" s="437" t="s">
        <v>469</v>
      </c>
      <c r="D12" s="438" t="s">
        <v>470</v>
      </c>
      <c r="E12" s="438" t="s">
        <v>471</v>
      </c>
      <c r="F12" s="438" t="s">
        <v>472</v>
      </c>
      <c r="G12" s="436"/>
      <c r="H12" s="439"/>
      <c r="I12" s="439"/>
      <c r="J12" s="439"/>
      <c r="K12" s="440"/>
      <c r="L12" s="3191"/>
      <c r="M12" s="3191"/>
      <c r="N12" s="3191"/>
      <c r="O12" s="3191"/>
      <c r="P12" s="3191"/>
      <c r="Q12" s="3191"/>
      <c r="R12" s="3191"/>
      <c r="S12" s="3191"/>
      <c r="T12" s="3191"/>
      <c r="U12" s="3191"/>
      <c r="V12" s="3191"/>
      <c r="W12" s="3191"/>
      <c r="X12" s="3191"/>
      <c r="Y12" s="3191"/>
      <c r="Z12" s="3191"/>
    </row>
    <row r="13" spans="1:41" s="1994" customFormat="1" ht="13.5" customHeight="1">
      <c r="A13" s="1558" t="s">
        <v>1838</v>
      </c>
      <c r="B13" s="441" t="s">
        <v>473</v>
      </c>
      <c r="C13" s="442">
        <f ca="1">IF(B1="",'数据-取费表'!M16,INDIRECT("'数据-取费表'!M"&amp;$K$1)+INDIRECT("'数据-取费表'!t"&amp;$K$1))</f>
        <v>31007</v>
      </c>
      <c r="D13" s="443"/>
      <c r="E13" s="361"/>
      <c r="F13" s="444"/>
      <c r="G13" s="436"/>
      <c r="H13" s="439"/>
      <c r="I13" s="439"/>
      <c r="J13" s="439"/>
      <c r="K13" s="440"/>
      <c r="L13" s="1995"/>
      <c r="M13" s="1995"/>
      <c r="N13" s="1995"/>
      <c r="O13" s="1995"/>
      <c r="P13" s="1995"/>
      <c r="Q13" s="1995"/>
      <c r="R13" s="1995"/>
      <c r="S13" s="1995"/>
      <c r="T13" s="1995"/>
      <c r="U13" s="1995"/>
      <c r="V13" s="1995"/>
      <c r="W13" s="1995"/>
      <c r="X13" s="1995"/>
      <c r="Y13" s="1995"/>
      <c r="Z13" s="1995"/>
    </row>
    <row r="14" spans="1:41" s="1994" customFormat="1" ht="13.5" customHeight="1">
      <c r="A14" s="1558" t="s">
        <v>1839</v>
      </c>
      <c r="B14" s="441" t="s">
        <v>474</v>
      </c>
      <c r="C14" s="53">
        <f ca="1">ROUND(C13*F14,0)</f>
        <v>930</v>
      </c>
      <c r="D14" s="443"/>
      <c r="E14" s="361"/>
      <c r="F14" s="445">
        <f>'数据-取费表'!B33</f>
        <v>0.03</v>
      </c>
      <c r="G14" s="436" t="s">
        <v>496</v>
      </c>
      <c r="H14" s="439"/>
      <c r="I14" s="439"/>
      <c r="J14" s="439"/>
      <c r="K14" s="440"/>
      <c r="L14" s="1995"/>
      <c r="M14" s="1995"/>
      <c r="N14" s="1995"/>
      <c r="O14" s="1995"/>
      <c r="P14" s="1995"/>
      <c r="Q14" s="1995"/>
      <c r="R14" s="1995"/>
      <c r="S14" s="1995"/>
      <c r="T14" s="1995"/>
      <c r="U14" s="1995"/>
      <c r="V14" s="1995"/>
      <c r="W14" s="1995"/>
      <c r="X14" s="1995"/>
      <c r="Y14" s="1995"/>
      <c r="Z14" s="1995"/>
    </row>
    <row r="15" spans="1:41" s="1994" customFormat="1" ht="13.5" customHeight="1">
      <c r="A15" s="1558" t="s">
        <v>1840</v>
      </c>
      <c r="B15" s="441" t="s">
        <v>476</v>
      </c>
      <c r="C15" s="53">
        <f ca="1">ROUND(IF(B1="",SUMIF('数据-取费表'!C:C,"住宅",'数据-取费表'!M:M)*F15,IF(INDIRECT("'数据-取费表'!c"&amp;$K$1)="住宅",INDIRECT("'数据-取费表'!M"&amp;$K$1)*F15,0)),0)</f>
        <v>2271</v>
      </c>
      <c r="D15" s="443"/>
      <c r="E15" s="361"/>
      <c r="F15" s="445">
        <f>'数据-取费表'!B34</f>
        <v>0.08</v>
      </c>
      <c r="G15" s="436" t="s">
        <v>496</v>
      </c>
      <c r="H15" s="439"/>
      <c r="I15" s="439"/>
      <c r="J15" s="439"/>
      <c r="K15" s="440"/>
      <c r="L15" s="1995"/>
      <c r="M15" s="1995"/>
      <c r="N15" s="1995"/>
      <c r="O15" s="1995"/>
      <c r="P15" s="1995"/>
      <c r="Q15" s="1995"/>
      <c r="R15" s="1995"/>
      <c r="S15" s="1995"/>
      <c r="T15" s="1995"/>
      <c r="U15" s="1995"/>
      <c r="V15" s="1995"/>
      <c r="W15" s="1995"/>
      <c r="X15" s="1995"/>
      <c r="Y15" s="1995"/>
      <c r="Z15" s="1995"/>
    </row>
    <row r="16" spans="1:41" s="1995" customFormat="1" ht="13.5" customHeight="1">
      <c r="A16" s="1558" t="s">
        <v>1841</v>
      </c>
      <c r="B16" s="441" t="s">
        <v>478</v>
      </c>
      <c r="C16" s="53">
        <f ca="1">ROUND(D16*E16/10000,0)</f>
        <v>2431</v>
      </c>
      <c r="D16" s="443">
        <f ca="1">IF(B1="",'数据-汇总表'!E3,INDIRECT("'数据-取费表'!K"&amp;$K$1)+INDIRECT("'数据-取费表'!S"&amp;$K$1))</f>
        <v>121547.97</v>
      </c>
      <c r="E16" s="53">
        <f>'数据-取费表'!B35</f>
        <v>200</v>
      </c>
      <c r="F16" s="445"/>
      <c r="G16" s="436"/>
      <c r="H16" s="439"/>
      <c r="I16" s="439"/>
      <c r="J16" s="439"/>
      <c r="K16" s="440"/>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8" t="s">
        <v>1842</v>
      </c>
      <c r="B17" s="441" t="s">
        <v>479</v>
      </c>
      <c r="C17" s="446">
        <f ca="1">ROUND(C13*F17,0)</f>
        <v>465</v>
      </c>
      <c r="D17" s="447"/>
      <c r="E17" s="446"/>
      <c r="F17" s="448">
        <f>'数据-取费表'!B36</f>
        <v>1.4999999999999999E-2</v>
      </c>
      <c r="G17" s="436" t="s">
        <v>496</v>
      </c>
      <c r="H17" s="449"/>
      <c r="I17" s="449"/>
      <c r="J17" s="449"/>
      <c r="K17" s="450"/>
      <c r="L17" s="1995"/>
      <c r="M17" s="1995"/>
      <c r="N17" s="1995"/>
      <c r="O17" s="1995"/>
      <c r="P17" s="1995"/>
      <c r="Q17" s="1995"/>
      <c r="R17" s="1995"/>
      <c r="S17" s="1995"/>
      <c r="T17" s="1995"/>
      <c r="U17" s="1995"/>
      <c r="V17" s="1995"/>
      <c r="W17" s="1995"/>
      <c r="X17" s="1995"/>
      <c r="Y17" s="1995"/>
      <c r="Z17" s="1995"/>
    </row>
    <row r="18" spans="1:26" s="1997" customFormat="1" ht="13.5" customHeight="1">
      <c r="A18" s="1559" t="s">
        <v>1843</v>
      </c>
      <c r="B18" s="451" t="s">
        <v>481</v>
      </c>
      <c r="C18" s="452">
        <f ca="1">SUM(C13:C17)</f>
        <v>37104</v>
      </c>
      <c r="D18" s="453"/>
      <c r="E18" s="454"/>
      <c r="F18" s="454"/>
      <c r="G18" s="1279" t="s">
        <v>2415</v>
      </c>
      <c r="H18" s="439"/>
      <c r="I18" s="439"/>
      <c r="J18" s="439"/>
      <c r="K18" s="440"/>
      <c r="L18" s="3193"/>
      <c r="M18" s="3193"/>
      <c r="N18" s="3193"/>
      <c r="O18" s="3193"/>
      <c r="P18" s="3193"/>
      <c r="Q18" s="3193"/>
      <c r="R18" s="3193"/>
      <c r="S18" s="3193"/>
      <c r="T18" s="3193"/>
      <c r="U18" s="3193"/>
      <c r="V18" s="3193"/>
      <c r="W18" s="3193"/>
      <c r="X18" s="3193"/>
      <c r="Y18" s="3193"/>
      <c r="Z18" s="3193"/>
    </row>
    <row r="19" spans="1:26" s="1997" customFormat="1" ht="13.5" customHeight="1">
      <c r="A19" s="1559" t="s">
        <v>1844</v>
      </c>
      <c r="B19" s="451" t="s">
        <v>487</v>
      </c>
      <c r="C19" s="452">
        <f ca="1">ROUND(C18*F19,0)</f>
        <v>371</v>
      </c>
      <c r="D19" s="454"/>
      <c r="E19" s="454"/>
      <c r="F19" s="458">
        <f>'数据-取费表'!B37</f>
        <v>0.01</v>
      </c>
      <c r="G19" s="436" t="s">
        <v>497</v>
      </c>
      <c r="H19" s="439"/>
      <c r="I19" s="439"/>
      <c r="J19" s="439"/>
      <c r="K19" s="440"/>
      <c r="L19" s="3195"/>
      <c r="M19" s="3195"/>
      <c r="N19" s="3195"/>
      <c r="O19" s="3193"/>
      <c r="P19" s="3193"/>
      <c r="Q19" s="3193"/>
      <c r="R19" s="3193"/>
      <c r="S19" s="3193"/>
      <c r="T19" s="3193"/>
      <c r="U19" s="3193"/>
      <c r="V19" s="3193"/>
      <c r="W19" s="3193"/>
      <c r="X19" s="3193"/>
      <c r="Y19" s="3193"/>
      <c r="Z19" s="3193"/>
    </row>
    <row r="20" spans="1:26" s="1997" customFormat="1" ht="13.5" customHeight="1">
      <c r="A20" s="1559" t="s">
        <v>1845</v>
      </c>
      <c r="B20" s="451" t="s">
        <v>498</v>
      </c>
      <c r="C20" s="2737">
        <f>F20</f>
        <v>0.01</v>
      </c>
      <c r="D20" s="461" t="s">
        <v>499</v>
      </c>
      <c r="E20" s="461"/>
      <c r="F20" s="478">
        <f>'数据-取费表'!B38</f>
        <v>0.01</v>
      </c>
      <c r="G20" s="1279" t="s">
        <v>500</v>
      </c>
      <c r="H20" s="439"/>
      <c r="I20" s="439"/>
      <c r="J20" s="439"/>
      <c r="K20" s="440"/>
      <c r="L20" s="3195"/>
      <c r="M20" s="3195"/>
      <c r="N20" s="3195"/>
      <c r="O20" s="3193"/>
      <c r="P20" s="3193"/>
      <c r="Q20" s="3193"/>
      <c r="R20" s="3193"/>
      <c r="S20" s="3193"/>
      <c r="T20" s="3193"/>
      <c r="U20" s="3193"/>
      <c r="V20" s="3193"/>
      <c r="W20" s="3193"/>
      <c r="X20" s="3193"/>
      <c r="Y20" s="3193"/>
      <c r="Z20" s="3193"/>
    </row>
    <row r="21" spans="1:26" s="1999" customFormat="1" ht="13.5" customHeight="1">
      <c r="A21" s="1559" t="s">
        <v>1848</v>
      </c>
      <c r="B21" s="453" t="s">
        <v>488</v>
      </c>
      <c r="C21" s="462">
        <f ca="1">C22</f>
        <v>1780</v>
      </c>
      <c r="D21" s="459">
        <f ca="1">C23</f>
        <v>5.0000000000000001E-4</v>
      </c>
      <c r="E21" s="461" t="s">
        <v>501</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1" t="s">
        <v>2436</v>
      </c>
      <c r="M21" s="3202"/>
      <c r="N21" s="3202"/>
      <c r="O21" s="3202"/>
      <c r="P21" s="3202"/>
      <c r="Q21" s="3195"/>
      <c r="R21" s="3195"/>
      <c r="S21" s="3195"/>
      <c r="T21" s="3195"/>
      <c r="U21" s="3195"/>
      <c r="V21" s="3195"/>
      <c r="W21" s="3195"/>
      <c r="X21" s="3195"/>
      <c r="Y21" s="3195"/>
      <c r="Z21" s="3195"/>
    </row>
    <row r="22" spans="1:26" s="1998" customFormat="1" ht="13.5" customHeight="1">
      <c r="A22" s="1558" t="s">
        <v>1838</v>
      </c>
      <c r="B22" s="1280" t="s">
        <v>2418</v>
      </c>
      <c r="C22" s="479">
        <f ca="1">ROUND(IF('数据-取费表'!B22&lt;=1,(C18+C19)*F21*'数据-取费表'!B20/2,(C18+C19)*(POWER((1+F21),'数据-取费表'!B20/2)-1)),0)</f>
        <v>1780</v>
      </c>
      <c r="D22" s="464"/>
      <c r="E22" s="465"/>
      <c r="F22" s="466"/>
      <c r="G22" s="2416" t="str">
        <f>IF('数据-取费表'!B22&lt;=1,"((1)+(2))×年利率×建设期÷2","((1)+(2))×((1+年利率)^(建设期÷2)-1)")</f>
        <v>((1)+(2))×((1+年利率)^(建设期÷2)-1)</v>
      </c>
      <c r="H22" s="449"/>
      <c r="I22" s="449"/>
      <c r="J22" s="449"/>
      <c r="K22" s="450"/>
      <c r="L22" s="3194"/>
      <c r="M22" s="3194"/>
      <c r="N22" s="3194"/>
      <c r="O22" s="3194"/>
      <c r="P22" s="3194"/>
      <c r="Q22" s="3194"/>
      <c r="R22" s="3194"/>
      <c r="S22" s="3194"/>
      <c r="T22" s="3194"/>
      <c r="U22" s="3194"/>
      <c r="V22" s="3194"/>
      <c r="W22" s="3194"/>
      <c r="X22" s="3194"/>
      <c r="Y22" s="3194"/>
      <c r="Z22" s="3194"/>
    </row>
    <row r="23" spans="1:26" s="1998" customFormat="1" ht="13.5" customHeight="1">
      <c r="A23" s="1558" t="s">
        <v>1839</v>
      </c>
      <c r="B23" s="1280" t="s">
        <v>502</v>
      </c>
      <c r="C23" s="480">
        <f ca="1">ROUND(IF('数据-取费表'!B22&lt;=1,F20*F21*'数据-取费表'!B20/2,F20*(POWER((1+F21),'数据-取费表'!B20/2)-1)),4)</f>
        <v>5.0000000000000001E-4</v>
      </c>
      <c r="D23" s="464"/>
      <c r="E23" s="465"/>
      <c r="F23" s="466"/>
      <c r="G23" s="2416" t="str">
        <f>IF('数据-取费表'!B22&lt;=1,"销售费用率×年利率×建设期÷2","销售费用率×((1+年利率)^(建设期÷2)-1)")</f>
        <v>销售费用率×((1+年利率)^(建设期÷2)-1)</v>
      </c>
      <c r="H23" s="449"/>
      <c r="I23" s="449"/>
      <c r="J23" s="449"/>
      <c r="K23" s="450"/>
      <c r="L23" s="3194"/>
      <c r="M23" s="3194"/>
      <c r="N23" s="3194"/>
      <c r="O23" s="3194"/>
      <c r="P23" s="3194"/>
      <c r="Q23" s="3194"/>
      <c r="R23" s="3194"/>
      <c r="S23" s="3194"/>
      <c r="T23" s="3194"/>
      <c r="U23" s="3194"/>
      <c r="V23" s="3194"/>
      <c r="W23" s="3194"/>
      <c r="X23" s="3194"/>
      <c r="Y23" s="3194"/>
      <c r="Z23" s="3194"/>
    </row>
    <row r="24" spans="1:26" s="1998" customFormat="1" ht="13.5" customHeight="1">
      <c r="A24" s="1559" t="s">
        <v>1849</v>
      </c>
      <c r="B24" s="2739" t="s">
        <v>2810</v>
      </c>
      <c r="C24" s="470">
        <f ca="1">C25</f>
        <v>9369</v>
      </c>
      <c r="D24" s="481">
        <f ca="1">C26</f>
        <v>2.5000000000000001E-3</v>
      </c>
      <c r="E24" s="461" t="s">
        <v>501</v>
      </c>
      <c r="F24" s="471">
        <f ca="1">IF(B1="",'数据-取费表'!Q16,INDIRECT("'数据-取费表'!q"&amp;$K$1))</f>
        <v>0.25</v>
      </c>
      <c r="G24" s="436"/>
      <c r="H24" s="439"/>
      <c r="I24" s="439"/>
      <c r="J24" s="439"/>
      <c r="K24" s="440"/>
      <c r="L24" s="3194"/>
      <c r="M24" s="3194"/>
      <c r="N24" s="3194"/>
      <c r="O24" s="3194"/>
      <c r="P24" s="3194"/>
      <c r="Q24" s="3194"/>
      <c r="R24" s="3194"/>
      <c r="S24" s="3194"/>
      <c r="T24" s="3194"/>
      <c r="U24" s="3194"/>
      <c r="V24" s="3194"/>
      <c r="W24" s="3194"/>
      <c r="X24" s="3194"/>
      <c r="Y24" s="3194"/>
      <c r="Z24" s="3194"/>
    </row>
    <row r="25" spans="1:26" s="1998" customFormat="1" ht="13.5" customHeight="1">
      <c r="A25" s="1558" t="s">
        <v>1838</v>
      </c>
      <c r="B25" s="1280" t="s">
        <v>2419</v>
      </c>
      <c r="C25" s="482">
        <f ca="1">ROUND((C18+C19)*F24,0)</f>
        <v>9369</v>
      </c>
      <c r="D25" s="464"/>
      <c r="E25" s="465"/>
      <c r="F25" s="472"/>
      <c r="G25" s="1278" t="s">
        <v>2416</v>
      </c>
      <c r="H25" s="449"/>
      <c r="I25" s="449"/>
      <c r="J25" s="449"/>
      <c r="K25" s="450"/>
      <c r="L25" s="3194"/>
      <c r="M25" s="3194"/>
      <c r="N25" s="3194"/>
      <c r="O25" s="3194"/>
      <c r="P25" s="3194"/>
      <c r="Q25" s="3194"/>
      <c r="R25" s="3194"/>
      <c r="S25" s="3194"/>
      <c r="T25" s="3194"/>
      <c r="U25" s="3194"/>
      <c r="V25" s="3194"/>
      <c r="W25" s="3194"/>
      <c r="X25" s="3194"/>
      <c r="Y25" s="3194"/>
      <c r="Z25" s="3194"/>
    </row>
    <row r="26" spans="1:26" s="1998" customFormat="1" ht="13.5" customHeight="1">
      <c r="A26" s="1558" t="s">
        <v>1839</v>
      </c>
      <c r="B26" s="1280" t="s">
        <v>503</v>
      </c>
      <c r="C26" s="483">
        <f ca="1">ROUND(F20*F24,4)</f>
        <v>2.5000000000000001E-3</v>
      </c>
      <c r="D26" s="464"/>
      <c r="E26" s="473"/>
      <c r="F26" s="472"/>
      <c r="G26" s="1278" t="s">
        <v>504</v>
      </c>
      <c r="H26" s="449"/>
      <c r="I26" s="449"/>
      <c r="J26" s="449"/>
      <c r="K26" s="450"/>
      <c r="L26" s="3194"/>
      <c r="M26" s="3194"/>
      <c r="N26" s="3194"/>
      <c r="O26" s="3194"/>
      <c r="P26" s="3194"/>
      <c r="Q26" s="3194"/>
      <c r="R26" s="3194"/>
      <c r="S26" s="3194"/>
      <c r="T26" s="3194"/>
      <c r="U26" s="3194"/>
      <c r="V26" s="3194"/>
      <c r="W26" s="3194"/>
      <c r="X26" s="3194"/>
      <c r="Y26" s="3194"/>
      <c r="Z26" s="3194"/>
    </row>
    <row r="27" spans="1:26" s="1998" customFormat="1" ht="13.5" customHeight="1">
      <c r="A27" s="1562" t="s">
        <v>1857</v>
      </c>
      <c r="B27" s="451" t="s">
        <v>505</v>
      </c>
      <c r="C27" s="2738">
        <f>ROUND(F27/(1+'数据-取费表'!C42),4)</f>
        <v>5.33E-2</v>
      </c>
      <c r="D27" s="454" t="s">
        <v>2808</v>
      </c>
      <c r="E27" s="454"/>
      <c r="F27" s="458">
        <f>'数据-取费表'!B41</f>
        <v>5.6000000000000001E-2</v>
      </c>
      <c r="G27" s="1870" t="s">
        <v>2278</v>
      </c>
      <c r="H27" s="439"/>
      <c r="I27" s="439"/>
      <c r="J27" s="439"/>
      <c r="K27" s="440"/>
      <c r="L27" s="3194"/>
      <c r="M27" s="3194"/>
      <c r="N27" s="3194"/>
      <c r="O27" s="3194"/>
      <c r="P27" s="3194"/>
      <c r="Q27" s="3194"/>
      <c r="R27" s="3194"/>
      <c r="S27" s="3194"/>
      <c r="T27" s="3194"/>
      <c r="U27" s="3194"/>
      <c r="V27" s="3194"/>
      <c r="W27" s="3194"/>
      <c r="X27" s="3194"/>
      <c r="Y27" s="3194"/>
      <c r="Z27" s="3194"/>
    </row>
    <row r="28" spans="1:26" s="1999" customFormat="1" ht="13.5" customHeight="1">
      <c r="A28" s="1562" t="s">
        <v>1858</v>
      </c>
      <c r="B28" s="468" t="s">
        <v>506</v>
      </c>
      <c r="C28" s="462">
        <f ca="1">ROUND((C18+C19+C21+C24)/(1-C20-D21-D24-C27),0)</f>
        <v>52077</v>
      </c>
      <c r="D28" s="469"/>
      <c r="E28" s="461"/>
      <c r="F28" s="463"/>
      <c r="G28" s="1279" t="s">
        <v>2417</v>
      </c>
      <c r="H28" s="439"/>
      <c r="I28" s="439"/>
      <c r="J28" s="439"/>
      <c r="K28" s="440"/>
      <c r="L28" s="3195"/>
      <c r="M28" s="3195"/>
      <c r="N28" s="3195"/>
      <c r="O28" s="3195"/>
      <c r="P28" s="3195"/>
      <c r="Q28" s="3195"/>
      <c r="R28" s="3195"/>
      <c r="S28" s="3195"/>
      <c r="T28" s="3195"/>
      <c r="U28" s="3195"/>
      <c r="V28" s="3195"/>
      <c r="W28" s="3195"/>
      <c r="X28" s="3195"/>
      <c r="Y28" s="3195"/>
      <c r="Z28" s="3195"/>
    </row>
    <row r="29" spans="1:26" s="1999" customFormat="1" ht="13.5" customHeight="1">
      <c r="A29" s="1562" t="s">
        <v>1859</v>
      </c>
      <c r="B29" s="468" t="s">
        <v>507</v>
      </c>
      <c r="C29" s="484">
        <f ca="1">IF(B1="",'数据-取费表'!N16,INDIRECT("'数据-取费表'!N"&amp;$K$1))</f>
        <v>0</v>
      </c>
      <c r="D29" s="485"/>
      <c r="E29" s="486"/>
      <c r="F29" s="487"/>
      <c r="G29" s="436"/>
      <c r="H29" s="439"/>
      <c r="I29" s="439"/>
      <c r="J29" s="439"/>
      <c r="K29" s="440"/>
      <c r="L29" s="3195"/>
      <c r="M29" s="3195"/>
      <c r="N29" s="3195"/>
      <c r="O29" s="3195"/>
      <c r="P29" s="3195"/>
      <c r="Q29" s="3195"/>
      <c r="R29" s="3195"/>
      <c r="S29" s="3195"/>
      <c r="T29" s="3195"/>
      <c r="U29" s="3195"/>
      <c r="V29" s="3195"/>
      <c r="W29" s="3195"/>
      <c r="X29" s="3195"/>
      <c r="Y29" s="3195"/>
      <c r="Z29" s="3195"/>
    </row>
    <row r="30" spans="1:26" s="1999" customFormat="1" ht="13.5" customHeight="1">
      <c r="A30" s="435">
        <v>2</v>
      </c>
      <c r="B30" s="468" t="s">
        <v>508</v>
      </c>
      <c r="C30" s="489">
        <f ca="1">ROUND(C28*C29,0)</f>
        <v>0</v>
      </c>
      <c r="D30" s="485"/>
      <c r="E30" s="490"/>
      <c r="F30" s="491"/>
      <c r="G30" s="1281" t="s">
        <v>509</v>
      </c>
      <c r="H30" s="488"/>
      <c r="I30" s="488"/>
      <c r="J30" s="439"/>
      <c r="K30" s="440"/>
      <c r="L30" s="3195"/>
      <c r="M30" s="3195"/>
      <c r="N30" s="3195"/>
      <c r="O30" s="3195"/>
      <c r="P30" s="3195"/>
      <c r="Q30" s="3195"/>
      <c r="R30" s="3195"/>
      <c r="S30" s="3195"/>
      <c r="T30" s="3195"/>
      <c r="U30" s="3195"/>
      <c r="V30" s="3195"/>
      <c r="W30" s="3195"/>
      <c r="X30" s="3195"/>
      <c r="Y30" s="3195"/>
      <c r="Z30" s="3195"/>
    </row>
    <row r="31" spans="1:26" s="2004" customFormat="1" ht="13.5" customHeight="1">
      <c r="A31" s="2331" t="s">
        <v>1855</v>
      </c>
      <c r="B31" s="1282"/>
      <c r="C31" s="492">
        <f>ROUND(C6*F31/(1+'数据-取费表'!C42),0)</f>
        <v>0</v>
      </c>
      <c r="D31" s="1283"/>
      <c r="E31" s="1283"/>
      <c r="F31" s="493">
        <f>'数据-取费表'!B41</f>
        <v>5.6000000000000001E-2</v>
      </c>
      <c r="G31" s="1284"/>
      <c r="H31" s="1284"/>
      <c r="I31" s="1284"/>
      <c r="J31" s="1285"/>
      <c r="K31" s="1286"/>
      <c r="L31" s="3200"/>
      <c r="M31" s="3200"/>
      <c r="N31" s="3200"/>
      <c r="O31" s="3200"/>
      <c r="P31" s="3200"/>
      <c r="Q31" s="3200"/>
      <c r="R31" s="3200"/>
      <c r="S31" s="3200"/>
      <c r="T31" s="3200"/>
      <c r="U31" s="3200"/>
      <c r="V31" s="3200"/>
      <c r="W31" s="3200"/>
      <c r="X31" s="3200"/>
      <c r="Y31" s="3200"/>
      <c r="Z31" s="3200"/>
    </row>
    <row r="32" spans="1:26" s="1963" customFormat="1" ht="13.5" customHeight="1" thickBot="1">
      <c r="A32" s="474" t="s">
        <v>1856</v>
      </c>
      <c r="B32" s="475"/>
      <c r="C32" s="476">
        <f ca="1">IF('数据-取费表'!B20&lt;=1,(C6-C30-C31)/(1+F21*'数据-取费表'!B20+F24)/(1+'数据-取费表'!B48+'数据-取费表'!B49),(C6-C30-C31)/(1+(POWER((1+F21),'数据-取费表'!B20)-1)+F24)/(1+'数据-取费表'!B48+'数据-取费表'!B49))</f>
        <v>0</v>
      </c>
      <c r="D32" s="475"/>
      <c r="E32" s="475"/>
      <c r="F32" s="475"/>
      <c r="G32" s="2332" t="s">
        <v>2933</v>
      </c>
      <c r="H32" s="475"/>
      <c r="I32" s="475"/>
      <c r="J32" s="475"/>
      <c r="K32" s="477"/>
      <c r="L32" s="3191"/>
      <c r="M32" s="3191"/>
      <c r="N32" s="3191"/>
      <c r="O32" s="3191"/>
      <c r="P32" s="3191"/>
      <c r="Q32" s="3191"/>
      <c r="R32" s="3191"/>
      <c r="S32" s="3191"/>
      <c r="T32" s="3191"/>
      <c r="U32" s="3191"/>
      <c r="V32" s="3191"/>
      <c r="W32" s="3191"/>
      <c r="X32" s="3191"/>
      <c r="Y32" s="3191"/>
      <c r="Z32" s="3191"/>
    </row>
    <row r="33" spans="1:5" s="1993" customFormat="1">
      <c r="A33" s="3198"/>
      <c r="C33" s="3199"/>
      <c r="E33" s="3198"/>
    </row>
    <row r="34" spans="1:5" s="1993" customFormat="1" ht="12.75" customHeight="1">
      <c r="A34" s="3198"/>
      <c r="C34" s="3199"/>
      <c r="E34" s="3198"/>
    </row>
    <row r="35" spans="1:5" s="1993" customFormat="1">
      <c r="A35" s="3198"/>
      <c r="C35" s="3199"/>
      <c r="E35" s="3198"/>
    </row>
    <row r="36" spans="1:5" s="1993" customFormat="1">
      <c r="A36" s="3198"/>
      <c r="C36" s="3199"/>
      <c r="E36" s="3198"/>
    </row>
    <row r="37" spans="1:5" s="1993" customFormat="1">
      <c r="A37" s="3198"/>
      <c r="C37" s="3199"/>
      <c r="E37" s="3198"/>
    </row>
    <row r="38" spans="1:5" s="1993" customFormat="1">
      <c r="A38" s="3198"/>
      <c r="C38" s="3199"/>
      <c r="E38" s="3198"/>
    </row>
    <row r="39" spans="1:5" s="1993" customFormat="1">
      <c r="A39" s="3198"/>
      <c r="C39" s="3199"/>
      <c r="E39" s="3198"/>
    </row>
    <row r="40" spans="1:5" s="1993" customFormat="1">
      <c r="A40" s="3198"/>
      <c r="C40" s="3199"/>
      <c r="E40" s="3198"/>
    </row>
    <row r="41" spans="1:5" s="1993" customFormat="1">
      <c r="A41" s="3198"/>
      <c r="C41" s="3199"/>
      <c r="E41" s="3198"/>
    </row>
    <row r="42" spans="1:5" s="1993" customFormat="1">
      <c r="A42" s="3198"/>
      <c r="C42" s="3199"/>
      <c r="E42" s="3198"/>
    </row>
    <row r="43" spans="1:5" s="1993" customFormat="1">
      <c r="A43" s="3198"/>
      <c r="C43" s="3199"/>
      <c r="E43" s="3198"/>
    </row>
    <row r="44" spans="1:5" s="1993" customFormat="1">
      <c r="A44" s="3198"/>
      <c r="C44" s="3199"/>
      <c r="E44" s="3198"/>
    </row>
    <row r="45" spans="1:5" s="1993" customFormat="1">
      <c r="A45" s="3198"/>
      <c r="C45" s="3199"/>
      <c r="E45" s="3198"/>
    </row>
    <row r="46" spans="1:5" s="1993" customFormat="1">
      <c r="A46" s="3198"/>
      <c r="C46" s="3199"/>
      <c r="E46" s="3198"/>
    </row>
    <row r="47" spans="1:5" s="1993" customFormat="1">
      <c r="A47" s="3198"/>
      <c r="C47" s="3199"/>
      <c r="E47" s="3198"/>
    </row>
    <row r="48" spans="1:5"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sheetPr>
    <tabColor theme="0"/>
  </sheetPr>
  <dimension ref="A1:AI7"/>
  <sheetViews>
    <sheetView topLeftCell="D1" zoomScale="70" zoomScaleNormal="70" workbookViewId="0">
      <selection activeCell="R6" sqref="R6"/>
    </sheetView>
  </sheetViews>
  <sheetFormatPr defaultRowHeight="13.5"/>
  <cols>
    <col min="1" max="4" width="9" style="2652"/>
    <col min="5" max="5" width="19" style="2652" customWidth="1"/>
    <col min="6" max="6" width="9" style="2652"/>
    <col min="7" max="7" width="14.25" style="2652" customWidth="1"/>
    <col min="8" max="8" width="17.5" style="2652" customWidth="1"/>
    <col min="9" max="11" width="9" style="2652"/>
    <col min="12" max="13" width="9" style="2652" customWidth="1"/>
    <col min="14" max="15" width="13" style="2652" customWidth="1"/>
    <col min="16" max="16" width="9" style="2652" customWidth="1"/>
    <col min="17" max="17" width="28" style="2652" customWidth="1"/>
    <col min="18" max="20" width="26" style="2652" customWidth="1"/>
    <col min="21" max="21" width="9" style="2652"/>
    <col min="22" max="22" width="9.875" style="2652" bestFit="1" customWidth="1"/>
    <col min="23" max="16384" width="9" style="2652"/>
  </cols>
  <sheetData>
    <row r="1" spans="1:35" s="3352" customFormat="1" ht="22.5">
      <c r="A1" s="3732" t="s">
        <v>2359</v>
      </c>
      <c r="B1" s="3728" t="s">
        <v>3155</v>
      </c>
      <c r="C1" s="3728" t="s">
        <v>3156</v>
      </c>
      <c r="D1" s="3728" t="s">
        <v>3157</v>
      </c>
      <c r="E1" s="3728" t="s">
        <v>3158</v>
      </c>
      <c r="F1" s="3728" t="s">
        <v>3159</v>
      </c>
      <c r="G1" s="3728" t="s">
        <v>3160</v>
      </c>
      <c r="H1" s="3728" t="s">
        <v>3161</v>
      </c>
      <c r="I1" s="3729" t="s">
        <v>3162</v>
      </c>
      <c r="J1" s="3728" t="s">
        <v>3163</v>
      </c>
      <c r="K1" s="3728"/>
      <c r="L1" s="3728"/>
      <c r="M1" s="3728"/>
      <c r="N1" s="3728" t="s">
        <v>3164</v>
      </c>
      <c r="O1" s="3728"/>
      <c r="P1" s="3728" t="s">
        <v>3165</v>
      </c>
      <c r="Q1" s="3730" t="s">
        <v>3197</v>
      </c>
      <c r="R1" s="3728" t="s">
        <v>3198</v>
      </c>
      <c r="S1" s="3728" t="s">
        <v>3199</v>
      </c>
      <c r="T1" s="3728" t="s">
        <v>3166</v>
      </c>
      <c r="U1" s="3731" t="s">
        <v>3200</v>
      </c>
      <c r="V1" s="3727"/>
      <c r="W1" s="3727"/>
      <c r="AA1" s="3726"/>
      <c r="AB1" s="3726"/>
      <c r="AC1" s="3726"/>
      <c r="AD1" s="3726"/>
      <c r="AE1" s="3726"/>
    </row>
    <row r="2" spans="1:35" s="3352" customFormat="1" ht="56.25">
      <c r="A2" s="3732"/>
      <c r="B2" s="3728"/>
      <c r="C2" s="3728"/>
      <c r="D2" s="3728"/>
      <c r="E2" s="3728"/>
      <c r="F2" s="3728"/>
      <c r="G2" s="3728"/>
      <c r="H2" s="3728"/>
      <c r="I2" s="3729"/>
      <c r="J2" s="3353" t="s">
        <v>3168</v>
      </c>
      <c r="K2" s="3353" t="s">
        <v>3167</v>
      </c>
      <c r="L2" s="3353" t="s">
        <v>3170</v>
      </c>
      <c r="M2" s="3353" t="s">
        <v>3169</v>
      </c>
      <c r="N2" s="3353" t="s">
        <v>3171</v>
      </c>
      <c r="O2" s="3353" t="s">
        <v>3131</v>
      </c>
      <c r="P2" s="3728"/>
      <c r="Q2" s="3730"/>
      <c r="R2" s="3728"/>
      <c r="S2" s="3728"/>
      <c r="T2" s="3728"/>
      <c r="U2" s="3731"/>
      <c r="AA2" s="3726"/>
      <c r="AB2" s="3726"/>
      <c r="AC2" s="3726"/>
      <c r="AD2" s="3726"/>
      <c r="AE2" s="3726"/>
    </row>
    <row r="3" spans="1:35" s="3357" customFormat="1" ht="131.25">
      <c r="A3" s="3360">
        <v>1</v>
      </c>
      <c r="B3" s="3358" t="s">
        <v>3201</v>
      </c>
      <c r="C3" s="3358" t="s">
        <v>3202</v>
      </c>
      <c r="D3" s="3358" t="s">
        <v>3203</v>
      </c>
      <c r="E3" s="3358" t="s">
        <v>3204</v>
      </c>
      <c r="F3" s="3358" t="s">
        <v>3205</v>
      </c>
      <c r="G3" s="3358">
        <v>0</v>
      </c>
      <c r="H3" s="3358">
        <v>67273.039999999994</v>
      </c>
      <c r="I3" s="3359" t="s">
        <v>3206</v>
      </c>
      <c r="J3" s="3358" t="s">
        <v>3207</v>
      </c>
      <c r="K3" s="3358">
        <v>2.5</v>
      </c>
      <c r="L3" s="3358" t="s">
        <v>3208</v>
      </c>
      <c r="M3" s="3358">
        <v>10490</v>
      </c>
      <c r="N3" s="3358" t="s">
        <v>3209</v>
      </c>
      <c r="O3" s="3358" t="s">
        <v>3210</v>
      </c>
      <c r="P3" s="3358"/>
      <c r="Q3" s="3358" t="s">
        <v>3211</v>
      </c>
      <c r="R3" s="3358" t="s">
        <v>3212</v>
      </c>
      <c r="S3" s="3358" t="s">
        <v>3212</v>
      </c>
      <c r="T3" s="3358" t="s">
        <v>3273</v>
      </c>
      <c r="U3" s="3361"/>
      <c r="V3" s="3362">
        <v>43466</v>
      </c>
      <c r="W3" s="3363"/>
      <c r="X3" s="3363"/>
      <c r="Y3" s="3363"/>
      <c r="Z3" s="3363"/>
      <c r="AA3" s="3363"/>
      <c r="AC3" s="3364"/>
      <c r="AD3" s="3365"/>
      <c r="AE3" s="3365"/>
      <c r="AF3" s="3365"/>
      <c r="AG3" s="3363"/>
    </row>
    <row r="4" spans="1:35" s="3357" customFormat="1" ht="243.75">
      <c r="A4" s="3360">
        <v>2</v>
      </c>
      <c r="B4" s="3358" t="s">
        <v>3213</v>
      </c>
      <c r="C4" s="3358" t="s">
        <v>3214</v>
      </c>
      <c r="D4" s="3358" t="s">
        <v>3215</v>
      </c>
      <c r="E4" s="3358" t="s">
        <v>3216</v>
      </c>
      <c r="F4" s="3358">
        <v>18203.726999999999</v>
      </c>
      <c r="G4" s="3358">
        <v>40008.199999999997</v>
      </c>
      <c r="H4" s="3358" t="s">
        <v>3217</v>
      </c>
      <c r="I4" s="3359">
        <v>2.2000000000000002</v>
      </c>
      <c r="J4" s="3358" t="s">
        <v>3218</v>
      </c>
      <c r="K4" s="3358">
        <v>2.5</v>
      </c>
      <c r="L4" s="3358" t="s">
        <v>3208</v>
      </c>
      <c r="M4" s="3358">
        <v>12080</v>
      </c>
      <c r="N4" s="3358" t="s">
        <v>3219</v>
      </c>
      <c r="O4" s="3358" t="s">
        <v>3220</v>
      </c>
      <c r="P4" s="3358">
        <v>4641</v>
      </c>
      <c r="Q4" s="3358" t="s">
        <v>3221</v>
      </c>
      <c r="R4" s="3358" t="s">
        <v>3222</v>
      </c>
      <c r="S4" s="3358" t="s">
        <v>3222</v>
      </c>
      <c r="T4" s="3358" t="s">
        <v>3222</v>
      </c>
      <c r="U4" s="3361"/>
      <c r="V4" s="3362">
        <v>43497</v>
      </c>
      <c r="W4" s="3363"/>
      <c r="X4" s="3363"/>
      <c r="Y4" s="3363"/>
      <c r="Z4" s="3363"/>
      <c r="AA4" s="3363"/>
      <c r="AC4" s="3364"/>
      <c r="AD4" s="3365"/>
      <c r="AE4" s="3365"/>
      <c r="AF4" s="3365"/>
      <c r="AG4" s="3363" t="s">
        <v>3223</v>
      </c>
      <c r="AI4" s="3357">
        <v>5</v>
      </c>
    </row>
    <row r="5" spans="1:35" s="3367" customFormat="1" ht="206.25">
      <c r="A5" s="3382">
        <v>3</v>
      </c>
      <c r="B5" s="3383" t="s">
        <v>3224</v>
      </c>
      <c r="C5" s="3383" t="s">
        <v>3225</v>
      </c>
      <c r="D5" s="3383" t="s">
        <v>3226</v>
      </c>
      <c r="E5" s="3383" t="s">
        <v>3227</v>
      </c>
      <c r="F5" s="3383" t="s">
        <v>3228</v>
      </c>
      <c r="G5" s="3383" t="s">
        <v>3229</v>
      </c>
      <c r="H5" s="3383" t="s">
        <v>3230</v>
      </c>
      <c r="I5" s="3384" t="s">
        <v>3231</v>
      </c>
      <c r="J5" s="3383" t="s">
        <v>3232</v>
      </c>
      <c r="K5" s="3383" t="s">
        <v>3233</v>
      </c>
      <c r="L5" s="3383" t="s">
        <v>3234</v>
      </c>
      <c r="M5" s="3383" t="s">
        <v>3235</v>
      </c>
      <c r="N5" s="3383" t="s">
        <v>3236</v>
      </c>
      <c r="O5" s="3383" t="s">
        <v>3237</v>
      </c>
      <c r="P5" s="3383">
        <v>7634.9</v>
      </c>
      <c r="Q5" s="3385" t="s">
        <v>3278</v>
      </c>
      <c r="R5" s="3383" t="s">
        <v>3238</v>
      </c>
      <c r="S5" s="3383" t="s">
        <v>3238</v>
      </c>
      <c r="T5" s="3383"/>
      <c r="U5" s="3386"/>
      <c r="V5" s="3368">
        <v>43617</v>
      </c>
    </row>
    <row r="6" spans="1:35" s="3367" customFormat="1" ht="150">
      <c r="A6" s="3360">
        <v>4</v>
      </c>
      <c r="B6" s="3366" t="s">
        <v>3239</v>
      </c>
      <c r="C6" s="3366" t="s">
        <v>3240</v>
      </c>
      <c r="D6" s="3366" t="s">
        <v>3241</v>
      </c>
      <c r="E6" s="3366" t="s">
        <v>3242</v>
      </c>
      <c r="F6" s="3366" t="s">
        <v>3243</v>
      </c>
      <c r="G6" s="3366">
        <v>0</v>
      </c>
      <c r="H6" s="3366">
        <v>4028.84</v>
      </c>
      <c r="I6" s="3369" t="s">
        <v>3244</v>
      </c>
      <c r="J6" s="3366">
        <v>2.5</v>
      </c>
      <c r="K6" s="3366" t="s">
        <v>3182</v>
      </c>
      <c r="L6" s="3366">
        <v>10060</v>
      </c>
      <c r="M6" s="3366" t="s">
        <v>3183</v>
      </c>
      <c r="N6" s="3366">
        <v>3576</v>
      </c>
      <c r="O6" s="3366">
        <v>894</v>
      </c>
      <c r="P6" s="3366"/>
      <c r="Q6" s="3366" t="s">
        <v>3245</v>
      </c>
      <c r="R6" s="3366" t="s">
        <v>3246</v>
      </c>
      <c r="S6" s="3366"/>
      <c r="T6" s="3366"/>
      <c r="U6" s="3370" t="s">
        <v>3247</v>
      </c>
      <c r="V6" s="3371">
        <v>43678</v>
      </c>
      <c r="W6" s="3370"/>
      <c r="X6" s="3370"/>
      <c r="Y6" s="3370"/>
    </row>
    <row r="7" spans="1:35" s="3367" customFormat="1" ht="206.25">
      <c r="A7" s="3360">
        <v>5</v>
      </c>
      <c r="B7" s="3366" t="s">
        <v>3248</v>
      </c>
      <c r="C7" s="3366" t="s">
        <v>3249</v>
      </c>
      <c r="D7" s="3366" t="s">
        <v>3250</v>
      </c>
      <c r="E7" s="3366" t="s">
        <v>3251</v>
      </c>
      <c r="F7" s="3366">
        <v>127800</v>
      </c>
      <c r="G7" s="3366">
        <v>447300</v>
      </c>
      <c r="H7" s="3366">
        <v>447300</v>
      </c>
      <c r="I7" s="3369">
        <v>3.5</v>
      </c>
      <c r="J7" s="3366">
        <v>2</v>
      </c>
      <c r="K7" s="3366" t="s">
        <v>3252</v>
      </c>
      <c r="L7" s="3366">
        <v>10490</v>
      </c>
      <c r="M7" s="3366" t="s">
        <v>3183</v>
      </c>
      <c r="N7" s="3366">
        <v>12048</v>
      </c>
      <c r="O7" s="3366">
        <v>3012</v>
      </c>
      <c r="P7" s="3366">
        <v>12092.42</v>
      </c>
      <c r="Q7" s="3366" t="s">
        <v>3253</v>
      </c>
      <c r="R7" s="3366" t="s">
        <v>3254</v>
      </c>
      <c r="S7" s="3366" t="s">
        <v>3254</v>
      </c>
      <c r="T7" s="3366" t="s">
        <v>3254</v>
      </c>
      <c r="U7" s="3370"/>
      <c r="V7" s="3371">
        <v>43709</v>
      </c>
      <c r="W7" s="3370" t="s">
        <v>3255</v>
      </c>
      <c r="X7" s="3370"/>
      <c r="Y7" s="3370"/>
    </row>
  </sheetData>
  <mergeCells count="23">
    <mergeCell ref="F1:F2"/>
    <mergeCell ref="A1:A2"/>
    <mergeCell ref="B1:B2"/>
    <mergeCell ref="C1:C2"/>
    <mergeCell ref="D1:D2"/>
    <mergeCell ref="E1:E2"/>
    <mergeCell ref="V1:W1"/>
    <mergeCell ref="G1:G2"/>
    <mergeCell ref="H1:H2"/>
    <mergeCell ref="I1:I2"/>
    <mergeCell ref="J1:M1"/>
    <mergeCell ref="N1:O1"/>
    <mergeCell ref="P1:P2"/>
    <mergeCell ref="Q1:Q2"/>
    <mergeCell ref="R1:R2"/>
    <mergeCell ref="S1:S2"/>
    <mergeCell ref="T1:T2"/>
    <mergeCell ref="U1:U2"/>
    <mergeCell ref="AA1:AA2"/>
    <mergeCell ref="AB1:AB2"/>
    <mergeCell ref="AC1:AC2"/>
    <mergeCell ref="AD1:AD2"/>
    <mergeCell ref="AE1:AE2"/>
  </mergeCells>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AD22"/>
  <sheetViews>
    <sheetView topLeftCell="A22" zoomScale="70" zoomScaleNormal="70" workbookViewId="0">
      <selection activeCell="M20" sqref="M20"/>
    </sheetView>
  </sheetViews>
  <sheetFormatPr defaultRowHeight="18.75"/>
  <cols>
    <col min="1" max="1" width="8.5" style="3413" customWidth="1"/>
    <col min="2" max="4" width="20.375" style="3357" customWidth="1"/>
    <col min="5" max="5" width="12.625" style="3357" customWidth="1"/>
    <col min="6" max="6" width="7.5" style="3357" customWidth="1"/>
    <col min="7" max="7" width="8.625" style="3357" customWidth="1"/>
    <col min="8" max="8" width="14.75" style="3357" customWidth="1"/>
    <col min="9" max="9" width="14.625" style="3357" customWidth="1"/>
    <col min="10" max="10" width="15.75" style="3357" customWidth="1"/>
    <col min="11" max="11" width="14.625" style="3357" customWidth="1"/>
    <col min="12" max="12" width="8.375" style="3404" customWidth="1"/>
    <col min="13" max="13" width="12.625" style="3357" customWidth="1"/>
    <col min="14" max="14" width="9" style="3357" hidden="1" customWidth="1"/>
    <col min="15" max="15" width="14.625" style="3357" hidden="1" customWidth="1"/>
    <col min="16" max="16" width="12.75" style="3357" customWidth="1"/>
    <col min="17" max="22" width="16" style="3357" hidden="1" customWidth="1"/>
    <col min="23" max="23" width="12" style="3357" hidden="1" customWidth="1"/>
    <col min="24" max="24" width="41.125" style="3363" hidden="1" customWidth="1"/>
    <col min="25" max="26" width="26.125" style="3357" hidden="1" customWidth="1"/>
    <col min="27" max="27" width="26.125" style="3357" customWidth="1"/>
    <col min="28" max="28" width="22.875" style="3357" customWidth="1"/>
    <col min="29" max="29" width="15.25" style="3357" customWidth="1"/>
    <col min="30" max="30" width="3.25" style="3357" customWidth="1"/>
    <col min="31" max="31" width="13" style="3357" customWidth="1"/>
    <col min="32" max="244" width="9" style="3357"/>
    <col min="245" max="245" width="8.5" style="3357" customWidth="1"/>
    <col min="246" max="248" width="20.375" style="3357" customWidth="1"/>
    <col min="249" max="249" width="12.625" style="3357" customWidth="1"/>
    <col min="250" max="250" width="7.5" style="3357" customWidth="1"/>
    <col min="251" max="251" width="8.625" style="3357" customWidth="1"/>
    <col min="252" max="252" width="14.75" style="3357" customWidth="1"/>
    <col min="253" max="253" width="14.625" style="3357" customWidth="1"/>
    <col min="254" max="254" width="15.75" style="3357" customWidth="1"/>
    <col min="255" max="255" width="14.625" style="3357" customWidth="1"/>
    <col min="256" max="256" width="8.375" style="3357" customWidth="1"/>
    <col min="257" max="257" width="12.625" style="3357" customWidth="1"/>
    <col min="258" max="258" width="9" style="3357" customWidth="1"/>
    <col min="259" max="259" width="14.625" style="3357" customWidth="1"/>
    <col min="260" max="260" width="12.75" style="3357" customWidth="1"/>
    <col min="261" max="266" width="16" style="3357" customWidth="1"/>
    <col min="267" max="267" width="12" style="3357" customWidth="1"/>
    <col min="268" max="268" width="41.125" style="3357" customWidth="1"/>
    <col min="269" max="270" width="25.5" style="3357" customWidth="1"/>
    <col min="271" max="271" width="25.625" style="3357" customWidth="1"/>
    <col min="272" max="272" width="22.875" style="3357" customWidth="1"/>
    <col min="273" max="273" width="15.25" style="3357" customWidth="1"/>
    <col min="274" max="274" width="3.25" style="3357" customWidth="1"/>
    <col min="275" max="275" width="13" style="3357" customWidth="1"/>
    <col min="276" max="276" width="15.625" style="3357" customWidth="1"/>
    <col min="277" max="277" width="9" style="3357"/>
    <col min="278" max="278" width="16.625" style="3357" customWidth="1"/>
    <col min="279" max="282" width="14" style="3357" customWidth="1"/>
    <col min="283" max="283" width="121.75" style="3357" customWidth="1"/>
    <col min="284" max="285" width="8.875" style="3357" customWidth="1"/>
    <col min="286" max="500" width="9" style="3357"/>
    <col min="501" max="501" width="8.5" style="3357" customWidth="1"/>
    <col min="502" max="504" width="20.375" style="3357" customWidth="1"/>
    <col min="505" max="505" width="12.625" style="3357" customWidth="1"/>
    <col min="506" max="506" width="7.5" style="3357" customWidth="1"/>
    <col min="507" max="507" width="8.625" style="3357" customWidth="1"/>
    <col min="508" max="508" width="14.75" style="3357" customWidth="1"/>
    <col min="509" max="509" width="14.625" style="3357" customWidth="1"/>
    <col min="510" max="510" width="15.75" style="3357" customWidth="1"/>
    <col min="511" max="511" width="14.625" style="3357" customWidth="1"/>
    <col min="512" max="512" width="8.375" style="3357" customWidth="1"/>
    <col min="513" max="513" width="12.625" style="3357" customWidth="1"/>
    <col min="514" max="514" width="9" style="3357" customWidth="1"/>
    <col min="515" max="515" width="14.625" style="3357" customWidth="1"/>
    <col min="516" max="516" width="12.75" style="3357" customWidth="1"/>
    <col min="517" max="522" width="16" style="3357" customWidth="1"/>
    <col min="523" max="523" width="12" style="3357" customWidth="1"/>
    <col min="524" max="524" width="41.125" style="3357" customWidth="1"/>
    <col min="525" max="526" width="25.5" style="3357" customWidth="1"/>
    <col min="527" max="527" width="25.625" style="3357" customWidth="1"/>
    <col min="528" max="528" width="22.875" style="3357" customWidth="1"/>
    <col min="529" max="529" width="15.25" style="3357" customWidth="1"/>
    <col min="530" max="530" width="3.25" style="3357" customWidth="1"/>
    <col min="531" max="531" width="13" style="3357" customWidth="1"/>
    <col min="532" max="532" width="15.625" style="3357" customWidth="1"/>
    <col min="533" max="533" width="9" style="3357"/>
    <col min="534" max="534" width="16.625" style="3357" customWidth="1"/>
    <col min="535" max="538" width="14" style="3357" customWidth="1"/>
    <col min="539" max="539" width="121.75" style="3357" customWidth="1"/>
    <col min="540" max="541" width="8.875" style="3357" customWidth="1"/>
    <col min="542" max="756" width="9" style="3357"/>
    <col min="757" max="757" width="8.5" style="3357" customWidth="1"/>
    <col min="758" max="760" width="20.375" style="3357" customWidth="1"/>
    <col min="761" max="761" width="12.625" style="3357" customWidth="1"/>
    <col min="762" max="762" width="7.5" style="3357" customWidth="1"/>
    <col min="763" max="763" width="8.625" style="3357" customWidth="1"/>
    <col min="764" max="764" width="14.75" style="3357" customWidth="1"/>
    <col min="765" max="765" width="14.625" style="3357" customWidth="1"/>
    <col min="766" max="766" width="15.75" style="3357" customWidth="1"/>
    <col min="767" max="767" width="14.625" style="3357" customWidth="1"/>
    <col min="768" max="768" width="8.375" style="3357" customWidth="1"/>
    <col min="769" max="769" width="12.625" style="3357" customWidth="1"/>
    <col min="770" max="770" width="9" style="3357" customWidth="1"/>
    <col min="771" max="771" width="14.625" style="3357" customWidth="1"/>
    <col min="772" max="772" width="12.75" style="3357" customWidth="1"/>
    <col min="773" max="778" width="16" style="3357" customWidth="1"/>
    <col min="779" max="779" width="12" style="3357" customWidth="1"/>
    <col min="780" max="780" width="41.125" style="3357" customWidth="1"/>
    <col min="781" max="782" width="25.5" style="3357" customWidth="1"/>
    <col min="783" max="783" width="25.625" style="3357" customWidth="1"/>
    <col min="784" max="784" width="22.875" style="3357" customWidth="1"/>
    <col min="785" max="785" width="15.25" style="3357" customWidth="1"/>
    <col min="786" max="786" width="3.25" style="3357" customWidth="1"/>
    <col min="787" max="787" width="13" style="3357" customWidth="1"/>
    <col min="788" max="788" width="15.625" style="3357" customWidth="1"/>
    <col min="789" max="789" width="9" style="3357"/>
    <col min="790" max="790" width="16.625" style="3357" customWidth="1"/>
    <col min="791" max="794" width="14" style="3357" customWidth="1"/>
    <col min="795" max="795" width="121.75" style="3357" customWidth="1"/>
    <col min="796" max="797" width="8.875" style="3357" customWidth="1"/>
    <col min="798" max="1012" width="9" style="3357"/>
    <col min="1013" max="1013" width="8.5" style="3357" customWidth="1"/>
    <col min="1014" max="1016" width="20.375" style="3357" customWidth="1"/>
    <col min="1017" max="1017" width="12.625" style="3357" customWidth="1"/>
    <col min="1018" max="1018" width="7.5" style="3357" customWidth="1"/>
    <col min="1019" max="1019" width="8.625" style="3357" customWidth="1"/>
    <col min="1020" max="1020" width="14.75" style="3357" customWidth="1"/>
    <col min="1021" max="1021" width="14.625" style="3357" customWidth="1"/>
    <col min="1022" max="1022" width="15.75" style="3357" customWidth="1"/>
    <col min="1023" max="1023" width="14.625" style="3357" customWidth="1"/>
    <col min="1024" max="1024" width="8.375" style="3357" customWidth="1"/>
    <col min="1025" max="1025" width="12.625" style="3357" customWidth="1"/>
    <col min="1026" max="1026" width="9" style="3357" customWidth="1"/>
    <col min="1027" max="1027" width="14.625" style="3357" customWidth="1"/>
    <col min="1028" max="1028" width="12.75" style="3357" customWidth="1"/>
    <col min="1029" max="1034" width="16" style="3357" customWidth="1"/>
    <col min="1035" max="1035" width="12" style="3357" customWidth="1"/>
    <col min="1036" max="1036" width="41.125" style="3357" customWidth="1"/>
    <col min="1037" max="1038" width="25.5" style="3357" customWidth="1"/>
    <col min="1039" max="1039" width="25.625" style="3357" customWidth="1"/>
    <col min="1040" max="1040" width="22.875" style="3357" customWidth="1"/>
    <col min="1041" max="1041" width="15.25" style="3357" customWidth="1"/>
    <col min="1042" max="1042" width="3.25" style="3357" customWidth="1"/>
    <col min="1043" max="1043" width="13" style="3357" customWidth="1"/>
    <col min="1044" max="1044" width="15.625" style="3357" customWidth="1"/>
    <col min="1045" max="1045" width="9" style="3357"/>
    <col min="1046" max="1046" width="16.625" style="3357" customWidth="1"/>
    <col min="1047" max="1050" width="14" style="3357" customWidth="1"/>
    <col min="1051" max="1051" width="121.75" style="3357" customWidth="1"/>
    <col min="1052" max="1053" width="8.875" style="3357" customWidth="1"/>
    <col min="1054" max="1268" width="9" style="3357"/>
    <col min="1269" max="1269" width="8.5" style="3357" customWidth="1"/>
    <col min="1270" max="1272" width="20.375" style="3357" customWidth="1"/>
    <col min="1273" max="1273" width="12.625" style="3357" customWidth="1"/>
    <col min="1274" max="1274" width="7.5" style="3357" customWidth="1"/>
    <col min="1275" max="1275" width="8.625" style="3357" customWidth="1"/>
    <col min="1276" max="1276" width="14.75" style="3357" customWidth="1"/>
    <col min="1277" max="1277" width="14.625" style="3357" customWidth="1"/>
    <col min="1278" max="1278" width="15.75" style="3357" customWidth="1"/>
    <col min="1279" max="1279" width="14.625" style="3357" customWidth="1"/>
    <col min="1280" max="1280" width="8.375" style="3357" customWidth="1"/>
    <col min="1281" max="1281" width="12.625" style="3357" customWidth="1"/>
    <col min="1282" max="1282" width="9" style="3357" customWidth="1"/>
    <col min="1283" max="1283" width="14.625" style="3357" customWidth="1"/>
    <col min="1284" max="1284" width="12.75" style="3357" customWidth="1"/>
    <col min="1285" max="1290" width="16" style="3357" customWidth="1"/>
    <col min="1291" max="1291" width="12" style="3357" customWidth="1"/>
    <col min="1292" max="1292" width="41.125" style="3357" customWidth="1"/>
    <col min="1293" max="1294" width="25.5" style="3357" customWidth="1"/>
    <col min="1295" max="1295" width="25.625" style="3357" customWidth="1"/>
    <col min="1296" max="1296" width="22.875" style="3357" customWidth="1"/>
    <col min="1297" max="1297" width="15.25" style="3357" customWidth="1"/>
    <col min="1298" max="1298" width="3.25" style="3357" customWidth="1"/>
    <col min="1299" max="1299" width="13" style="3357" customWidth="1"/>
    <col min="1300" max="1300" width="15.625" style="3357" customWidth="1"/>
    <col min="1301" max="1301" width="9" style="3357"/>
    <col min="1302" max="1302" width="16.625" style="3357" customWidth="1"/>
    <col min="1303" max="1306" width="14" style="3357" customWidth="1"/>
    <col min="1307" max="1307" width="121.75" style="3357" customWidth="1"/>
    <col min="1308" max="1309" width="8.875" style="3357" customWidth="1"/>
    <col min="1310" max="1524" width="9" style="3357"/>
    <col min="1525" max="1525" width="8.5" style="3357" customWidth="1"/>
    <col min="1526" max="1528" width="20.375" style="3357" customWidth="1"/>
    <col min="1529" max="1529" width="12.625" style="3357" customWidth="1"/>
    <col min="1530" max="1530" width="7.5" style="3357" customWidth="1"/>
    <col min="1531" max="1531" width="8.625" style="3357" customWidth="1"/>
    <col min="1532" max="1532" width="14.75" style="3357" customWidth="1"/>
    <col min="1533" max="1533" width="14.625" style="3357" customWidth="1"/>
    <col min="1534" max="1534" width="15.75" style="3357" customWidth="1"/>
    <col min="1535" max="1535" width="14.625" style="3357" customWidth="1"/>
    <col min="1536" max="1536" width="8.375" style="3357" customWidth="1"/>
    <col min="1537" max="1537" width="12.625" style="3357" customWidth="1"/>
    <col min="1538" max="1538" width="9" style="3357" customWidth="1"/>
    <col min="1539" max="1539" width="14.625" style="3357" customWidth="1"/>
    <col min="1540" max="1540" width="12.75" style="3357" customWidth="1"/>
    <col min="1541" max="1546" width="16" style="3357" customWidth="1"/>
    <col min="1547" max="1547" width="12" style="3357" customWidth="1"/>
    <col min="1548" max="1548" width="41.125" style="3357" customWidth="1"/>
    <col min="1549" max="1550" width="25.5" style="3357" customWidth="1"/>
    <col min="1551" max="1551" width="25.625" style="3357" customWidth="1"/>
    <col min="1552" max="1552" width="22.875" style="3357" customWidth="1"/>
    <col min="1553" max="1553" width="15.25" style="3357" customWidth="1"/>
    <col min="1554" max="1554" width="3.25" style="3357" customWidth="1"/>
    <col min="1555" max="1555" width="13" style="3357" customWidth="1"/>
    <col min="1556" max="1556" width="15.625" style="3357" customWidth="1"/>
    <col min="1557" max="1557" width="9" style="3357"/>
    <col min="1558" max="1558" width="16.625" style="3357" customWidth="1"/>
    <col min="1559" max="1562" width="14" style="3357" customWidth="1"/>
    <col min="1563" max="1563" width="121.75" style="3357" customWidth="1"/>
    <col min="1564" max="1565" width="8.875" style="3357" customWidth="1"/>
    <col min="1566" max="1780" width="9" style="3357"/>
    <col min="1781" max="1781" width="8.5" style="3357" customWidth="1"/>
    <col min="1782" max="1784" width="20.375" style="3357" customWidth="1"/>
    <col min="1785" max="1785" width="12.625" style="3357" customWidth="1"/>
    <col min="1786" max="1786" width="7.5" style="3357" customWidth="1"/>
    <col min="1787" max="1787" width="8.625" style="3357" customWidth="1"/>
    <col min="1788" max="1788" width="14.75" style="3357" customWidth="1"/>
    <col min="1789" max="1789" width="14.625" style="3357" customWidth="1"/>
    <col min="1790" max="1790" width="15.75" style="3357" customWidth="1"/>
    <col min="1791" max="1791" width="14.625" style="3357" customWidth="1"/>
    <col min="1792" max="1792" width="8.375" style="3357" customWidth="1"/>
    <col min="1793" max="1793" width="12.625" style="3357" customWidth="1"/>
    <col min="1794" max="1794" width="9" style="3357" customWidth="1"/>
    <col min="1795" max="1795" width="14.625" style="3357" customWidth="1"/>
    <col min="1796" max="1796" width="12.75" style="3357" customWidth="1"/>
    <col min="1797" max="1802" width="16" style="3357" customWidth="1"/>
    <col min="1803" max="1803" width="12" style="3357" customWidth="1"/>
    <col min="1804" max="1804" width="41.125" style="3357" customWidth="1"/>
    <col min="1805" max="1806" width="25.5" style="3357" customWidth="1"/>
    <col min="1807" max="1807" width="25.625" style="3357" customWidth="1"/>
    <col min="1808" max="1808" width="22.875" style="3357" customWidth="1"/>
    <col min="1809" max="1809" width="15.25" style="3357" customWidth="1"/>
    <col min="1810" max="1810" width="3.25" style="3357" customWidth="1"/>
    <col min="1811" max="1811" width="13" style="3357" customWidth="1"/>
    <col min="1812" max="1812" width="15.625" style="3357" customWidth="1"/>
    <col min="1813" max="1813" width="9" style="3357"/>
    <col min="1814" max="1814" width="16.625" style="3357" customWidth="1"/>
    <col min="1815" max="1818" width="14" style="3357" customWidth="1"/>
    <col min="1819" max="1819" width="121.75" style="3357" customWidth="1"/>
    <col min="1820" max="1821" width="8.875" style="3357" customWidth="1"/>
    <col min="1822" max="2036" width="9" style="3357"/>
    <col min="2037" max="2037" width="8.5" style="3357" customWidth="1"/>
    <col min="2038" max="2040" width="20.375" style="3357" customWidth="1"/>
    <col min="2041" max="2041" width="12.625" style="3357" customWidth="1"/>
    <col min="2042" max="2042" width="7.5" style="3357" customWidth="1"/>
    <col min="2043" max="2043" width="8.625" style="3357" customWidth="1"/>
    <col min="2044" max="2044" width="14.75" style="3357" customWidth="1"/>
    <col min="2045" max="2045" width="14.625" style="3357" customWidth="1"/>
    <col min="2046" max="2046" width="15.75" style="3357" customWidth="1"/>
    <col min="2047" max="2047" width="14.625" style="3357" customWidth="1"/>
    <col min="2048" max="2048" width="8.375" style="3357" customWidth="1"/>
    <col min="2049" max="2049" width="12.625" style="3357" customWidth="1"/>
    <col min="2050" max="2050" width="9" style="3357" customWidth="1"/>
    <col min="2051" max="2051" width="14.625" style="3357" customWidth="1"/>
    <col min="2052" max="2052" width="12.75" style="3357" customWidth="1"/>
    <col min="2053" max="2058" width="16" style="3357" customWidth="1"/>
    <col min="2059" max="2059" width="12" style="3357" customWidth="1"/>
    <col min="2060" max="2060" width="41.125" style="3357" customWidth="1"/>
    <col min="2061" max="2062" width="25.5" style="3357" customWidth="1"/>
    <col min="2063" max="2063" width="25.625" style="3357" customWidth="1"/>
    <col min="2064" max="2064" width="22.875" style="3357" customWidth="1"/>
    <col min="2065" max="2065" width="15.25" style="3357" customWidth="1"/>
    <col min="2066" max="2066" width="3.25" style="3357" customWidth="1"/>
    <col min="2067" max="2067" width="13" style="3357" customWidth="1"/>
    <col min="2068" max="2068" width="15.625" style="3357" customWidth="1"/>
    <col min="2069" max="2069" width="9" style="3357"/>
    <col min="2070" max="2070" width="16.625" style="3357" customWidth="1"/>
    <col min="2071" max="2074" width="14" style="3357" customWidth="1"/>
    <col min="2075" max="2075" width="121.75" style="3357" customWidth="1"/>
    <col min="2076" max="2077" width="8.875" style="3357" customWidth="1"/>
    <col min="2078" max="2292" width="9" style="3357"/>
    <col min="2293" max="2293" width="8.5" style="3357" customWidth="1"/>
    <col min="2294" max="2296" width="20.375" style="3357" customWidth="1"/>
    <col min="2297" max="2297" width="12.625" style="3357" customWidth="1"/>
    <col min="2298" max="2298" width="7.5" style="3357" customWidth="1"/>
    <col min="2299" max="2299" width="8.625" style="3357" customWidth="1"/>
    <col min="2300" max="2300" width="14.75" style="3357" customWidth="1"/>
    <col min="2301" max="2301" width="14.625" style="3357" customWidth="1"/>
    <col min="2302" max="2302" width="15.75" style="3357" customWidth="1"/>
    <col min="2303" max="2303" width="14.625" style="3357" customWidth="1"/>
    <col min="2304" max="2304" width="8.375" style="3357" customWidth="1"/>
    <col min="2305" max="2305" width="12.625" style="3357" customWidth="1"/>
    <col min="2306" max="2306" width="9" style="3357" customWidth="1"/>
    <col min="2307" max="2307" width="14.625" style="3357" customWidth="1"/>
    <col min="2308" max="2308" width="12.75" style="3357" customWidth="1"/>
    <col min="2309" max="2314" width="16" style="3357" customWidth="1"/>
    <col min="2315" max="2315" width="12" style="3357" customWidth="1"/>
    <col min="2316" max="2316" width="41.125" style="3357" customWidth="1"/>
    <col min="2317" max="2318" width="25.5" style="3357" customWidth="1"/>
    <col min="2319" max="2319" width="25.625" style="3357" customWidth="1"/>
    <col min="2320" max="2320" width="22.875" style="3357" customWidth="1"/>
    <col min="2321" max="2321" width="15.25" style="3357" customWidth="1"/>
    <col min="2322" max="2322" width="3.25" style="3357" customWidth="1"/>
    <col min="2323" max="2323" width="13" style="3357" customWidth="1"/>
    <col min="2324" max="2324" width="15.625" style="3357" customWidth="1"/>
    <col min="2325" max="2325" width="9" style="3357"/>
    <col min="2326" max="2326" width="16.625" style="3357" customWidth="1"/>
    <col min="2327" max="2330" width="14" style="3357" customWidth="1"/>
    <col min="2331" max="2331" width="121.75" style="3357" customWidth="1"/>
    <col min="2332" max="2333" width="8.875" style="3357" customWidth="1"/>
    <col min="2334" max="2548" width="9" style="3357"/>
    <col min="2549" max="2549" width="8.5" style="3357" customWidth="1"/>
    <col min="2550" max="2552" width="20.375" style="3357" customWidth="1"/>
    <col min="2553" max="2553" width="12.625" style="3357" customWidth="1"/>
    <col min="2554" max="2554" width="7.5" style="3357" customWidth="1"/>
    <col min="2555" max="2555" width="8.625" style="3357" customWidth="1"/>
    <col min="2556" max="2556" width="14.75" style="3357" customWidth="1"/>
    <col min="2557" max="2557" width="14.625" style="3357" customWidth="1"/>
    <col min="2558" max="2558" width="15.75" style="3357" customWidth="1"/>
    <col min="2559" max="2559" width="14.625" style="3357" customWidth="1"/>
    <col min="2560" max="2560" width="8.375" style="3357" customWidth="1"/>
    <col min="2561" max="2561" width="12.625" style="3357" customWidth="1"/>
    <col min="2562" max="2562" width="9" style="3357" customWidth="1"/>
    <col min="2563" max="2563" width="14.625" style="3357" customWidth="1"/>
    <col min="2564" max="2564" width="12.75" style="3357" customWidth="1"/>
    <col min="2565" max="2570" width="16" style="3357" customWidth="1"/>
    <col min="2571" max="2571" width="12" style="3357" customWidth="1"/>
    <col min="2572" max="2572" width="41.125" style="3357" customWidth="1"/>
    <col min="2573" max="2574" width="25.5" style="3357" customWidth="1"/>
    <col min="2575" max="2575" width="25.625" style="3357" customWidth="1"/>
    <col min="2576" max="2576" width="22.875" style="3357" customWidth="1"/>
    <col min="2577" max="2577" width="15.25" style="3357" customWidth="1"/>
    <col min="2578" max="2578" width="3.25" style="3357" customWidth="1"/>
    <col min="2579" max="2579" width="13" style="3357" customWidth="1"/>
    <col min="2580" max="2580" width="15.625" style="3357" customWidth="1"/>
    <col min="2581" max="2581" width="9" style="3357"/>
    <col min="2582" max="2582" width="16.625" style="3357" customWidth="1"/>
    <col min="2583" max="2586" width="14" style="3357" customWidth="1"/>
    <col min="2587" max="2587" width="121.75" style="3357" customWidth="1"/>
    <col min="2588" max="2589" width="8.875" style="3357" customWidth="1"/>
    <col min="2590" max="2804" width="9" style="3357"/>
    <col min="2805" max="2805" width="8.5" style="3357" customWidth="1"/>
    <col min="2806" max="2808" width="20.375" style="3357" customWidth="1"/>
    <col min="2809" max="2809" width="12.625" style="3357" customWidth="1"/>
    <col min="2810" max="2810" width="7.5" style="3357" customWidth="1"/>
    <col min="2811" max="2811" width="8.625" style="3357" customWidth="1"/>
    <col min="2812" max="2812" width="14.75" style="3357" customWidth="1"/>
    <col min="2813" max="2813" width="14.625" style="3357" customWidth="1"/>
    <col min="2814" max="2814" width="15.75" style="3357" customWidth="1"/>
    <col min="2815" max="2815" width="14.625" style="3357" customWidth="1"/>
    <col min="2816" max="2816" width="8.375" style="3357" customWidth="1"/>
    <col min="2817" max="2817" width="12.625" style="3357" customWidth="1"/>
    <col min="2818" max="2818" width="9" style="3357" customWidth="1"/>
    <col min="2819" max="2819" width="14.625" style="3357" customWidth="1"/>
    <col min="2820" max="2820" width="12.75" style="3357" customWidth="1"/>
    <col min="2821" max="2826" width="16" style="3357" customWidth="1"/>
    <col min="2827" max="2827" width="12" style="3357" customWidth="1"/>
    <col min="2828" max="2828" width="41.125" style="3357" customWidth="1"/>
    <col min="2829" max="2830" width="25.5" style="3357" customWidth="1"/>
    <col min="2831" max="2831" width="25.625" style="3357" customWidth="1"/>
    <col min="2832" max="2832" width="22.875" style="3357" customWidth="1"/>
    <col min="2833" max="2833" width="15.25" style="3357" customWidth="1"/>
    <col min="2834" max="2834" width="3.25" style="3357" customWidth="1"/>
    <col min="2835" max="2835" width="13" style="3357" customWidth="1"/>
    <col min="2836" max="2836" width="15.625" style="3357" customWidth="1"/>
    <col min="2837" max="2837" width="9" style="3357"/>
    <col min="2838" max="2838" width="16.625" style="3357" customWidth="1"/>
    <col min="2839" max="2842" width="14" style="3357" customWidth="1"/>
    <col min="2843" max="2843" width="121.75" style="3357" customWidth="1"/>
    <col min="2844" max="2845" width="8.875" style="3357" customWidth="1"/>
    <col min="2846" max="3060" width="9" style="3357"/>
    <col min="3061" max="3061" width="8.5" style="3357" customWidth="1"/>
    <col min="3062" max="3064" width="20.375" style="3357" customWidth="1"/>
    <col min="3065" max="3065" width="12.625" style="3357" customWidth="1"/>
    <col min="3066" max="3066" width="7.5" style="3357" customWidth="1"/>
    <col min="3067" max="3067" width="8.625" style="3357" customWidth="1"/>
    <col min="3068" max="3068" width="14.75" style="3357" customWidth="1"/>
    <col min="3069" max="3069" width="14.625" style="3357" customWidth="1"/>
    <col min="3070" max="3070" width="15.75" style="3357" customWidth="1"/>
    <col min="3071" max="3071" width="14.625" style="3357" customWidth="1"/>
    <col min="3072" max="3072" width="8.375" style="3357" customWidth="1"/>
    <col min="3073" max="3073" width="12.625" style="3357" customWidth="1"/>
    <col min="3074" max="3074" width="9" style="3357" customWidth="1"/>
    <col min="3075" max="3075" width="14.625" style="3357" customWidth="1"/>
    <col min="3076" max="3076" width="12.75" style="3357" customWidth="1"/>
    <col min="3077" max="3082" width="16" style="3357" customWidth="1"/>
    <col min="3083" max="3083" width="12" style="3357" customWidth="1"/>
    <col min="3084" max="3084" width="41.125" style="3357" customWidth="1"/>
    <col min="3085" max="3086" width="25.5" style="3357" customWidth="1"/>
    <col min="3087" max="3087" width="25.625" style="3357" customWidth="1"/>
    <col min="3088" max="3088" width="22.875" style="3357" customWidth="1"/>
    <col min="3089" max="3089" width="15.25" style="3357" customWidth="1"/>
    <col min="3090" max="3090" width="3.25" style="3357" customWidth="1"/>
    <col min="3091" max="3091" width="13" style="3357" customWidth="1"/>
    <col min="3092" max="3092" width="15.625" style="3357" customWidth="1"/>
    <col min="3093" max="3093" width="9" style="3357"/>
    <col min="3094" max="3094" width="16.625" style="3357" customWidth="1"/>
    <col min="3095" max="3098" width="14" style="3357" customWidth="1"/>
    <col min="3099" max="3099" width="121.75" style="3357" customWidth="1"/>
    <col min="3100" max="3101" width="8.875" style="3357" customWidth="1"/>
    <col min="3102" max="3316" width="9" style="3357"/>
    <col min="3317" max="3317" width="8.5" style="3357" customWidth="1"/>
    <col min="3318" max="3320" width="20.375" style="3357" customWidth="1"/>
    <col min="3321" max="3321" width="12.625" style="3357" customWidth="1"/>
    <col min="3322" max="3322" width="7.5" style="3357" customWidth="1"/>
    <col min="3323" max="3323" width="8.625" style="3357" customWidth="1"/>
    <col min="3324" max="3324" width="14.75" style="3357" customWidth="1"/>
    <col min="3325" max="3325" width="14.625" style="3357" customWidth="1"/>
    <col min="3326" max="3326" width="15.75" style="3357" customWidth="1"/>
    <col min="3327" max="3327" width="14.625" style="3357" customWidth="1"/>
    <col min="3328" max="3328" width="8.375" style="3357" customWidth="1"/>
    <col min="3329" max="3329" width="12.625" style="3357" customWidth="1"/>
    <col min="3330" max="3330" width="9" style="3357" customWidth="1"/>
    <col min="3331" max="3331" width="14.625" style="3357" customWidth="1"/>
    <col min="3332" max="3332" width="12.75" style="3357" customWidth="1"/>
    <col min="3333" max="3338" width="16" style="3357" customWidth="1"/>
    <col min="3339" max="3339" width="12" style="3357" customWidth="1"/>
    <col min="3340" max="3340" width="41.125" style="3357" customWidth="1"/>
    <col min="3341" max="3342" width="25.5" style="3357" customWidth="1"/>
    <col min="3343" max="3343" width="25.625" style="3357" customWidth="1"/>
    <col min="3344" max="3344" width="22.875" style="3357" customWidth="1"/>
    <col min="3345" max="3345" width="15.25" style="3357" customWidth="1"/>
    <col min="3346" max="3346" width="3.25" style="3357" customWidth="1"/>
    <col min="3347" max="3347" width="13" style="3357" customWidth="1"/>
    <col min="3348" max="3348" width="15.625" style="3357" customWidth="1"/>
    <col min="3349" max="3349" width="9" style="3357"/>
    <col min="3350" max="3350" width="16.625" style="3357" customWidth="1"/>
    <col min="3351" max="3354" width="14" style="3357" customWidth="1"/>
    <col min="3355" max="3355" width="121.75" style="3357" customWidth="1"/>
    <col min="3356" max="3357" width="8.875" style="3357" customWidth="1"/>
    <col min="3358" max="3572" width="9" style="3357"/>
    <col min="3573" max="3573" width="8.5" style="3357" customWidth="1"/>
    <col min="3574" max="3576" width="20.375" style="3357" customWidth="1"/>
    <col min="3577" max="3577" width="12.625" style="3357" customWidth="1"/>
    <col min="3578" max="3578" width="7.5" style="3357" customWidth="1"/>
    <col min="3579" max="3579" width="8.625" style="3357" customWidth="1"/>
    <col min="3580" max="3580" width="14.75" style="3357" customWidth="1"/>
    <col min="3581" max="3581" width="14.625" style="3357" customWidth="1"/>
    <col min="3582" max="3582" width="15.75" style="3357" customWidth="1"/>
    <col min="3583" max="3583" width="14.625" style="3357" customWidth="1"/>
    <col min="3584" max="3584" width="8.375" style="3357" customWidth="1"/>
    <col min="3585" max="3585" width="12.625" style="3357" customWidth="1"/>
    <col min="3586" max="3586" width="9" style="3357" customWidth="1"/>
    <col min="3587" max="3587" width="14.625" style="3357" customWidth="1"/>
    <col min="3588" max="3588" width="12.75" style="3357" customWidth="1"/>
    <col min="3589" max="3594" width="16" style="3357" customWidth="1"/>
    <col min="3595" max="3595" width="12" style="3357" customWidth="1"/>
    <col min="3596" max="3596" width="41.125" style="3357" customWidth="1"/>
    <col min="3597" max="3598" width="25.5" style="3357" customWidth="1"/>
    <col min="3599" max="3599" width="25.625" style="3357" customWidth="1"/>
    <col min="3600" max="3600" width="22.875" style="3357" customWidth="1"/>
    <col min="3601" max="3601" width="15.25" style="3357" customWidth="1"/>
    <col min="3602" max="3602" width="3.25" style="3357" customWidth="1"/>
    <col min="3603" max="3603" width="13" style="3357" customWidth="1"/>
    <col min="3604" max="3604" width="15.625" style="3357" customWidth="1"/>
    <col min="3605" max="3605" width="9" style="3357"/>
    <col min="3606" max="3606" width="16.625" style="3357" customWidth="1"/>
    <col min="3607" max="3610" width="14" style="3357" customWidth="1"/>
    <col min="3611" max="3611" width="121.75" style="3357" customWidth="1"/>
    <col min="3612" max="3613" width="8.875" style="3357" customWidth="1"/>
    <col min="3614" max="3828" width="9" style="3357"/>
    <col min="3829" max="3829" width="8.5" style="3357" customWidth="1"/>
    <col min="3830" max="3832" width="20.375" style="3357" customWidth="1"/>
    <col min="3833" max="3833" width="12.625" style="3357" customWidth="1"/>
    <col min="3834" max="3834" width="7.5" style="3357" customWidth="1"/>
    <col min="3835" max="3835" width="8.625" style="3357" customWidth="1"/>
    <col min="3836" max="3836" width="14.75" style="3357" customWidth="1"/>
    <col min="3837" max="3837" width="14.625" style="3357" customWidth="1"/>
    <col min="3838" max="3838" width="15.75" style="3357" customWidth="1"/>
    <col min="3839" max="3839" width="14.625" style="3357" customWidth="1"/>
    <col min="3840" max="3840" width="8.375" style="3357" customWidth="1"/>
    <col min="3841" max="3841" width="12.625" style="3357" customWidth="1"/>
    <col min="3842" max="3842" width="9" style="3357" customWidth="1"/>
    <col min="3843" max="3843" width="14.625" style="3357" customWidth="1"/>
    <col min="3844" max="3844" width="12.75" style="3357" customWidth="1"/>
    <col min="3845" max="3850" width="16" style="3357" customWidth="1"/>
    <col min="3851" max="3851" width="12" style="3357" customWidth="1"/>
    <col min="3852" max="3852" width="41.125" style="3357" customWidth="1"/>
    <col min="3853" max="3854" width="25.5" style="3357" customWidth="1"/>
    <col min="3855" max="3855" width="25.625" style="3357" customWidth="1"/>
    <col min="3856" max="3856" width="22.875" style="3357" customWidth="1"/>
    <col min="3857" max="3857" width="15.25" style="3357" customWidth="1"/>
    <col min="3858" max="3858" width="3.25" style="3357" customWidth="1"/>
    <col min="3859" max="3859" width="13" style="3357" customWidth="1"/>
    <col min="3860" max="3860" width="15.625" style="3357" customWidth="1"/>
    <col min="3861" max="3861" width="9" style="3357"/>
    <col min="3862" max="3862" width="16.625" style="3357" customWidth="1"/>
    <col min="3863" max="3866" width="14" style="3357" customWidth="1"/>
    <col min="3867" max="3867" width="121.75" style="3357" customWidth="1"/>
    <col min="3868" max="3869" width="8.875" style="3357" customWidth="1"/>
    <col min="3870" max="4084" width="9" style="3357"/>
    <col min="4085" max="4085" width="8.5" style="3357" customWidth="1"/>
    <col min="4086" max="4088" width="20.375" style="3357" customWidth="1"/>
    <col min="4089" max="4089" width="12.625" style="3357" customWidth="1"/>
    <col min="4090" max="4090" width="7.5" style="3357" customWidth="1"/>
    <col min="4091" max="4091" width="8.625" style="3357" customWidth="1"/>
    <col min="4092" max="4092" width="14.75" style="3357" customWidth="1"/>
    <col min="4093" max="4093" width="14.625" style="3357" customWidth="1"/>
    <col min="4094" max="4094" width="15.75" style="3357" customWidth="1"/>
    <col min="4095" max="4095" width="14.625" style="3357" customWidth="1"/>
    <col min="4096" max="4096" width="8.375" style="3357" customWidth="1"/>
    <col min="4097" max="4097" width="12.625" style="3357" customWidth="1"/>
    <col min="4098" max="4098" width="9" style="3357" customWidth="1"/>
    <col min="4099" max="4099" width="14.625" style="3357" customWidth="1"/>
    <col min="4100" max="4100" width="12.75" style="3357" customWidth="1"/>
    <col min="4101" max="4106" width="16" style="3357" customWidth="1"/>
    <col min="4107" max="4107" width="12" style="3357" customWidth="1"/>
    <col min="4108" max="4108" width="41.125" style="3357" customWidth="1"/>
    <col min="4109" max="4110" width="25.5" style="3357" customWidth="1"/>
    <col min="4111" max="4111" width="25.625" style="3357" customWidth="1"/>
    <col min="4112" max="4112" width="22.875" style="3357" customWidth="1"/>
    <col min="4113" max="4113" width="15.25" style="3357" customWidth="1"/>
    <col min="4114" max="4114" width="3.25" style="3357" customWidth="1"/>
    <col min="4115" max="4115" width="13" style="3357" customWidth="1"/>
    <col min="4116" max="4116" width="15.625" style="3357" customWidth="1"/>
    <col min="4117" max="4117" width="9" style="3357"/>
    <col min="4118" max="4118" width="16.625" style="3357" customWidth="1"/>
    <col min="4119" max="4122" width="14" style="3357" customWidth="1"/>
    <col min="4123" max="4123" width="121.75" style="3357" customWidth="1"/>
    <col min="4124" max="4125" width="8.875" style="3357" customWidth="1"/>
    <col min="4126" max="4340" width="9" style="3357"/>
    <col min="4341" max="4341" width="8.5" style="3357" customWidth="1"/>
    <col min="4342" max="4344" width="20.375" style="3357" customWidth="1"/>
    <col min="4345" max="4345" width="12.625" style="3357" customWidth="1"/>
    <col min="4346" max="4346" width="7.5" style="3357" customWidth="1"/>
    <col min="4347" max="4347" width="8.625" style="3357" customWidth="1"/>
    <col min="4348" max="4348" width="14.75" style="3357" customWidth="1"/>
    <col min="4349" max="4349" width="14.625" style="3357" customWidth="1"/>
    <col min="4350" max="4350" width="15.75" style="3357" customWidth="1"/>
    <col min="4351" max="4351" width="14.625" style="3357" customWidth="1"/>
    <col min="4352" max="4352" width="8.375" style="3357" customWidth="1"/>
    <col min="4353" max="4353" width="12.625" style="3357" customWidth="1"/>
    <col min="4354" max="4354" width="9" style="3357" customWidth="1"/>
    <col min="4355" max="4355" width="14.625" style="3357" customWidth="1"/>
    <col min="4356" max="4356" width="12.75" style="3357" customWidth="1"/>
    <col min="4357" max="4362" width="16" style="3357" customWidth="1"/>
    <col min="4363" max="4363" width="12" style="3357" customWidth="1"/>
    <col min="4364" max="4364" width="41.125" style="3357" customWidth="1"/>
    <col min="4365" max="4366" width="25.5" style="3357" customWidth="1"/>
    <col min="4367" max="4367" width="25.625" style="3357" customWidth="1"/>
    <col min="4368" max="4368" width="22.875" style="3357" customWidth="1"/>
    <col min="4369" max="4369" width="15.25" style="3357" customWidth="1"/>
    <col min="4370" max="4370" width="3.25" style="3357" customWidth="1"/>
    <col min="4371" max="4371" width="13" style="3357" customWidth="1"/>
    <col min="4372" max="4372" width="15.625" style="3357" customWidth="1"/>
    <col min="4373" max="4373" width="9" style="3357"/>
    <col min="4374" max="4374" width="16.625" style="3357" customWidth="1"/>
    <col min="4375" max="4378" width="14" style="3357" customWidth="1"/>
    <col min="4379" max="4379" width="121.75" style="3357" customWidth="1"/>
    <col min="4380" max="4381" width="8.875" style="3357" customWidth="1"/>
    <col min="4382" max="4596" width="9" style="3357"/>
    <col min="4597" max="4597" width="8.5" style="3357" customWidth="1"/>
    <col min="4598" max="4600" width="20.375" style="3357" customWidth="1"/>
    <col min="4601" max="4601" width="12.625" style="3357" customWidth="1"/>
    <col min="4602" max="4602" width="7.5" style="3357" customWidth="1"/>
    <col min="4603" max="4603" width="8.625" style="3357" customWidth="1"/>
    <col min="4604" max="4604" width="14.75" style="3357" customWidth="1"/>
    <col min="4605" max="4605" width="14.625" style="3357" customWidth="1"/>
    <col min="4606" max="4606" width="15.75" style="3357" customWidth="1"/>
    <col min="4607" max="4607" width="14.625" style="3357" customWidth="1"/>
    <col min="4608" max="4608" width="8.375" style="3357" customWidth="1"/>
    <col min="4609" max="4609" width="12.625" style="3357" customWidth="1"/>
    <col min="4610" max="4610" width="9" style="3357" customWidth="1"/>
    <col min="4611" max="4611" width="14.625" style="3357" customWidth="1"/>
    <col min="4612" max="4612" width="12.75" style="3357" customWidth="1"/>
    <col min="4613" max="4618" width="16" style="3357" customWidth="1"/>
    <col min="4619" max="4619" width="12" style="3357" customWidth="1"/>
    <col min="4620" max="4620" width="41.125" style="3357" customWidth="1"/>
    <col min="4621" max="4622" width="25.5" style="3357" customWidth="1"/>
    <col min="4623" max="4623" width="25.625" style="3357" customWidth="1"/>
    <col min="4624" max="4624" width="22.875" style="3357" customWidth="1"/>
    <col min="4625" max="4625" width="15.25" style="3357" customWidth="1"/>
    <col min="4626" max="4626" width="3.25" style="3357" customWidth="1"/>
    <col min="4627" max="4627" width="13" style="3357" customWidth="1"/>
    <col min="4628" max="4628" width="15.625" style="3357" customWidth="1"/>
    <col min="4629" max="4629" width="9" style="3357"/>
    <col min="4630" max="4630" width="16.625" style="3357" customWidth="1"/>
    <col min="4631" max="4634" width="14" style="3357" customWidth="1"/>
    <col min="4635" max="4635" width="121.75" style="3357" customWidth="1"/>
    <col min="4636" max="4637" width="8.875" style="3357" customWidth="1"/>
    <col min="4638" max="4852" width="9" style="3357"/>
    <col min="4853" max="4853" width="8.5" style="3357" customWidth="1"/>
    <col min="4854" max="4856" width="20.375" style="3357" customWidth="1"/>
    <col min="4857" max="4857" width="12.625" style="3357" customWidth="1"/>
    <col min="4858" max="4858" width="7.5" style="3357" customWidth="1"/>
    <col min="4859" max="4859" width="8.625" style="3357" customWidth="1"/>
    <col min="4860" max="4860" width="14.75" style="3357" customWidth="1"/>
    <col min="4861" max="4861" width="14.625" style="3357" customWidth="1"/>
    <col min="4862" max="4862" width="15.75" style="3357" customWidth="1"/>
    <col min="4863" max="4863" width="14.625" style="3357" customWidth="1"/>
    <col min="4864" max="4864" width="8.375" style="3357" customWidth="1"/>
    <col min="4865" max="4865" width="12.625" style="3357" customWidth="1"/>
    <col min="4866" max="4866" width="9" style="3357" customWidth="1"/>
    <col min="4867" max="4867" width="14.625" style="3357" customWidth="1"/>
    <col min="4868" max="4868" width="12.75" style="3357" customWidth="1"/>
    <col min="4869" max="4874" width="16" style="3357" customWidth="1"/>
    <col min="4875" max="4875" width="12" style="3357" customWidth="1"/>
    <col min="4876" max="4876" width="41.125" style="3357" customWidth="1"/>
    <col min="4877" max="4878" width="25.5" style="3357" customWidth="1"/>
    <col min="4879" max="4879" width="25.625" style="3357" customWidth="1"/>
    <col min="4880" max="4880" width="22.875" style="3357" customWidth="1"/>
    <col min="4881" max="4881" width="15.25" style="3357" customWidth="1"/>
    <col min="4882" max="4882" width="3.25" style="3357" customWidth="1"/>
    <col min="4883" max="4883" width="13" style="3357" customWidth="1"/>
    <col min="4884" max="4884" width="15.625" style="3357" customWidth="1"/>
    <col min="4885" max="4885" width="9" style="3357"/>
    <col min="4886" max="4886" width="16.625" style="3357" customWidth="1"/>
    <col min="4887" max="4890" width="14" style="3357" customWidth="1"/>
    <col min="4891" max="4891" width="121.75" style="3357" customWidth="1"/>
    <col min="4892" max="4893" width="8.875" style="3357" customWidth="1"/>
    <col min="4894" max="5108" width="9" style="3357"/>
    <col min="5109" max="5109" width="8.5" style="3357" customWidth="1"/>
    <col min="5110" max="5112" width="20.375" style="3357" customWidth="1"/>
    <col min="5113" max="5113" width="12.625" style="3357" customWidth="1"/>
    <col min="5114" max="5114" width="7.5" style="3357" customWidth="1"/>
    <col min="5115" max="5115" width="8.625" style="3357" customWidth="1"/>
    <col min="5116" max="5116" width="14.75" style="3357" customWidth="1"/>
    <col min="5117" max="5117" width="14.625" style="3357" customWidth="1"/>
    <col min="5118" max="5118" width="15.75" style="3357" customWidth="1"/>
    <col min="5119" max="5119" width="14.625" style="3357" customWidth="1"/>
    <col min="5120" max="5120" width="8.375" style="3357" customWidth="1"/>
    <col min="5121" max="5121" width="12.625" style="3357" customWidth="1"/>
    <col min="5122" max="5122" width="9" style="3357" customWidth="1"/>
    <col min="5123" max="5123" width="14.625" style="3357" customWidth="1"/>
    <col min="5124" max="5124" width="12.75" style="3357" customWidth="1"/>
    <col min="5125" max="5130" width="16" style="3357" customWidth="1"/>
    <col min="5131" max="5131" width="12" style="3357" customWidth="1"/>
    <col min="5132" max="5132" width="41.125" style="3357" customWidth="1"/>
    <col min="5133" max="5134" width="25.5" style="3357" customWidth="1"/>
    <col min="5135" max="5135" width="25.625" style="3357" customWidth="1"/>
    <col min="5136" max="5136" width="22.875" style="3357" customWidth="1"/>
    <col min="5137" max="5137" width="15.25" style="3357" customWidth="1"/>
    <col min="5138" max="5138" width="3.25" style="3357" customWidth="1"/>
    <col min="5139" max="5139" width="13" style="3357" customWidth="1"/>
    <col min="5140" max="5140" width="15.625" style="3357" customWidth="1"/>
    <col min="5141" max="5141" width="9" style="3357"/>
    <col min="5142" max="5142" width="16.625" style="3357" customWidth="1"/>
    <col min="5143" max="5146" width="14" style="3357" customWidth="1"/>
    <col min="5147" max="5147" width="121.75" style="3357" customWidth="1"/>
    <col min="5148" max="5149" width="8.875" style="3357" customWidth="1"/>
    <col min="5150" max="5364" width="9" style="3357"/>
    <col min="5365" max="5365" width="8.5" style="3357" customWidth="1"/>
    <col min="5366" max="5368" width="20.375" style="3357" customWidth="1"/>
    <col min="5369" max="5369" width="12.625" style="3357" customWidth="1"/>
    <col min="5370" max="5370" width="7.5" style="3357" customWidth="1"/>
    <col min="5371" max="5371" width="8.625" style="3357" customWidth="1"/>
    <col min="5372" max="5372" width="14.75" style="3357" customWidth="1"/>
    <col min="5373" max="5373" width="14.625" style="3357" customWidth="1"/>
    <col min="5374" max="5374" width="15.75" style="3357" customWidth="1"/>
    <col min="5375" max="5375" width="14.625" style="3357" customWidth="1"/>
    <col min="5376" max="5376" width="8.375" style="3357" customWidth="1"/>
    <col min="5377" max="5377" width="12.625" style="3357" customWidth="1"/>
    <col min="5378" max="5378" width="9" style="3357" customWidth="1"/>
    <col min="5379" max="5379" width="14.625" style="3357" customWidth="1"/>
    <col min="5380" max="5380" width="12.75" style="3357" customWidth="1"/>
    <col min="5381" max="5386" width="16" style="3357" customWidth="1"/>
    <col min="5387" max="5387" width="12" style="3357" customWidth="1"/>
    <col min="5388" max="5388" width="41.125" style="3357" customWidth="1"/>
    <col min="5389" max="5390" width="25.5" style="3357" customWidth="1"/>
    <col min="5391" max="5391" width="25.625" style="3357" customWidth="1"/>
    <col min="5392" max="5392" width="22.875" style="3357" customWidth="1"/>
    <col min="5393" max="5393" width="15.25" style="3357" customWidth="1"/>
    <col min="5394" max="5394" width="3.25" style="3357" customWidth="1"/>
    <col min="5395" max="5395" width="13" style="3357" customWidth="1"/>
    <col min="5396" max="5396" width="15.625" style="3357" customWidth="1"/>
    <col min="5397" max="5397" width="9" style="3357"/>
    <col min="5398" max="5398" width="16.625" style="3357" customWidth="1"/>
    <col min="5399" max="5402" width="14" style="3357" customWidth="1"/>
    <col min="5403" max="5403" width="121.75" style="3357" customWidth="1"/>
    <col min="5404" max="5405" width="8.875" style="3357" customWidth="1"/>
    <col min="5406" max="5620" width="9" style="3357"/>
    <col min="5621" max="5621" width="8.5" style="3357" customWidth="1"/>
    <col min="5622" max="5624" width="20.375" style="3357" customWidth="1"/>
    <col min="5625" max="5625" width="12.625" style="3357" customWidth="1"/>
    <col min="5626" max="5626" width="7.5" style="3357" customWidth="1"/>
    <col min="5627" max="5627" width="8.625" style="3357" customWidth="1"/>
    <col min="5628" max="5628" width="14.75" style="3357" customWidth="1"/>
    <col min="5629" max="5629" width="14.625" style="3357" customWidth="1"/>
    <col min="5630" max="5630" width="15.75" style="3357" customWidth="1"/>
    <col min="5631" max="5631" width="14.625" style="3357" customWidth="1"/>
    <col min="5632" max="5632" width="8.375" style="3357" customWidth="1"/>
    <col min="5633" max="5633" width="12.625" style="3357" customWidth="1"/>
    <col min="5634" max="5634" width="9" style="3357" customWidth="1"/>
    <col min="5635" max="5635" width="14.625" style="3357" customWidth="1"/>
    <col min="5636" max="5636" width="12.75" style="3357" customWidth="1"/>
    <col min="5637" max="5642" width="16" style="3357" customWidth="1"/>
    <col min="5643" max="5643" width="12" style="3357" customWidth="1"/>
    <col min="5644" max="5644" width="41.125" style="3357" customWidth="1"/>
    <col min="5645" max="5646" width="25.5" style="3357" customWidth="1"/>
    <col min="5647" max="5647" width="25.625" style="3357" customWidth="1"/>
    <col min="5648" max="5648" width="22.875" style="3357" customWidth="1"/>
    <col min="5649" max="5649" width="15.25" style="3357" customWidth="1"/>
    <col min="5650" max="5650" width="3.25" style="3357" customWidth="1"/>
    <col min="5651" max="5651" width="13" style="3357" customWidth="1"/>
    <col min="5652" max="5652" width="15.625" style="3357" customWidth="1"/>
    <col min="5653" max="5653" width="9" style="3357"/>
    <col min="5654" max="5654" width="16.625" style="3357" customWidth="1"/>
    <col min="5655" max="5658" width="14" style="3357" customWidth="1"/>
    <col min="5659" max="5659" width="121.75" style="3357" customWidth="1"/>
    <col min="5660" max="5661" width="8.875" style="3357" customWidth="1"/>
    <col min="5662" max="5876" width="9" style="3357"/>
    <col min="5877" max="5877" width="8.5" style="3357" customWidth="1"/>
    <col min="5878" max="5880" width="20.375" style="3357" customWidth="1"/>
    <col min="5881" max="5881" width="12.625" style="3357" customWidth="1"/>
    <col min="5882" max="5882" width="7.5" style="3357" customWidth="1"/>
    <col min="5883" max="5883" width="8.625" style="3357" customWidth="1"/>
    <col min="5884" max="5884" width="14.75" style="3357" customWidth="1"/>
    <col min="5885" max="5885" width="14.625" style="3357" customWidth="1"/>
    <col min="5886" max="5886" width="15.75" style="3357" customWidth="1"/>
    <col min="5887" max="5887" width="14.625" style="3357" customWidth="1"/>
    <col min="5888" max="5888" width="8.375" style="3357" customWidth="1"/>
    <col min="5889" max="5889" width="12.625" style="3357" customWidth="1"/>
    <col min="5890" max="5890" width="9" style="3357" customWidth="1"/>
    <col min="5891" max="5891" width="14.625" style="3357" customWidth="1"/>
    <col min="5892" max="5892" width="12.75" style="3357" customWidth="1"/>
    <col min="5893" max="5898" width="16" style="3357" customWidth="1"/>
    <col min="5899" max="5899" width="12" style="3357" customWidth="1"/>
    <col min="5900" max="5900" width="41.125" style="3357" customWidth="1"/>
    <col min="5901" max="5902" width="25.5" style="3357" customWidth="1"/>
    <col min="5903" max="5903" width="25.625" style="3357" customWidth="1"/>
    <col min="5904" max="5904" width="22.875" style="3357" customWidth="1"/>
    <col min="5905" max="5905" width="15.25" style="3357" customWidth="1"/>
    <col min="5906" max="5906" width="3.25" style="3357" customWidth="1"/>
    <col min="5907" max="5907" width="13" style="3357" customWidth="1"/>
    <col min="5908" max="5908" width="15.625" style="3357" customWidth="1"/>
    <col min="5909" max="5909" width="9" style="3357"/>
    <col min="5910" max="5910" width="16.625" style="3357" customWidth="1"/>
    <col min="5911" max="5914" width="14" style="3357" customWidth="1"/>
    <col min="5915" max="5915" width="121.75" style="3357" customWidth="1"/>
    <col min="5916" max="5917" width="8.875" style="3357" customWidth="1"/>
    <col min="5918" max="6132" width="9" style="3357"/>
    <col min="6133" max="6133" width="8.5" style="3357" customWidth="1"/>
    <col min="6134" max="6136" width="20.375" style="3357" customWidth="1"/>
    <col min="6137" max="6137" width="12.625" style="3357" customWidth="1"/>
    <col min="6138" max="6138" width="7.5" style="3357" customWidth="1"/>
    <col min="6139" max="6139" width="8.625" style="3357" customWidth="1"/>
    <col min="6140" max="6140" width="14.75" style="3357" customWidth="1"/>
    <col min="6141" max="6141" width="14.625" style="3357" customWidth="1"/>
    <col min="6142" max="6142" width="15.75" style="3357" customWidth="1"/>
    <col min="6143" max="6143" width="14.625" style="3357" customWidth="1"/>
    <col min="6144" max="6144" width="8.375" style="3357" customWidth="1"/>
    <col min="6145" max="6145" width="12.625" style="3357" customWidth="1"/>
    <col min="6146" max="6146" width="9" style="3357" customWidth="1"/>
    <col min="6147" max="6147" width="14.625" style="3357" customWidth="1"/>
    <col min="6148" max="6148" width="12.75" style="3357" customWidth="1"/>
    <col min="6149" max="6154" width="16" style="3357" customWidth="1"/>
    <col min="6155" max="6155" width="12" style="3357" customWidth="1"/>
    <col min="6156" max="6156" width="41.125" style="3357" customWidth="1"/>
    <col min="6157" max="6158" width="25.5" style="3357" customWidth="1"/>
    <col min="6159" max="6159" width="25.625" style="3357" customWidth="1"/>
    <col min="6160" max="6160" width="22.875" style="3357" customWidth="1"/>
    <col min="6161" max="6161" width="15.25" style="3357" customWidth="1"/>
    <col min="6162" max="6162" width="3.25" style="3357" customWidth="1"/>
    <col min="6163" max="6163" width="13" style="3357" customWidth="1"/>
    <col min="6164" max="6164" width="15.625" style="3357" customWidth="1"/>
    <col min="6165" max="6165" width="9" style="3357"/>
    <col min="6166" max="6166" width="16.625" style="3357" customWidth="1"/>
    <col min="6167" max="6170" width="14" style="3357" customWidth="1"/>
    <col min="6171" max="6171" width="121.75" style="3357" customWidth="1"/>
    <col min="6172" max="6173" width="8.875" style="3357" customWidth="1"/>
    <col min="6174" max="6388" width="9" style="3357"/>
    <col min="6389" max="6389" width="8.5" style="3357" customWidth="1"/>
    <col min="6390" max="6392" width="20.375" style="3357" customWidth="1"/>
    <col min="6393" max="6393" width="12.625" style="3357" customWidth="1"/>
    <col min="6394" max="6394" width="7.5" style="3357" customWidth="1"/>
    <col min="6395" max="6395" width="8.625" style="3357" customWidth="1"/>
    <col min="6396" max="6396" width="14.75" style="3357" customWidth="1"/>
    <col min="6397" max="6397" width="14.625" style="3357" customWidth="1"/>
    <col min="6398" max="6398" width="15.75" style="3357" customWidth="1"/>
    <col min="6399" max="6399" width="14.625" style="3357" customWidth="1"/>
    <col min="6400" max="6400" width="8.375" style="3357" customWidth="1"/>
    <col min="6401" max="6401" width="12.625" style="3357" customWidth="1"/>
    <col min="6402" max="6402" width="9" style="3357" customWidth="1"/>
    <col min="6403" max="6403" width="14.625" style="3357" customWidth="1"/>
    <col min="6404" max="6404" width="12.75" style="3357" customWidth="1"/>
    <col min="6405" max="6410" width="16" style="3357" customWidth="1"/>
    <col min="6411" max="6411" width="12" style="3357" customWidth="1"/>
    <col min="6412" max="6412" width="41.125" style="3357" customWidth="1"/>
    <col min="6413" max="6414" width="25.5" style="3357" customWidth="1"/>
    <col min="6415" max="6415" width="25.625" style="3357" customWidth="1"/>
    <col min="6416" max="6416" width="22.875" style="3357" customWidth="1"/>
    <col min="6417" max="6417" width="15.25" style="3357" customWidth="1"/>
    <col min="6418" max="6418" width="3.25" style="3357" customWidth="1"/>
    <col min="6419" max="6419" width="13" style="3357" customWidth="1"/>
    <col min="6420" max="6420" width="15.625" style="3357" customWidth="1"/>
    <col min="6421" max="6421" width="9" style="3357"/>
    <col min="6422" max="6422" width="16.625" style="3357" customWidth="1"/>
    <col min="6423" max="6426" width="14" style="3357" customWidth="1"/>
    <col min="6427" max="6427" width="121.75" style="3357" customWidth="1"/>
    <col min="6428" max="6429" width="8.875" style="3357" customWidth="1"/>
    <col min="6430" max="6644" width="9" style="3357"/>
    <col min="6645" max="6645" width="8.5" style="3357" customWidth="1"/>
    <col min="6646" max="6648" width="20.375" style="3357" customWidth="1"/>
    <col min="6649" max="6649" width="12.625" style="3357" customWidth="1"/>
    <col min="6650" max="6650" width="7.5" style="3357" customWidth="1"/>
    <col min="6651" max="6651" width="8.625" style="3357" customWidth="1"/>
    <col min="6652" max="6652" width="14.75" style="3357" customWidth="1"/>
    <col min="6653" max="6653" width="14.625" style="3357" customWidth="1"/>
    <col min="6654" max="6654" width="15.75" style="3357" customWidth="1"/>
    <col min="6655" max="6655" width="14.625" style="3357" customWidth="1"/>
    <col min="6656" max="6656" width="8.375" style="3357" customWidth="1"/>
    <col min="6657" max="6657" width="12.625" style="3357" customWidth="1"/>
    <col min="6658" max="6658" width="9" style="3357" customWidth="1"/>
    <col min="6659" max="6659" width="14.625" style="3357" customWidth="1"/>
    <col min="6660" max="6660" width="12.75" style="3357" customWidth="1"/>
    <col min="6661" max="6666" width="16" style="3357" customWidth="1"/>
    <col min="6667" max="6667" width="12" style="3357" customWidth="1"/>
    <col min="6668" max="6668" width="41.125" style="3357" customWidth="1"/>
    <col min="6669" max="6670" width="25.5" style="3357" customWidth="1"/>
    <col min="6671" max="6671" width="25.625" style="3357" customWidth="1"/>
    <col min="6672" max="6672" width="22.875" style="3357" customWidth="1"/>
    <col min="6673" max="6673" width="15.25" style="3357" customWidth="1"/>
    <col min="6674" max="6674" width="3.25" style="3357" customWidth="1"/>
    <col min="6675" max="6675" width="13" style="3357" customWidth="1"/>
    <col min="6676" max="6676" width="15.625" style="3357" customWidth="1"/>
    <col min="6677" max="6677" width="9" style="3357"/>
    <col min="6678" max="6678" width="16.625" style="3357" customWidth="1"/>
    <col min="6679" max="6682" width="14" style="3357" customWidth="1"/>
    <col min="6683" max="6683" width="121.75" style="3357" customWidth="1"/>
    <col min="6684" max="6685" width="8.875" style="3357" customWidth="1"/>
    <col min="6686" max="6900" width="9" style="3357"/>
    <col min="6901" max="6901" width="8.5" style="3357" customWidth="1"/>
    <col min="6902" max="6904" width="20.375" style="3357" customWidth="1"/>
    <col min="6905" max="6905" width="12.625" style="3357" customWidth="1"/>
    <col min="6906" max="6906" width="7.5" style="3357" customWidth="1"/>
    <col min="6907" max="6907" width="8.625" style="3357" customWidth="1"/>
    <col min="6908" max="6908" width="14.75" style="3357" customWidth="1"/>
    <col min="6909" max="6909" width="14.625" style="3357" customWidth="1"/>
    <col min="6910" max="6910" width="15.75" style="3357" customWidth="1"/>
    <col min="6911" max="6911" width="14.625" style="3357" customWidth="1"/>
    <col min="6912" max="6912" width="8.375" style="3357" customWidth="1"/>
    <col min="6913" max="6913" width="12.625" style="3357" customWidth="1"/>
    <col min="6914" max="6914" width="9" style="3357" customWidth="1"/>
    <col min="6915" max="6915" width="14.625" style="3357" customWidth="1"/>
    <col min="6916" max="6916" width="12.75" style="3357" customWidth="1"/>
    <col min="6917" max="6922" width="16" style="3357" customWidth="1"/>
    <col min="6923" max="6923" width="12" style="3357" customWidth="1"/>
    <col min="6924" max="6924" width="41.125" style="3357" customWidth="1"/>
    <col min="6925" max="6926" width="25.5" style="3357" customWidth="1"/>
    <col min="6927" max="6927" width="25.625" style="3357" customWidth="1"/>
    <col min="6928" max="6928" width="22.875" style="3357" customWidth="1"/>
    <col min="6929" max="6929" width="15.25" style="3357" customWidth="1"/>
    <col min="6930" max="6930" width="3.25" style="3357" customWidth="1"/>
    <col min="6931" max="6931" width="13" style="3357" customWidth="1"/>
    <col min="6932" max="6932" width="15.625" style="3357" customWidth="1"/>
    <col min="6933" max="6933" width="9" style="3357"/>
    <col min="6934" max="6934" width="16.625" style="3357" customWidth="1"/>
    <col min="6935" max="6938" width="14" style="3357" customWidth="1"/>
    <col min="6939" max="6939" width="121.75" style="3357" customWidth="1"/>
    <col min="6940" max="6941" width="8.875" style="3357" customWidth="1"/>
    <col min="6942" max="7156" width="9" style="3357"/>
    <col min="7157" max="7157" width="8.5" style="3357" customWidth="1"/>
    <col min="7158" max="7160" width="20.375" style="3357" customWidth="1"/>
    <col min="7161" max="7161" width="12.625" style="3357" customWidth="1"/>
    <col min="7162" max="7162" width="7.5" style="3357" customWidth="1"/>
    <col min="7163" max="7163" width="8.625" style="3357" customWidth="1"/>
    <col min="7164" max="7164" width="14.75" style="3357" customWidth="1"/>
    <col min="7165" max="7165" width="14.625" style="3357" customWidth="1"/>
    <col min="7166" max="7166" width="15.75" style="3357" customWidth="1"/>
    <col min="7167" max="7167" width="14.625" style="3357" customWidth="1"/>
    <col min="7168" max="7168" width="8.375" style="3357" customWidth="1"/>
    <col min="7169" max="7169" width="12.625" style="3357" customWidth="1"/>
    <col min="7170" max="7170" width="9" style="3357" customWidth="1"/>
    <col min="7171" max="7171" width="14.625" style="3357" customWidth="1"/>
    <col min="7172" max="7172" width="12.75" style="3357" customWidth="1"/>
    <col min="7173" max="7178" width="16" style="3357" customWidth="1"/>
    <col min="7179" max="7179" width="12" style="3357" customWidth="1"/>
    <col min="7180" max="7180" width="41.125" style="3357" customWidth="1"/>
    <col min="7181" max="7182" width="25.5" style="3357" customWidth="1"/>
    <col min="7183" max="7183" width="25.625" style="3357" customWidth="1"/>
    <col min="7184" max="7184" width="22.875" style="3357" customWidth="1"/>
    <col min="7185" max="7185" width="15.25" style="3357" customWidth="1"/>
    <col min="7186" max="7186" width="3.25" style="3357" customWidth="1"/>
    <col min="7187" max="7187" width="13" style="3357" customWidth="1"/>
    <col min="7188" max="7188" width="15.625" style="3357" customWidth="1"/>
    <col min="7189" max="7189" width="9" style="3357"/>
    <col min="7190" max="7190" width="16.625" style="3357" customWidth="1"/>
    <col min="7191" max="7194" width="14" style="3357" customWidth="1"/>
    <col min="7195" max="7195" width="121.75" style="3357" customWidth="1"/>
    <col min="7196" max="7197" width="8.875" style="3357" customWidth="1"/>
    <col min="7198" max="7412" width="9" style="3357"/>
    <col min="7413" max="7413" width="8.5" style="3357" customWidth="1"/>
    <col min="7414" max="7416" width="20.375" style="3357" customWidth="1"/>
    <col min="7417" max="7417" width="12.625" style="3357" customWidth="1"/>
    <col min="7418" max="7418" width="7.5" style="3357" customWidth="1"/>
    <col min="7419" max="7419" width="8.625" style="3357" customWidth="1"/>
    <col min="7420" max="7420" width="14.75" style="3357" customWidth="1"/>
    <col min="7421" max="7421" width="14.625" style="3357" customWidth="1"/>
    <col min="7422" max="7422" width="15.75" style="3357" customWidth="1"/>
    <col min="7423" max="7423" width="14.625" style="3357" customWidth="1"/>
    <col min="7424" max="7424" width="8.375" style="3357" customWidth="1"/>
    <col min="7425" max="7425" width="12.625" style="3357" customWidth="1"/>
    <col min="7426" max="7426" width="9" style="3357" customWidth="1"/>
    <col min="7427" max="7427" width="14.625" style="3357" customWidth="1"/>
    <col min="7428" max="7428" width="12.75" style="3357" customWidth="1"/>
    <col min="7429" max="7434" width="16" style="3357" customWidth="1"/>
    <col min="7435" max="7435" width="12" style="3357" customWidth="1"/>
    <col min="7436" max="7436" width="41.125" style="3357" customWidth="1"/>
    <col min="7437" max="7438" width="25.5" style="3357" customWidth="1"/>
    <col min="7439" max="7439" width="25.625" style="3357" customWidth="1"/>
    <col min="7440" max="7440" width="22.875" style="3357" customWidth="1"/>
    <col min="7441" max="7441" width="15.25" style="3357" customWidth="1"/>
    <col min="7442" max="7442" width="3.25" style="3357" customWidth="1"/>
    <col min="7443" max="7443" width="13" style="3357" customWidth="1"/>
    <col min="7444" max="7444" width="15.625" style="3357" customWidth="1"/>
    <col min="7445" max="7445" width="9" style="3357"/>
    <col min="7446" max="7446" width="16.625" style="3357" customWidth="1"/>
    <col min="7447" max="7450" width="14" style="3357" customWidth="1"/>
    <col min="7451" max="7451" width="121.75" style="3357" customWidth="1"/>
    <col min="7452" max="7453" width="8.875" style="3357" customWidth="1"/>
    <col min="7454" max="7668" width="9" style="3357"/>
    <col min="7669" max="7669" width="8.5" style="3357" customWidth="1"/>
    <col min="7670" max="7672" width="20.375" style="3357" customWidth="1"/>
    <col min="7673" max="7673" width="12.625" style="3357" customWidth="1"/>
    <col min="7674" max="7674" width="7.5" style="3357" customWidth="1"/>
    <col min="7675" max="7675" width="8.625" style="3357" customWidth="1"/>
    <col min="7676" max="7676" width="14.75" style="3357" customWidth="1"/>
    <col min="7677" max="7677" width="14.625" style="3357" customWidth="1"/>
    <col min="7678" max="7678" width="15.75" style="3357" customWidth="1"/>
    <col min="7679" max="7679" width="14.625" style="3357" customWidth="1"/>
    <col min="7680" max="7680" width="8.375" style="3357" customWidth="1"/>
    <col min="7681" max="7681" width="12.625" style="3357" customWidth="1"/>
    <col min="7682" max="7682" width="9" style="3357" customWidth="1"/>
    <col min="7683" max="7683" width="14.625" style="3357" customWidth="1"/>
    <col min="7684" max="7684" width="12.75" style="3357" customWidth="1"/>
    <col min="7685" max="7690" width="16" style="3357" customWidth="1"/>
    <col min="7691" max="7691" width="12" style="3357" customWidth="1"/>
    <col min="7692" max="7692" width="41.125" style="3357" customWidth="1"/>
    <col min="7693" max="7694" width="25.5" style="3357" customWidth="1"/>
    <col min="7695" max="7695" width="25.625" style="3357" customWidth="1"/>
    <col min="7696" max="7696" width="22.875" style="3357" customWidth="1"/>
    <col min="7697" max="7697" width="15.25" style="3357" customWidth="1"/>
    <col min="7698" max="7698" width="3.25" style="3357" customWidth="1"/>
    <col min="7699" max="7699" width="13" style="3357" customWidth="1"/>
    <col min="7700" max="7700" width="15.625" style="3357" customWidth="1"/>
    <col min="7701" max="7701" width="9" style="3357"/>
    <col min="7702" max="7702" width="16.625" style="3357" customWidth="1"/>
    <col min="7703" max="7706" width="14" style="3357" customWidth="1"/>
    <col min="7707" max="7707" width="121.75" style="3357" customWidth="1"/>
    <col min="7708" max="7709" width="8.875" style="3357" customWidth="1"/>
    <col min="7710" max="7924" width="9" style="3357"/>
    <col min="7925" max="7925" width="8.5" style="3357" customWidth="1"/>
    <col min="7926" max="7928" width="20.375" style="3357" customWidth="1"/>
    <col min="7929" max="7929" width="12.625" style="3357" customWidth="1"/>
    <col min="7930" max="7930" width="7.5" style="3357" customWidth="1"/>
    <col min="7931" max="7931" width="8.625" style="3357" customWidth="1"/>
    <col min="7932" max="7932" width="14.75" style="3357" customWidth="1"/>
    <col min="7933" max="7933" width="14.625" style="3357" customWidth="1"/>
    <col min="7934" max="7934" width="15.75" style="3357" customWidth="1"/>
    <col min="7935" max="7935" width="14.625" style="3357" customWidth="1"/>
    <col min="7936" max="7936" width="8.375" style="3357" customWidth="1"/>
    <col min="7937" max="7937" width="12.625" style="3357" customWidth="1"/>
    <col min="7938" max="7938" width="9" style="3357" customWidth="1"/>
    <col min="7939" max="7939" width="14.625" style="3357" customWidth="1"/>
    <col min="7940" max="7940" width="12.75" style="3357" customWidth="1"/>
    <col min="7941" max="7946" width="16" style="3357" customWidth="1"/>
    <col min="7947" max="7947" width="12" style="3357" customWidth="1"/>
    <col min="7948" max="7948" width="41.125" style="3357" customWidth="1"/>
    <col min="7949" max="7950" width="25.5" style="3357" customWidth="1"/>
    <col min="7951" max="7951" width="25.625" style="3357" customWidth="1"/>
    <col min="7952" max="7952" width="22.875" style="3357" customWidth="1"/>
    <col min="7953" max="7953" width="15.25" style="3357" customWidth="1"/>
    <col min="7954" max="7954" width="3.25" style="3357" customWidth="1"/>
    <col min="7955" max="7955" width="13" style="3357" customWidth="1"/>
    <col min="7956" max="7956" width="15.625" style="3357" customWidth="1"/>
    <col min="7957" max="7957" width="9" style="3357"/>
    <col min="7958" max="7958" width="16.625" style="3357" customWidth="1"/>
    <col min="7959" max="7962" width="14" style="3357" customWidth="1"/>
    <col min="7963" max="7963" width="121.75" style="3357" customWidth="1"/>
    <col min="7964" max="7965" width="8.875" style="3357" customWidth="1"/>
    <col min="7966" max="8180" width="9" style="3357"/>
    <col min="8181" max="8181" width="8.5" style="3357" customWidth="1"/>
    <col min="8182" max="8184" width="20.375" style="3357" customWidth="1"/>
    <col min="8185" max="8185" width="12.625" style="3357" customWidth="1"/>
    <col min="8186" max="8186" width="7.5" style="3357" customWidth="1"/>
    <col min="8187" max="8187" width="8.625" style="3357" customWidth="1"/>
    <col min="8188" max="8188" width="14.75" style="3357" customWidth="1"/>
    <col min="8189" max="8189" width="14.625" style="3357" customWidth="1"/>
    <col min="8190" max="8190" width="15.75" style="3357" customWidth="1"/>
    <col min="8191" max="8191" width="14.625" style="3357" customWidth="1"/>
    <col min="8192" max="8192" width="8.375" style="3357" customWidth="1"/>
    <col min="8193" max="8193" width="12.625" style="3357" customWidth="1"/>
    <col min="8194" max="8194" width="9" style="3357" customWidth="1"/>
    <col min="8195" max="8195" width="14.625" style="3357" customWidth="1"/>
    <col min="8196" max="8196" width="12.75" style="3357" customWidth="1"/>
    <col min="8197" max="8202" width="16" style="3357" customWidth="1"/>
    <col min="8203" max="8203" width="12" style="3357" customWidth="1"/>
    <col min="8204" max="8204" width="41.125" style="3357" customWidth="1"/>
    <col min="8205" max="8206" width="25.5" style="3357" customWidth="1"/>
    <col min="8207" max="8207" width="25.625" style="3357" customWidth="1"/>
    <col min="8208" max="8208" width="22.875" style="3357" customWidth="1"/>
    <col min="8209" max="8209" width="15.25" style="3357" customWidth="1"/>
    <col min="8210" max="8210" width="3.25" style="3357" customWidth="1"/>
    <col min="8211" max="8211" width="13" style="3357" customWidth="1"/>
    <col min="8212" max="8212" width="15.625" style="3357" customWidth="1"/>
    <col min="8213" max="8213" width="9" style="3357"/>
    <col min="8214" max="8214" width="16.625" style="3357" customWidth="1"/>
    <col min="8215" max="8218" width="14" style="3357" customWidth="1"/>
    <col min="8219" max="8219" width="121.75" style="3357" customWidth="1"/>
    <col min="8220" max="8221" width="8.875" style="3357" customWidth="1"/>
    <col min="8222" max="8436" width="9" style="3357"/>
    <col min="8437" max="8437" width="8.5" style="3357" customWidth="1"/>
    <col min="8438" max="8440" width="20.375" style="3357" customWidth="1"/>
    <col min="8441" max="8441" width="12.625" style="3357" customWidth="1"/>
    <col min="8442" max="8442" width="7.5" style="3357" customWidth="1"/>
    <col min="8443" max="8443" width="8.625" style="3357" customWidth="1"/>
    <col min="8444" max="8444" width="14.75" style="3357" customWidth="1"/>
    <col min="8445" max="8445" width="14.625" style="3357" customWidth="1"/>
    <col min="8446" max="8446" width="15.75" style="3357" customWidth="1"/>
    <col min="8447" max="8447" width="14.625" style="3357" customWidth="1"/>
    <col min="8448" max="8448" width="8.375" style="3357" customWidth="1"/>
    <col min="8449" max="8449" width="12.625" style="3357" customWidth="1"/>
    <col min="8450" max="8450" width="9" style="3357" customWidth="1"/>
    <col min="8451" max="8451" width="14.625" style="3357" customWidth="1"/>
    <col min="8452" max="8452" width="12.75" style="3357" customWidth="1"/>
    <col min="8453" max="8458" width="16" style="3357" customWidth="1"/>
    <col min="8459" max="8459" width="12" style="3357" customWidth="1"/>
    <col min="8460" max="8460" width="41.125" style="3357" customWidth="1"/>
    <col min="8461" max="8462" width="25.5" style="3357" customWidth="1"/>
    <col min="8463" max="8463" width="25.625" style="3357" customWidth="1"/>
    <col min="8464" max="8464" width="22.875" style="3357" customWidth="1"/>
    <col min="8465" max="8465" width="15.25" style="3357" customWidth="1"/>
    <col min="8466" max="8466" width="3.25" style="3357" customWidth="1"/>
    <col min="8467" max="8467" width="13" style="3357" customWidth="1"/>
    <col min="8468" max="8468" width="15.625" style="3357" customWidth="1"/>
    <col min="8469" max="8469" width="9" style="3357"/>
    <col min="8470" max="8470" width="16.625" style="3357" customWidth="1"/>
    <col min="8471" max="8474" width="14" style="3357" customWidth="1"/>
    <col min="8475" max="8475" width="121.75" style="3357" customWidth="1"/>
    <col min="8476" max="8477" width="8.875" style="3357" customWidth="1"/>
    <col min="8478" max="8692" width="9" style="3357"/>
    <col min="8693" max="8693" width="8.5" style="3357" customWidth="1"/>
    <col min="8694" max="8696" width="20.375" style="3357" customWidth="1"/>
    <col min="8697" max="8697" width="12.625" style="3357" customWidth="1"/>
    <col min="8698" max="8698" width="7.5" style="3357" customWidth="1"/>
    <col min="8699" max="8699" width="8.625" style="3357" customWidth="1"/>
    <col min="8700" max="8700" width="14.75" style="3357" customWidth="1"/>
    <col min="8701" max="8701" width="14.625" style="3357" customWidth="1"/>
    <col min="8702" max="8702" width="15.75" style="3357" customWidth="1"/>
    <col min="8703" max="8703" width="14.625" style="3357" customWidth="1"/>
    <col min="8704" max="8704" width="8.375" style="3357" customWidth="1"/>
    <col min="8705" max="8705" width="12.625" style="3357" customWidth="1"/>
    <col min="8706" max="8706" width="9" style="3357" customWidth="1"/>
    <col min="8707" max="8707" width="14.625" style="3357" customWidth="1"/>
    <col min="8708" max="8708" width="12.75" style="3357" customWidth="1"/>
    <col min="8709" max="8714" width="16" style="3357" customWidth="1"/>
    <col min="8715" max="8715" width="12" style="3357" customWidth="1"/>
    <col min="8716" max="8716" width="41.125" style="3357" customWidth="1"/>
    <col min="8717" max="8718" width="25.5" style="3357" customWidth="1"/>
    <col min="8719" max="8719" width="25.625" style="3357" customWidth="1"/>
    <col min="8720" max="8720" width="22.875" style="3357" customWidth="1"/>
    <col min="8721" max="8721" width="15.25" style="3357" customWidth="1"/>
    <col min="8722" max="8722" width="3.25" style="3357" customWidth="1"/>
    <col min="8723" max="8723" width="13" style="3357" customWidth="1"/>
    <col min="8724" max="8724" width="15.625" style="3357" customWidth="1"/>
    <col min="8725" max="8725" width="9" style="3357"/>
    <col min="8726" max="8726" width="16.625" style="3357" customWidth="1"/>
    <col min="8727" max="8730" width="14" style="3357" customWidth="1"/>
    <col min="8731" max="8731" width="121.75" style="3357" customWidth="1"/>
    <col min="8732" max="8733" width="8.875" style="3357" customWidth="1"/>
    <col min="8734" max="8948" width="9" style="3357"/>
    <col min="8949" max="8949" width="8.5" style="3357" customWidth="1"/>
    <col min="8950" max="8952" width="20.375" style="3357" customWidth="1"/>
    <col min="8953" max="8953" width="12.625" style="3357" customWidth="1"/>
    <col min="8954" max="8954" width="7.5" style="3357" customWidth="1"/>
    <col min="8955" max="8955" width="8.625" style="3357" customWidth="1"/>
    <col min="8956" max="8956" width="14.75" style="3357" customWidth="1"/>
    <col min="8957" max="8957" width="14.625" style="3357" customWidth="1"/>
    <col min="8958" max="8958" width="15.75" style="3357" customWidth="1"/>
    <col min="8959" max="8959" width="14.625" style="3357" customWidth="1"/>
    <col min="8960" max="8960" width="8.375" style="3357" customWidth="1"/>
    <col min="8961" max="8961" width="12.625" style="3357" customWidth="1"/>
    <col min="8962" max="8962" width="9" style="3357" customWidth="1"/>
    <col min="8963" max="8963" width="14.625" style="3357" customWidth="1"/>
    <col min="8964" max="8964" width="12.75" style="3357" customWidth="1"/>
    <col min="8965" max="8970" width="16" style="3357" customWidth="1"/>
    <col min="8971" max="8971" width="12" style="3357" customWidth="1"/>
    <col min="8972" max="8972" width="41.125" style="3357" customWidth="1"/>
    <col min="8973" max="8974" width="25.5" style="3357" customWidth="1"/>
    <col min="8975" max="8975" width="25.625" style="3357" customWidth="1"/>
    <col min="8976" max="8976" width="22.875" style="3357" customWidth="1"/>
    <col min="8977" max="8977" width="15.25" style="3357" customWidth="1"/>
    <col min="8978" max="8978" width="3.25" style="3357" customWidth="1"/>
    <col min="8979" max="8979" width="13" style="3357" customWidth="1"/>
    <col min="8980" max="8980" width="15.625" style="3357" customWidth="1"/>
    <col min="8981" max="8981" width="9" style="3357"/>
    <col min="8982" max="8982" width="16.625" style="3357" customWidth="1"/>
    <col min="8983" max="8986" width="14" style="3357" customWidth="1"/>
    <col min="8987" max="8987" width="121.75" style="3357" customWidth="1"/>
    <col min="8988" max="8989" width="8.875" style="3357" customWidth="1"/>
    <col min="8990" max="9204" width="9" style="3357"/>
    <col min="9205" max="9205" width="8.5" style="3357" customWidth="1"/>
    <col min="9206" max="9208" width="20.375" style="3357" customWidth="1"/>
    <col min="9209" max="9209" width="12.625" style="3357" customWidth="1"/>
    <col min="9210" max="9210" width="7.5" style="3357" customWidth="1"/>
    <col min="9211" max="9211" width="8.625" style="3357" customWidth="1"/>
    <col min="9212" max="9212" width="14.75" style="3357" customWidth="1"/>
    <col min="9213" max="9213" width="14.625" style="3357" customWidth="1"/>
    <col min="9214" max="9214" width="15.75" style="3357" customWidth="1"/>
    <col min="9215" max="9215" width="14.625" style="3357" customWidth="1"/>
    <col min="9216" max="9216" width="8.375" style="3357" customWidth="1"/>
    <col min="9217" max="9217" width="12.625" style="3357" customWidth="1"/>
    <col min="9218" max="9218" width="9" style="3357" customWidth="1"/>
    <col min="9219" max="9219" width="14.625" style="3357" customWidth="1"/>
    <col min="9220" max="9220" width="12.75" style="3357" customWidth="1"/>
    <col min="9221" max="9226" width="16" style="3357" customWidth="1"/>
    <col min="9227" max="9227" width="12" style="3357" customWidth="1"/>
    <col min="9228" max="9228" width="41.125" style="3357" customWidth="1"/>
    <col min="9229" max="9230" width="25.5" style="3357" customWidth="1"/>
    <col min="9231" max="9231" width="25.625" style="3357" customWidth="1"/>
    <col min="9232" max="9232" width="22.875" style="3357" customWidth="1"/>
    <col min="9233" max="9233" width="15.25" style="3357" customWidth="1"/>
    <col min="9234" max="9234" width="3.25" style="3357" customWidth="1"/>
    <col min="9235" max="9235" width="13" style="3357" customWidth="1"/>
    <col min="9236" max="9236" width="15.625" style="3357" customWidth="1"/>
    <col min="9237" max="9237" width="9" style="3357"/>
    <col min="9238" max="9238" width="16.625" style="3357" customWidth="1"/>
    <col min="9239" max="9242" width="14" style="3357" customWidth="1"/>
    <col min="9243" max="9243" width="121.75" style="3357" customWidth="1"/>
    <col min="9244" max="9245" width="8.875" style="3357" customWidth="1"/>
    <col min="9246" max="9460" width="9" style="3357"/>
    <col min="9461" max="9461" width="8.5" style="3357" customWidth="1"/>
    <col min="9462" max="9464" width="20.375" style="3357" customWidth="1"/>
    <col min="9465" max="9465" width="12.625" style="3357" customWidth="1"/>
    <col min="9466" max="9466" width="7.5" style="3357" customWidth="1"/>
    <col min="9467" max="9467" width="8.625" style="3357" customWidth="1"/>
    <col min="9468" max="9468" width="14.75" style="3357" customWidth="1"/>
    <col min="9469" max="9469" width="14.625" style="3357" customWidth="1"/>
    <col min="9470" max="9470" width="15.75" style="3357" customWidth="1"/>
    <col min="9471" max="9471" width="14.625" style="3357" customWidth="1"/>
    <col min="9472" max="9472" width="8.375" style="3357" customWidth="1"/>
    <col min="9473" max="9473" width="12.625" style="3357" customWidth="1"/>
    <col min="9474" max="9474" width="9" style="3357" customWidth="1"/>
    <col min="9475" max="9475" width="14.625" style="3357" customWidth="1"/>
    <col min="9476" max="9476" width="12.75" style="3357" customWidth="1"/>
    <col min="9477" max="9482" width="16" style="3357" customWidth="1"/>
    <col min="9483" max="9483" width="12" style="3357" customWidth="1"/>
    <col min="9484" max="9484" width="41.125" style="3357" customWidth="1"/>
    <col min="9485" max="9486" width="25.5" style="3357" customWidth="1"/>
    <col min="9487" max="9487" width="25.625" style="3357" customWidth="1"/>
    <col min="9488" max="9488" width="22.875" style="3357" customWidth="1"/>
    <col min="9489" max="9489" width="15.25" style="3357" customWidth="1"/>
    <col min="9490" max="9490" width="3.25" style="3357" customWidth="1"/>
    <col min="9491" max="9491" width="13" style="3357" customWidth="1"/>
    <col min="9492" max="9492" width="15.625" style="3357" customWidth="1"/>
    <col min="9493" max="9493" width="9" style="3357"/>
    <col min="9494" max="9494" width="16.625" style="3357" customWidth="1"/>
    <col min="9495" max="9498" width="14" style="3357" customWidth="1"/>
    <col min="9499" max="9499" width="121.75" style="3357" customWidth="1"/>
    <col min="9500" max="9501" width="8.875" style="3357" customWidth="1"/>
    <col min="9502" max="9716" width="9" style="3357"/>
    <col min="9717" max="9717" width="8.5" style="3357" customWidth="1"/>
    <col min="9718" max="9720" width="20.375" style="3357" customWidth="1"/>
    <col min="9721" max="9721" width="12.625" style="3357" customWidth="1"/>
    <col min="9722" max="9722" width="7.5" style="3357" customWidth="1"/>
    <col min="9723" max="9723" width="8.625" style="3357" customWidth="1"/>
    <col min="9724" max="9724" width="14.75" style="3357" customWidth="1"/>
    <col min="9725" max="9725" width="14.625" style="3357" customWidth="1"/>
    <col min="9726" max="9726" width="15.75" style="3357" customWidth="1"/>
    <col min="9727" max="9727" width="14.625" style="3357" customWidth="1"/>
    <col min="9728" max="9728" width="8.375" style="3357" customWidth="1"/>
    <col min="9729" max="9729" width="12.625" style="3357" customWidth="1"/>
    <col min="9730" max="9730" width="9" style="3357" customWidth="1"/>
    <col min="9731" max="9731" width="14.625" style="3357" customWidth="1"/>
    <col min="9732" max="9732" width="12.75" style="3357" customWidth="1"/>
    <col min="9733" max="9738" width="16" style="3357" customWidth="1"/>
    <col min="9739" max="9739" width="12" style="3357" customWidth="1"/>
    <col min="9740" max="9740" width="41.125" style="3357" customWidth="1"/>
    <col min="9741" max="9742" width="25.5" style="3357" customWidth="1"/>
    <col min="9743" max="9743" width="25.625" style="3357" customWidth="1"/>
    <col min="9744" max="9744" width="22.875" style="3357" customWidth="1"/>
    <col min="9745" max="9745" width="15.25" style="3357" customWidth="1"/>
    <col min="9746" max="9746" width="3.25" style="3357" customWidth="1"/>
    <col min="9747" max="9747" width="13" style="3357" customWidth="1"/>
    <col min="9748" max="9748" width="15.625" style="3357" customWidth="1"/>
    <col min="9749" max="9749" width="9" style="3357"/>
    <col min="9750" max="9750" width="16.625" style="3357" customWidth="1"/>
    <col min="9751" max="9754" width="14" style="3357" customWidth="1"/>
    <col min="9755" max="9755" width="121.75" style="3357" customWidth="1"/>
    <col min="9756" max="9757" width="8.875" style="3357" customWidth="1"/>
    <col min="9758" max="9972" width="9" style="3357"/>
    <col min="9973" max="9973" width="8.5" style="3357" customWidth="1"/>
    <col min="9974" max="9976" width="20.375" style="3357" customWidth="1"/>
    <col min="9977" max="9977" width="12.625" style="3357" customWidth="1"/>
    <col min="9978" max="9978" width="7.5" style="3357" customWidth="1"/>
    <col min="9979" max="9979" width="8.625" style="3357" customWidth="1"/>
    <col min="9980" max="9980" width="14.75" style="3357" customWidth="1"/>
    <col min="9981" max="9981" width="14.625" style="3357" customWidth="1"/>
    <col min="9982" max="9982" width="15.75" style="3357" customWidth="1"/>
    <col min="9983" max="9983" width="14.625" style="3357" customWidth="1"/>
    <col min="9984" max="9984" width="8.375" style="3357" customWidth="1"/>
    <col min="9985" max="9985" width="12.625" style="3357" customWidth="1"/>
    <col min="9986" max="9986" width="9" style="3357" customWidth="1"/>
    <col min="9987" max="9987" width="14.625" style="3357" customWidth="1"/>
    <col min="9988" max="9988" width="12.75" style="3357" customWidth="1"/>
    <col min="9989" max="9994" width="16" style="3357" customWidth="1"/>
    <col min="9995" max="9995" width="12" style="3357" customWidth="1"/>
    <col min="9996" max="9996" width="41.125" style="3357" customWidth="1"/>
    <col min="9997" max="9998" width="25.5" style="3357" customWidth="1"/>
    <col min="9999" max="9999" width="25.625" style="3357" customWidth="1"/>
    <col min="10000" max="10000" width="22.875" style="3357" customWidth="1"/>
    <col min="10001" max="10001" width="15.25" style="3357" customWidth="1"/>
    <col min="10002" max="10002" width="3.25" style="3357" customWidth="1"/>
    <col min="10003" max="10003" width="13" style="3357" customWidth="1"/>
    <col min="10004" max="10004" width="15.625" style="3357" customWidth="1"/>
    <col min="10005" max="10005" width="9" style="3357"/>
    <col min="10006" max="10006" width="16.625" style="3357" customWidth="1"/>
    <col min="10007" max="10010" width="14" style="3357" customWidth="1"/>
    <col min="10011" max="10011" width="121.75" style="3357" customWidth="1"/>
    <col min="10012" max="10013" width="8.875" style="3357" customWidth="1"/>
    <col min="10014" max="10228" width="9" style="3357"/>
    <col min="10229" max="10229" width="8.5" style="3357" customWidth="1"/>
    <col min="10230" max="10232" width="20.375" style="3357" customWidth="1"/>
    <col min="10233" max="10233" width="12.625" style="3357" customWidth="1"/>
    <col min="10234" max="10234" width="7.5" style="3357" customWidth="1"/>
    <col min="10235" max="10235" width="8.625" style="3357" customWidth="1"/>
    <col min="10236" max="10236" width="14.75" style="3357" customWidth="1"/>
    <col min="10237" max="10237" width="14.625" style="3357" customWidth="1"/>
    <col min="10238" max="10238" width="15.75" style="3357" customWidth="1"/>
    <col min="10239" max="10239" width="14.625" style="3357" customWidth="1"/>
    <col min="10240" max="10240" width="8.375" style="3357" customWidth="1"/>
    <col min="10241" max="10241" width="12.625" style="3357" customWidth="1"/>
    <col min="10242" max="10242" width="9" style="3357" customWidth="1"/>
    <col min="10243" max="10243" width="14.625" style="3357" customWidth="1"/>
    <col min="10244" max="10244" width="12.75" style="3357" customWidth="1"/>
    <col min="10245" max="10250" width="16" style="3357" customWidth="1"/>
    <col min="10251" max="10251" width="12" style="3357" customWidth="1"/>
    <col min="10252" max="10252" width="41.125" style="3357" customWidth="1"/>
    <col min="10253" max="10254" width="25.5" style="3357" customWidth="1"/>
    <col min="10255" max="10255" width="25.625" style="3357" customWidth="1"/>
    <col min="10256" max="10256" width="22.875" style="3357" customWidth="1"/>
    <col min="10257" max="10257" width="15.25" style="3357" customWidth="1"/>
    <col min="10258" max="10258" width="3.25" style="3357" customWidth="1"/>
    <col min="10259" max="10259" width="13" style="3357" customWidth="1"/>
    <col min="10260" max="10260" width="15.625" style="3357" customWidth="1"/>
    <col min="10261" max="10261" width="9" style="3357"/>
    <col min="10262" max="10262" width="16.625" style="3357" customWidth="1"/>
    <col min="10263" max="10266" width="14" style="3357" customWidth="1"/>
    <col min="10267" max="10267" width="121.75" style="3357" customWidth="1"/>
    <col min="10268" max="10269" width="8.875" style="3357" customWidth="1"/>
    <col min="10270" max="10484" width="9" style="3357"/>
    <col min="10485" max="10485" width="8.5" style="3357" customWidth="1"/>
    <col min="10486" max="10488" width="20.375" style="3357" customWidth="1"/>
    <col min="10489" max="10489" width="12.625" style="3357" customWidth="1"/>
    <col min="10490" max="10490" width="7.5" style="3357" customWidth="1"/>
    <col min="10491" max="10491" width="8.625" style="3357" customWidth="1"/>
    <col min="10492" max="10492" width="14.75" style="3357" customWidth="1"/>
    <col min="10493" max="10493" width="14.625" style="3357" customWidth="1"/>
    <col min="10494" max="10494" width="15.75" style="3357" customWidth="1"/>
    <col min="10495" max="10495" width="14.625" style="3357" customWidth="1"/>
    <col min="10496" max="10496" width="8.375" style="3357" customWidth="1"/>
    <col min="10497" max="10497" width="12.625" style="3357" customWidth="1"/>
    <col min="10498" max="10498" width="9" style="3357" customWidth="1"/>
    <col min="10499" max="10499" width="14.625" style="3357" customWidth="1"/>
    <col min="10500" max="10500" width="12.75" style="3357" customWidth="1"/>
    <col min="10501" max="10506" width="16" style="3357" customWidth="1"/>
    <col min="10507" max="10507" width="12" style="3357" customWidth="1"/>
    <col min="10508" max="10508" width="41.125" style="3357" customWidth="1"/>
    <col min="10509" max="10510" width="25.5" style="3357" customWidth="1"/>
    <col min="10511" max="10511" width="25.625" style="3357" customWidth="1"/>
    <col min="10512" max="10512" width="22.875" style="3357" customWidth="1"/>
    <col min="10513" max="10513" width="15.25" style="3357" customWidth="1"/>
    <col min="10514" max="10514" width="3.25" style="3357" customWidth="1"/>
    <col min="10515" max="10515" width="13" style="3357" customWidth="1"/>
    <col min="10516" max="10516" width="15.625" style="3357" customWidth="1"/>
    <col min="10517" max="10517" width="9" style="3357"/>
    <col min="10518" max="10518" width="16.625" style="3357" customWidth="1"/>
    <col min="10519" max="10522" width="14" style="3357" customWidth="1"/>
    <col min="10523" max="10523" width="121.75" style="3357" customWidth="1"/>
    <col min="10524" max="10525" width="8.875" style="3357" customWidth="1"/>
    <col min="10526" max="10740" width="9" style="3357"/>
    <col min="10741" max="10741" width="8.5" style="3357" customWidth="1"/>
    <col min="10742" max="10744" width="20.375" style="3357" customWidth="1"/>
    <col min="10745" max="10745" width="12.625" style="3357" customWidth="1"/>
    <col min="10746" max="10746" width="7.5" style="3357" customWidth="1"/>
    <col min="10747" max="10747" width="8.625" style="3357" customWidth="1"/>
    <col min="10748" max="10748" width="14.75" style="3357" customWidth="1"/>
    <col min="10749" max="10749" width="14.625" style="3357" customWidth="1"/>
    <col min="10750" max="10750" width="15.75" style="3357" customWidth="1"/>
    <col min="10751" max="10751" width="14.625" style="3357" customWidth="1"/>
    <col min="10752" max="10752" width="8.375" style="3357" customWidth="1"/>
    <col min="10753" max="10753" width="12.625" style="3357" customWidth="1"/>
    <col min="10754" max="10754" width="9" style="3357" customWidth="1"/>
    <col min="10755" max="10755" width="14.625" style="3357" customWidth="1"/>
    <col min="10756" max="10756" width="12.75" style="3357" customWidth="1"/>
    <col min="10757" max="10762" width="16" style="3357" customWidth="1"/>
    <col min="10763" max="10763" width="12" style="3357" customWidth="1"/>
    <col min="10764" max="10764" width="41.125" style="3357" customWidth="1"/>
    <col min="10765" max="10766" width="25.5" style="3357" customWidth="1"/>
    <col min="10767" max="10767" width="25.625" style="3357" customWidth="1"/>
    <col min="10768" max="10768" width="22.875" style="3357" customWidth="1"/>
    <col min="10769" max="10769" width="15.25" style="3357" customWidth="1"/>
    <col min="10770" max="10770" width="3.25" style="3357" customWidth="1"/>
    <col min="10771" max="10771" width="13" style="3357" customWidth="1"/>
    <col min="10772" max="10772" width="15.625" style="3357" customWidth="1"/>
    <col min="10773" max="10773" width="9" style="3357"/>
    <col min="10774" max="10774" width="16.625" style="3357" customWidth="1"/>
    <col min="10775" max="10778" width="14" style="3357" customWidth="1"/>
    <col min="10779" max="10779" width="121.75" style="3357" customWidth="1"/>
    <col min="10780" max="10781" width="8.875" style="3357" customWidth="1"/>
    <col min="10782" max="10996" width="9" style="3357"/>
    <col min="10997" max="10997" width="8.5" style="3357" customWidth="1"/>
    <col min="10998" max="11000" width="20.375" style="3357" customWidth="1"/>
    <col min="11001" max="11001" width="12.625" style="3357" customWidth="1"/>
    <col min="11002" max="11002" width="7.5" style="3357" customWidth="1"/>
    <col min="11003" max="11003" width="8.625" style="3357" customWidth="1"/>
    <col min="11004" max="11004" width="14.75" style="3357" customWidth="1"/>
    <col min="11005" max="11005" width="14.625" style="3357" customWidth="1"/>
    <col min="11006" max="11006" width="15.75" style="3357" customWidth="1"/>
    <col min="11007" max="11007" width="14.625" style="3357" customWidth="1"/>
    <col min="11008" max="11008" width="8.375" style="3357" customWidth="1"/>
    <col min="11009" max="11009" width="12.625" style="3357" customWidth="1"/>
    <col min="11010" max="11010" width="9" style="3357" customWidth="1"/>
    <col min="11011" max="11011" width="14.625" style="3357" customWidth="1"/>
    <col min="11012" max="11012" width="12.75" style="3357" customWidth="1"/>
    <col min="11013" max="11018" width="16" style="3357" customWidth="1"/>
    <col min="11019" max="11019" width="12" style="3357" customWidth="1"/>
    <col min="11020" max="11020" width="41.125" style="3357" customWidth="1"/>
    <col min="11021" max="11022" width="25.5" style="3357" customWidth="1"/>
    <col min="11023" max="11023" width="25.625" style="3357" customWidth="1"/>
    <col min="11024" max="11024" width="22.875" style="3357" customWidth="1"/>
    <col min="11025" max="11025" width="15.25" style="3357" customWidth="1"/>
    <col min="11026" max="11026" width="3.25" style="3357" customWidth="1"/>
    <col min="11027" max="11027" width="13" style="3357" customWidth="1"/>
    <col min="11028" max="11028" width="15.625" style="3357" customWidth="1"/>
    <col min="11029" max="11029" width="9" style="3357"/>
    <col min="11030" max="11030" width="16.625" style="3357" customWidth="1"/>
    <col min="11031" max="11034" width="14" style="3357" customWidth="1"/>
    <col min="11035" max="11035" width="121.75" style="3357" customWidth="1"/>
    <col min="11036" max="11037" width="8.875" style="3357" customWidth="1"/>
    <col min="11038" max="11252" width="9" style="3357"/>
    <col min="11253" max="11253" width="8.5" style="3357" customWidth="1"/>
    <col min="11254" max="11256" width="20.375" style="3357" customWidth="1"/>
    <col min="11257" max="11257" width="12.625" style="3357" customWidth="1"/>
    <col min="11258" max="11258" width="7.5" style="3357" customWidth="1"/>
    <col min="11259" max="11259" width="8.625" style="3357" customWidth="1"/>
    <col min="11260" max="11260" width="14.75" style="3357" customWidth="1"/>
    <col min="11261" max="11261" width="14.625" style="3357" customWidth="1"/>
    <col min="11262" max="11262" width="15.75" style="3357" customWidth="1"/>
    <col min="11263" max="11263" width="14.625" style="3357" customWidth="1"/>
    <col min="11264" max="11264" width="8.375" style="3357" customWidth="1"/>
    <col min="11265" max="11265" width="12.625" style="3357" customWidth="1"/>
    <col min="11266" max="11266" width="9" style="3357" customWidth="1"/>
    <col min="11267" max="11267" width="14.625" style="3357" customWidth="1"/>
    <col min="11268" max="11268" width="12.75" style="3357" customWidth="1"/>
    <col min="11269" max="11274" width="16" style="3357" customWidth="1"/>
    <col min="11275" max="11275" width="12" style="3357" customWidth="1"/>
    <col min="11276" max="11276" width="41.125" style="3357" customWidth="1"/>
    <col min="11277" max="11278" width="25.5" style="3357" customWidth="1"/>
    <col min="11279" max="11279" width="25.625" style="3357" customWidth="1"/>
    <col min="11280" max="11280" width="22.875" style="3357" customWidth="1"/>
    <col min="11281" max="11281" width="15.25" style="3357" customWidth="1"/>
    <col min="11282" max="11282" width="3.25" style="3357" customWidth="1"/>
    <col min="11283" max="11283" width="13" style="3357" customWidth="1"/>
    <col min="11284" max="11284" width="15.625" style="3357" customWidth="1"/>
    <col min="11285" max="11285" width="9" style="3357"/>
    <col min="11286" max="11286" width="16.625" style="3357" customWidth="1"/>
    <col min="11287" max="11290" width="14" style="3357" customWidth="1"/>
    <col min="11291" max="11291" width="121.75" style="3357" customWidth="1"/>
    <col min="11292" max="11293" width="8.875" style="3357" customWidth="1"/>
    <col min="11294" max="11508" width="9" style="3357"/>
    <col min="11509" max="11509" width="8.5" style="3357" customWidth="1"/>
    <col min="11510" max="11512" width="20.375" style="3357" customWidth="1"/>
    <col min="11513" max="11513" width="12.625" style="3357" customWidth="1"/>
    <col min="11514" max="11514" width="7.5" style="3357" customWidth="1"/>
    <col min="11515" max="11515" width="8.625" style="3357" customWidth="1"/>
    <col min="11516" max="11516" width="14.75" style="3357" customWidth="1"/>
    <col min="11517" max="11517" width="14.625" style="3357" customWidth="1"/>
    <col min="11518" max="11518" width="15.75" style="3357" customWidth="1"/>
    <col min="11519" max="11519" width="14.625" style="3357" customWidth="1"/>
    <col min="11520" max="11520" width="8.375" style="3357" customWidth="1"/>
    <col min="11521" max="11521" width="12.625" style="3357" customWidth="1"/>
    <col min="11522" max="11522" width="9" style="3357" customWidth="1"/>
    <col min="11523" max="11523" width="14.625" style="3357" customWidth="1"/>
    <col min="11524" max="11524" width="12.75" style="3357" customWidth="1"/>
    <col min="11525" max="11530" width="16" style="3357" customWidth="1"/>
    <col min="11531" max="11531" width="12" style="3357" customWidth="1"/>
    <col min="11532" max="11532" width="41.125" style="3357" customWidth="1"/>
    <col min="11533" max="11534" width="25.5" style="3357" customWidth="1"/>
    <col min="11535" max="11535" width="25.625" style="3357" customWidth="1"/>
    <col min="11536" max="11536" width="22.875" style="3357" customWidth="1"/>
    <col min="11537" max="11537" width="15.25" style="3357" customWidth="1"/>
    <col min="11538" max="11538" width="3.25" style="3357" customWidth="1"/>
    <col min="11539" max="11539" width="13" style="3357" customWidth="1"/>
    <col min="11540" max="11540" width="15.625" style="3357" customWidth="1"/>
    <col min="11541" max="11541" width="9" style="3357"/>
    <col min="11542" max="11542" width="16.625" style="3357" customWidth="1"/>
    <col min="11543" max="11546" width="14" style="3357" customWidth="1"/>
    <col min="11547" max="11547" width="121.75" style="3357" customWidth="1"/>
    <col min="11548" max="11549" width="8.875" style="3357" customWidth="1"/>
    <col min="11550" max="11764" width="9" style="3357"/>
    <col min="11765" max="11765" width="8.5" style="3357" customWidth="1"/>
    <col min="11766" max="11768" width="20.375" style="3357" customWidth="1"/>
    <col min="11769" max="11769" width="12.625" style="3357" customWidth="1"/>
    <col min="11770" max="11770" width="7.5" style="3357" customWidth="1"/>
    <col min="11771" max="11771" width="8.625" style="3357" customWidth="1"/>
    <col min="11772" max="11772" width="14.75" style="3357" customWidth="1"/>
    <col min="11773" max="11773" width="14.625" style="3357" customWidth="1"/>
    <col min="11774" max="11774" width="15.75" style="3357" customWidth="1"/>
    <col min="11775" max="11775" width="14.625" style="3357" customWidth="1"/>
    <col min="11776" max="11776" width="8.375" style="3357" customWidth="1"/>
    <col min="11777" max="11777" width="12.625" style="3357" customWidth="1"/>
    <col min="11778" max="11778" width="9" style="3357" customWidth="1"/>
    <col min="11779" max="11779" width="14.625" style="3357" customWidth="1"/>
    <col min="11780" max="11780" width="12.75" style="3357" customWidth="1"/>
    <col min="11781" max="11786" width="16" style="3357" customWidth="1"/>
    <col min="11787" max="11787" width="12" style="3357" customWidth="1"/>
    <col min="11788" max="11788" width="41.125" style="3357" customWidth="1"/>
    <col min="11789" max="11790" width="25.5" style="3357" customWidth="1"/>
    <col min="11791" max="11791" width="25.625" style="3357" customWidth="1"/>
    <col min="11792" max="11792" width="22.875" style="3357" customWidth="1"/>
    <col min="11793" max="11793" width="15.25" style="3357" customWidth="1"/>
    <col min="11794" max="11794" width="3.25" style="3357" customWidth="1"/>
    <col min="11795" max="11795" width="13" style="3357" customWidth="1"/>
    <col min="11796" max="11796" width="15.625" style="3357" customWidth="1"/>
    <col min="11797" max="11797" width="9" style="3357"/>
    <col min="11798" max="11798" width="16.625" style="3357" customWidth="1"/>
    <col min="11799" max="11802" width="14" style="3357" customWidth="1"/>
    <col min="11803" max="11803" width="121.75" style="3357" customWidth="1"/>
    <col min="11804" max="11805" width="8.875" style="3357" customWidth="1"/>
    <col min="11806" max="12020" width="9" style="3357"/>
    <col min="12021" max="12021" width="8.5" style="3357" customWidth="1"/>
    <col min="12022" max="12024" width="20.375" style="3357" customWidth="1"/>
    <col min="12025" max="12025" width="12.625" style="3357" customWidth="1"/>
    <col min="12026" max="12026" width="7.5" style="3357" customWidth="1"/>
    <col min="12027" max="12027" width="8.625" style="3357" customWidth="1"/>
    <col min="12028" max="12028" width="14.75" style="3357" customWidth="1"/>
    <col min="12029" max="12029" width="14.625" style="3357" customWidth="1"/>
    <col min="12030" max="12030" width="15.75" style="3357" customWidth="1"/>
    <col min="12031" max="12031" width="14.625" style="3357" customWidth="1"/>
    <col min="12032" max="12032" width="8.375" style="3357" customWidth="1"/>
    <col min="12033" max="12033" width="12.625" style="3357" customWidth="1"/>
    <col min="12034" max="12034" width="9" style="3357" customWidth="1"/>
    <col min="12035" max="12035" width="14.625" style="3357" customWidth="1"/>
    <col min="12036" max="12036" width="12.75" style="3357" customWidth="1"/>
    <col min="12037" max="12042" width="16" style="3357" customWidth="1"/>
    <col min="12043" max="12043" width="12" style="3357" customWidth="1"/>
    <col min="12044" max="12044" width="41.125" style="3357" customWidth="1"/>
    <col min="12045" max="12046" width="25.5" style="3357" customWidth="1"/>
    <col min="12047" max="12047" width="25.625" style="3357" customWidth="1"/>
    <col min="12048" max="12048" width="22.875" style="3357" customWidth="1"/>
    <col min="12049" max="12049" width="15.25" style="3357" customWidth="1"/>
    <col min="12050" max="12050" width="3.25" style="3357" customWidth="1"/>
    <col min="12051" max="12051" width="13" style="3357" customWidth="1"/>
    <col min="12052" max="12052" width="15.625" style="3357" customWidth="1"/>
    <col min="12053" max="12053" width="9" style="3357"/>
    <col min="12054" max="12054" width="16.625" style="3357" customWidth="1"/>
    <col min="12055" max="12058" width="14" style="3357" customWidth="1"/>
    <col min="12059" max="12059" width="121.75" style="3357" customWidth="1"/>
    <col min="12060" max="12061" width="8.875" style="3357" customWidth="1"/>
    <col min="12062" max="12276" width="9" style="3357"/>
    <col min="12277" max="12277" width="8.5" style="3357" customWidth="1"/>
    <col min="12278" max="12280" width="20.375" style="3357" customWidth="1"/>
    <col min="12281" max="12281" width="12.625" style="3357" customWidth="1"/>
    <col min="12282" max="12282" width="7.5" style="3357" customWidth="1"/>
    <col min="12283" max="12283" width="8.625" style="3357" customWidth="1"/>
    <col min="12284" max="12284" width="14.75" style="3357" customWidth="1"/>
    <col min="12285" max="12285" width="14.625" style="3357" customWidth="1"/>
    <col min="12286" max="12286" width="15.75" style="3357" customWidth="1"/>
    <col min="12287" max="12287" width="14.625" style="3357" customWidth="1"/>
    <col min="12288" max="12288" width="8.375" style="3357" customWidth="1"/>
    <col min="12289" max="12289" width="12.625" style="3357" customWidth="1"/>
    <col min="12290" max="12290" width="9" style="3357" customWidth="1"/>
    <col min="12291" max="12291" width="14.625" style="3357" customWidth="1"/>
    <col min="12292" max="12292" width="12.75" style="3357" customWidth="1"/>
    <col min="12293" max="12298" width="16" style="3357" customWidth="1"/>
    <col min="12299" max="12299" width="12" style="3357" customWidth="1"/>
    <col min="12300" max="12300" width="41.125" style="3357" customWidth="1"/>
    <col min="12301" max="12302" width="25.5" style="3357" customWidth="1"/>
    <col min="12303" max="12303" width="25.625" style="3357" customWidth="1"/>
    <col min="12304" max="12304" width="22.875" style="3357" customWidth="1"/>
    <col min="12305" max="12305" width="15.25" style="3357" customWidth="1"/>
    <col min="12306" max="12306" width="3.25" style="3357" customWidth="1"/>
    <col min="12307" max="12307" width="13" style="3357" customWidth="1"/>
    <col min="12308" max="12308" width="15.625" style="3357" customWidth="1"/>
    <col min="12309" max="12309" width="9" style="3357"/>
    <col min="12310" max="12310" width="16.625" style="3357" customWidth="1"/>
    <col min="12311" max="12314" width="14" style="3357" customWidth="1"/>
    <col min="12315" max="12315" width="121.75" style="3357" customWidth="1"/>
    <col min="12316" max="12317" width="8.875" style="3357" customWidth="1"/>
    <col min="12318" max="12532" width="9" style="3357"/>
    <col min="12533" max="12533" width="8.5" style="3357" customWidth="1"/>
    <col min="12534" max="12536" width="20.375" style="3357" customWidth="1"/>
    <col min="12537" max="12537" width="12.625" style="3357" customWidth="1"/>
    <col min="12538" max="12538" width="7.5" style="3357" customWidth="1"/>
    <col min="12539" max="12539" width="8.625" style="3357" customWidth="1"/>
    <col min="12540" max="12540" width="14.75" style="3357" customWidth="1"/>
    <col min="12541" max="12541" width="14.625" style="3357" customWidth="1"/>
    <col min="12542" max="12542" width="15.75" style="3357" customWidth="1"/>
    <col min="12543" max="12543" width="14.625" style="3357" customWidth="1"/>
    <col min="12544" max="12544" width="8.375" style="3357" customWidth="1"/>
    <col min="12545" max="12545" width="12.625" style="3357" customWidth="1"/>
    <col min="12546" max="12546" width="9" style="3357" customWidth="1"/>
    <col min="12547" max="12547" width="14.625" style="3357" customWidth="1"/>
    <col min="12548" max="12548" width="12.75" style="3357" customWidth="1"/>
    <col min="12549" max="12554" width="16" style="3357" customWidth="1"/>
    <col min="12555" max="12555" width="12" style="3357" customWidth="1"/>
    <col min="12556" max="12556" width="41.125" style="3357" customWidth="1"/>
    <col min="12557" max="12558" width="25.5" style="3357" customWidth="1"/>
    <col min="12559" max="12559" width="25.625" style="3357" customWidth="1"/>
    <col min="12560" max="12560" width="22.875" style="3357" customWidth="1"/>
    <col min="12561" max="12561" width="15.25" style="3357" customWidth="1"/>
    <col min="12562" max="12562" width="3.25" style="3357" customWidth="1"/>
    <col min="12563" max="12563" width="13" style="3357" customWidth="1"/>
    <col min="12564" max="12564" width="15.625" style="3357" customWidth="1"/>
    <col min="12565" max="12565" width="9" style="3357"/>
    <col min="12566" max="12566" width="16.625" style="3357" customWidth="1"/>
    <col min="12567" max="12570" width="14" style="3357" customWidth="1"/>
    <col min="12571" max="12571" width="121.75" style="3357" customWidth="1"/>
    <col min="12572" max="12573" width="8.875" style="3357" customWidth="1"/>
    <col min="12574" max="12788" width="9" style="3357"/>
    <col min="12789" max="12789" width="8.5" style="3357" customWidth="1"/>
    <col min="12790" max="12792" width="20.375" style="3357" customWidth="1"/>
    <col min="12793" max="12793" width="12.625" style="3357" customWidth="1"/>
    <col min="12794" max="12794" width="7.5" style="3357" customWidth="1"/>
    <col min="12795" max="12795" width="8.625" style="3357" customWidth="1"/>
    <col min="12796" max="12796" width="14.75" style="3357" customWidth="1"/>
    <col min="12797" max="12797" width="14.625" style="3357" customWidth="1"/>
    <col min="12798" max="12798" width="15.75" style="3357" customWidth="1"/>
    <col min="12799" max="12799" width="14.625" style="3357" customWidth="1"/>
    <col min="12800" max="12800" width="8.375" style="3357" customWidth="1"/>
    <col min="12801" max="12801" width="12.625" style="3357" customWidth="1"/>
    <col min="12802" max="12802" width="9" style="3357" customWidth="1"/>
    <col min="12803" max="12803" width="14.625" style="3357" customWidth="1"/>
    <col min="12804" max="12804" width="12.75" style="3357" customWidth="1"/>
    <col min="12805" max="12810" width="16" style="3357" customWidth="1"/>
    <col min="12811" max="12811" width="12" style="3357" customWidth="1"/>
    <col min="12812" max="12812" width="41.125" style="3357" customWidth="1"/>
    <col min="12813" max="12814" width="25.5" style="3357" customWidth="1"/>
    <col min="12815" max="12815" width="25.625" style="3357" customWidth="1"/>
    <col min="12816" max="12816" width="22.875" style="3357" customWidth="1"/>
    <col min="12817" max="12817" width="15.25" style="3357" customWidth="1"/>
    <col min="12818" max="12818" width="3.25" style="3357" customWidth="1"/>
    <col min="12819" max="12819" width="13" style="3357" customWidth="1"/>
    <col min="12820" max="12820" width="15.625" style="3357" customWidth="1"/>
    <col min="12821" max="12821" width="9" style="3357"/>
    <col min="12822" max="12822" width="16.625" style="3357" customWidth="1"/>
    <col min="12823" max="12826" width="14" style="3357" customWidth="1"/>
    <col min="12827" max="12827" width="121.75" style="3357" customWidth="1"/>
    <col min="12828" max="12829" width="8.875" style="3357" customWidth="1"/>
    <col min="12830" max="13044" width="9" style="3357"/>
    <col min="13045" max="13045" width="8.5" style="3357" customWidth="1"/>
    <col min="13046" max="13048" width="20.375" style="3357" customWidth="1"/>
    <col min="13049" max="13049" width="12.625" style="3357" customWidth="1"/>
    <col min="13050" max="13050" width="7.5" style="3357" customWidth="1"/>
    <col min="13051" max="13051" width="8.625" style="3357" customWidth="1"/>
    <col min="13052" max="13052" width="14.75" style="3357" customWidth="1"/>
    <col min="13053" max="13053" width="14.625" style="3357" customWidth="1"/>
    <col min="13054" max="13054" width="15.75" style="3357" customWidth="1"/>
    <col min="13055" max="13055" width="14.625" style="3357" customWidth="1"/>
    <col min="13056" max="13056" width="8.375" style="3357" customWidth="1"/>
    <col min="13057" max="13057" width="12.625" style="3357" customWidth="1"/>
    <col min="13058" max="13058" width="9" style="3357" customWidth="1"/>
    <col min="13059" max="13059" width="14.625" style="3357" customWidth="1"/>
    <col min="13060" max="13060" width="12.75" style="3357" customWidth="1"/>
    <col min="13061" max="13066" width="16" style="3357" customWidth="1"/>
    <col min="13067" max="13067" width="12" style="3357" customWidth="1"/>
    <col min="13068" max="13068" width="41.125" style="3357" customWidth="1"/>
    <col min="13069" max="13070" width="25.5" style="3357" customWidth="1"/>
    <col min="13071" max="13071" width="25.625" style="3357" customWidth="1"/>
    <col min="13072" max="13072" width="22.875" style="3357" customWidth="1"/>
    <col min="13073" max="13073" width="15.25" style="3357" customWidth="1"/>
    <col min="13074" max="13074" width="3.25" style="3357" customWidth="1"/>
    <col min="13075" max="13075" width="13" style="3357" customWidth="1"/>
    <col min="13076" max="13076" width="15.625" style="3357" customWidth="1"/>
    <col min="13077" max="13077" width="9" style="3357"/>
    <col min="13078" max="13078" width="16.625" style="3357" customWidth="1"/>
    <col min="13079" max="13082" width="14" style="3357" customWidth="1"/>
    <col min="13083" max="13083" width="121.75" style="3357" customWidth="1"/>
    <col min="13084" max="13085" width="8.875" style="3357" customWidth="1"/>
    <col min="13086" max="13300" width="9" style="3357"/>
    <col min="13301" max="13301" width="8.5" style="3357" customWidth="1"/>
    <col min="13302" max="13304" width="20.375" style="3357" customWidth="1"/>
    <col min="13305" max="13305" width="12.625" style="3357" customWidth="1"/>
    <col min="13306" max="13306" width="7.5" style="3357" customWidth="1"/>
    <col min="13307" max="13307" width="8.625" style="3357" customWidth="1"/>
    <col min="13308" max="13308" width="14.75" style="3357" customWidth="1"/>
    <col min="13309" max="13309" width="14.625" style="3357" customWidth="1"/>
    <col min="13310" max="13310" width="15.75" style="3357" customWidth="1"/>
    <col min="13311" max="13311" width="14.625" style="3357" customWidth="1"/>
    <col min="13312" max="13312" width="8.375" style="3357" customWidth="1"/>
    <col min="13313" max="13313" width="12.625" style="3357" customWidth="1"/>
    <col min="13314" max="13314" width="9" style="3357" customWidth="1"/>
    <col min="13315" max="13315" width="14.625" style="3357" customWidth="1"/>
    <col min="13316" max="13316" width="12.75" style="3357" customWidth="1"/>
    <col min="13317" max="13322" width="16" style="3357" customWidth="1"/>
    <col min="13323" max="13323" width="12" style="3357" customWidth="1"/>
    <col min="13324" max="13324" width="41.125" style="3357" customWidth="1"/>
    <col min="13325" max="13326" width="25.5" style="3357" customWidth="1"/>
    <col min="13327" max="13327" width="25.625" style="3357" customWidth="1"/>
    <col min="13328" max="13328" width="22.875" style="3357" customWidth="1"/>
    <col min="13329" max="13329" width="15.25" style="3357" customWidth="1"/>
    <col min="13330" max="13330" width="3.25" style="3357" customWidth="1"/>
    <col min="13331" max="13331" width="13" style="3357" customWidth="1"/>
    <col min="13332" max="13332" width="15.625" style="3357" customWidth="1"/>
    <col min="13333" max="13333" width="9" style="3357"/>
    <col min="13334" max="13334" width="16.625" style="3357" customWidth="1"/>
    <col min="13335" max="13338" width="14" style="3357" customWidth="1"/>
    <col min="13339" max="13339" width="121.75" style="3357" customWidth="1"/>
    <col min="13340" max="13341" width="8.875" style="3357" customWidth="1"/>
    <col min="13342" max="13556" width="9" style="3357"/>
    <col min="13557" max="13557" width="8.5" style="3357" customWidth="1"/>
    <col min="13558" max="13560" width="20.375" style="3357" customWidth="1"/>
    <col min="13561" max="13561" width="12.625" style="3357" customWidth="1"/>
    <col min="13562" max="13562" width="7.5" style="3357" customWidth="1"/>
    <col min="13563" max="13563" width="8.625" style="3357" customWidth="1"/>
    <col min="13564" max="13564" width="14.75" style="3357" customWidth="1"/>
    <col min="13565" max="13565" width="14.625" style="3357" customWidth="1"/>
    <col min="13566" max="13566" width="15.75" style="3357" customWidth="1"/>
    <col min="13567" max="13567" width="14.625" style="3357" customWidth="1"/>
    <col min="13568" max="13568" width="8.375" style="3357" customWidth="1"/>
    <col min="13569" max="13569" width="12.625" style="3357" customWidth="1"/>
    <col min="13570" max="13570" width="9" style="3357" customWidth="1"/>
    <col min="13571" max="13571" width="14.625" style="3357" customWidth="1"/>
    <col min="13572" max="13572" width="12.75" style="3357" customWidth="1"/>
    <col min="13573" max="13578" width="16" style="3357" customWidth="1"/>
    <col min="13579" max="13579" width="12" style="3357" customWidth="1"/>
    <col min="13580" max="13580" width="41.125" style="3357" customWidth="1"/>
    <col min="13581" max="13582" width="25.5" style="3357" customWidth="1"/>
    <col min="13583" max="13583" width="25.625" style="3357" customWidth="1"/>
    <col min="13584" max="13584" width="22.875" style="3357" customWidth="1"/>
    <col min="13585" max="13585" width="15.25" style="3357" customWidth="1"/>
    <col min="13586" max="13586" width="3.25" style="3357" customWidth="1"/>
    <col min="13587" max="13587" width="13" style="3357" customWidth="1"/>
    <col min="13588" max="13588" width="15.625" style="3357" customWidth="1"/>
    <col min="13589" max="13589" width="9" style="3357"/>
    <col min="13590" max="13590" width="16.625" style="3357" customWidth="1"/>
    <col min="13591" max="13594" width="14" style="3357" customWidth="1"/>
    <col min="13595" max="13595" width="121.75" style="3357" customWidth="1"/>
    <col min="13596" max="13597" width="8.875" style="3357" customWidth="1"/>
    <col min="13598" max="13812" width="9" style="3357"/>
    <col min="13813" max="13813" width="8.5" style="3357" customWidth="1"/>
    <col min="13814" max="13816" width="20.375" style="3357" customWidth="1"/>
    <col min="13817" max="13817" width="12.625" style="3357" customWidth="1"/>
    <col min="13818" max="13818" width="7.5" style="3357" customWidth="1"/>
    <col min="13819" max="13819" width="8.625" style="3357" customWidth="1"/>
    <col min="13820" max="13820" width="14.75" style="3357" customWidth="1"/>
    <col min="13821" max="13821" width="14.625" style="3357" customWidth="1"/>
    <col min="13822" max="13822" width="15.75" style="3357" customWidth="1"/>
    <col min="13823" max="13823" width="14.625" style="3357" customWidth="1"/>
    <col min="13824" max="13824" width="8.375" style="3357" customWidth="1"/>
    <col min="13825" max="13825" width="12.625" style="3357" customWidth="1"/>
    <col min="13826" max="13826" width="9" style="3357" customWidth="1"/>
    <col min="13827" max="13827" width="14.625" style="3357" customWidth="1"/>
    <col min="13828" max="13828" width="12.75" style="3357" customWidth="1"/>
    <col min="13829" max="13834" width="16" style="3357" customWidth="1"/>
    <col min="13835" max="13835" width="12" style="3357" customWidth="1"/>
    <col min="13836" max="13836" width="41.125" style="3357" customWidth="1"/>
    <col min="13837" max="13838" width="25.5" style="3357" customWidth="1"/>
    <col min="13839" max="13839" width="25.625" style="3357" customWidth="1"/>
    <col min="13840" max="13840" width="22.875" style="3357" customWidth="1"/>
    <col min="13841" max="13841" width="15.25" style="3357" customWidth="1"/>
    <col min="13842" max="13842" width="3.25" style="3357" customWidth="1"/>
    <col min="13843" max="13843" width="13" style="3357" customWidth="1"/>
    <col min="13844" max="13844" width="15.625" style="3357" customWidth="1"/>
    <col min="13845" max="13845" width="9" style="3357"/>
    <col min="13846" max="13846" width="16.625" style="3357" customWidth="1"/>
    <col min="13847" max="13850" width="14" style="3357" customWidth="1"/>
    <col min="13851" max="13851" width="121.75" style="3357" customWidth="1"/>
    <col min="13852" max="13853" width="8.875" style="3357" customWidth="1"/>
    <col min="13854" max="14068" width="9" style="3357"/>
    <col min="14069" max="14069" width="8.5" style="3357" customWidth="1"/>
    <col min="14070" max="14072" width="20.375" style="3357" customWidth="1"/>
    <col min="14073" max="14073" width="12.625" style="3357" customWidth="1"/>
    <col min="14074" max="14074" width="7.5" style="3357" customWidth="1"/>
    <col min="14075" max="14075" width="8.625" style="3357" customWidth="1"/>
    <col min="14076" max="14076" width="14.75" style="3357" customWidth="1"/>
    <col min="14077" max="14077" width="14.625" style="3357" customWidth="1"/>
    <col min="14078" max="14078" width="15.75" style="3357" customWidth="1"/>
    <col min="14079" max="14079" width="14.625" style="3357" customWidth="1"/>
    <col min="14080" max="14080" width="8.375" style="3357" customWidth="1"/>
    <col min="14081" max="14081" width="12.625" style="3357" customWidth="1"/>
    <col min="14082" max="14082" width="9" style="3357" customWidth="1"/>
    <col min="14083" max="14083" width="14.625" style="3357" customWidth="1"/>
    <col min="14084" max="14084" width="12.75" style="3357" customWidth="1"/>
    <col min="14085" max="14090" width="16" style="3357" customWidth="1"/>
    <col min="14091" max="14091" width="12" style="3357" customWidth="1"/>
    <col min="14092" max="14092" width="41.125" style="3357" customWidth="1"/>
    <col min="14093" max="14094" width="25.5" style="3357" customWidth="1"/>
    <col min="14095" max="14095" width="25.625" style="3357" customWidth="1"/>
    <col min="14096" max="14096" width="22.875" style="3357" customWidth="1"/>
    <col min="14097" max="14097" width="15.25" style="3357" customWidth="1"/>
    <col min="14098" max="14098" width="3.25" style="3357" customWidth="1"/>
    <col min="14099" max="14099" width="13" style="3357" customWidth="1"/>
    <col min="14100" max="14100" width="15.625" style="3357" customWidth="1"/>
    <col min="14101" max="14101" width="9" style="3357"/>
    <col min="14102" max="14102" width="16.625" style="3357" customWidth="1"/>
    <col min="14103" max="14106" width="14" style="3357" customWidth="1"/>
    <col min="14107" max="14107" width="121.75" style="3357" customWidth="1"/>
    <col min="14108" max="14109" width="8.875" style="3357" customWidth="1"/>
    <col min="14110" max="14324" width="9" style="3357"/>
    <col min="14325" max="14325" width="8.5" style="3357" customWidth="1"/>
    <col min="14326" max="14328" width="20.375" style="3357" customWidth="1"/>
    <col min="14329" max="14329" width="12.625" style="3357" customWidth="1"/>
    <col min="14330" max="14330" width="7.5" style="3357" customWidth="1"/>
    <col min="14331" max="14331" width="8.625" style="3357" customWidth="1"/>
    <col min="14332" max="14332" width="14.75" style="3357" customWidth="1"/>
    <col min="14333" max="14333" width="14.625" style="3357" customWidth="1"/>
    <col min="14334" max="14334" width="15.75" style="3357" customWidth="1"/>
    <col min="14335" max="14335" width="14.625" style="3357" customWidth="1"/>
    <col min="14336" max="14336" width="8.375" style="3357" customWidth="1"/>
    <col min="14337" max="14337" width="12.625" style="3357" customWidth="1"/>
    <col min="14338" max="14338" width="9" style="3357" customWidth="1"/>
    <col min="14339" max="14339" width="14.625" style="3357" customWidth="1"/>
    <col min="14340" max="14340" width="12.75" style="3357" customWidth="1"/>
    <col min="14341" max="14346" width="16" style="3357" customWidth="1"/>
    <col min="14347" max="14347" width="12" style="3357" customWidth="1"/>
    <col min="14348" max="14348" width="41.125" style="3357" customWidth="1"/>
    <col min="14349" max="14350" width="25.5" style="3357" customWidth="1"/>
    <col min="14351" max="14351" width="25.625" style="3357" customWidth="1"/>
    <col min="14352" max="14352" width="22.875" style="3357" customWidth="1"/>
    <col min="14353" max="14353" width="15.25" style="3357" customWidth="1"/>
    <col min="14354" max="14354" width="3.25" style="3357" customWidth="1"/>
    <col min="14355" max="14355" width="13" style="3357" customWidth="1"/>
    <col min="14356" max="14356" width="15.625" style="3357" customWidth="1"/>
    <col min="14357" max="14357" width="9" style="3357"/>
    <col min="14358" max="14358" width="16.625" style="3357" customWidth="1"/>
    <col min="14359" max="14362" width="14" style="3357" customWidth="1"/>
    <col min="14363" max="14363" width="121.75" style="3357" customWidth="1"/>
    <col min="14364" max="14365" width="8.875" style="3357" customWidth="1"/>
    <col min="14366" max="14580" width="9" style="3357"/>
    <col min="14581" max="14581" width="8.5" style="3357" customWidth="1"/>
    <col min="14582" max="14584" width="20.375" style="3357" customWidth="1"/>
    <col min="14585" max="14585" width="12.625" style="3357" customWidth="1"/>
    <col min="14586" max="14586" width="7.5" style="3357" customWidth="1"/>
    <col min="14587" max="14587" width="8.625" style="3357" customWidth="1"/>
    <col min="14588" max="14588" width="14.75" style="3357" customWidth="1"/>
    <col min="14589" max="14589" width="14.625" style="3357" customWidth="1"/>
    <col min="14590" max="14590" width="15.75" style="3357" customWidth="1"/>
    <col min="14591" max="14591" width="14.625" style="3357" customWidth="1"/>
    <col min="14592" max="14592" width="8.375" style="3357" customWidth="1"/>
    <col min="14593" max="14593" width="12.625" style="3357" customWidth="1"/>
    <col min="14594" max="14594" width="9" style="3357" customWidth="1"/>
    <col min="14595" max="14595" width="14.625" style="3357" customWidth="1"/>
    <col min="14596" max="14596" width="12.75" style="3357" customWidth="1"/>
    <col min="14597" max="14602" width="16" style="3357" customWidth="1"/>
    <col min="14603" max="14603" width="12" style="3357" customWidth="1"/>
    <col min="14604" max="14604" width="41.125" style="3357" customWidth="1"/>
    <col min="14605" max="14606" width="25.5" style="3357" customWidth="1"/>
    <col min="14607" max="14607" width="25.625" style="3357" customWidth="1"/>
    <col min="14608" max="14608" width="22.875" style="3357" customWidth="1"/>
    <col min="14609" max="14609" width="15.25" style="3357" customWidth="1"/>
    <col min="14610" max="14610" width="3.25" style="3357" customWidth="1"/>
    <col min="14611" max="14611" width="13" style="3357" customWidth="1"/>
    <col min="14612" max="14612" width="15.625" style="3357" customWidth="1"/>
    <col min="14613" max="14613" width="9" style="3357"/>
    <col min="14614" max="14614" width="16.625" style="3357" customWidth="1"/>
    <col min="14615" max="14618" width="14" style="3357" customWidth="1"/>
    <col min="14619" max="14619" width="121.75" style="3357" customWidth="1"/>
    <col min="14620" max="14621" width="8.875" style="3357" customWidth="1"/>
    <col min="14622" max="14836" width="9" style="3357"/>
    <col min="14837" max="14837" width="8.5" style="3357" customWidth="1"/>
    <col min="14838" max="14840" width="20.375" style="3357" customWidth="1"/>
    <col min="14841" max="14841" width="12.625" style="3357" customWidth="1"/>
    <col min="14842" max="14842" width="7.5" style="3357" customWidth="1"/>
    <col min="14843" max="14843" width="8.625" style="3357" customWidth="1"/>
    <col min="14844" max="14844" width="14.75" style="3357" customWidth="1"/>
    <col min="14845" max="14845" width="14.625" style="3357" customWidth="1"/>
    <col min="14846" max="14846" width="15.75" style="3357" customWidth="1"/>
    <col min="14847" max="14847" width="14.625" style="3357" customWidth="1"/>
    <col min="14848" max="14848" width="8.375" style="3357" customWidth="1"/>
    <col min="14849" max="14849" width="12.625" style="3357" customWidth="1"/>
    <col min="14850" max="14850" width="9" style="3357" customWidth="1"/>
    <col min="14851" max="14851" width="14.625" style="3357" customWidth="1"/>
    <col min="14852" max="14852" width="12.75" style="3357" customWidth="1"/>
    <col min="14853" max="14858" width="16" style="3357" customWidth="1"/>
    <col min="14859" max="14859" width="12" style="3357" customWidth="1"/>
    <col min="14860" max="14860" width="41.125" style="3357" customWidth="1"/>
    <col min="14861" max="14862" width="25.5" style="3357" customWidth="1"/>
    <col min="14863" max="14863" width="25.625" style="3357" customWidth="1"/>
    <col min="14864" max="14864" width="22.875" style="3357" customWidth="1"/>
    <col min="14865" max="14865" width="15.25" style="3357" customWidth="1"/>
    <col min="14866" max="14866" width="3.25" style="3357" customWidth="1"/>
    <col min="14867" max="14867" width="13" style="3357" customWidth="1"/>
    <col min="14868" max="14868" width="15.625" style="3357" customWidth="1"/>
    <col min="14869" max="14869" width="9" style="3357"/>
    <col min="14870" max="14870" width="16.625" style="3357" customWidth="1"/>
    <col min="14871" max="14874" width="14" style="3357" customWidth="1"/>
    <col min="14875" max="14875" width="121.75" style="3357" customWidth="1"/>
    <col min="14876" max="14877" width="8.875" style="3357" customWidth="1"/>
    <col min="14878" max="15092" width="9" style="3357"/>
    <col min="15093" max="15093" width="8.5" style="3357" customWidth="1"/>
    <col min="15094" max="15096" width="20.375" style="3357" customWidth="1"/>
    <col min="15097" max="15097" width="12.625" style="3357" customWidth="1"/>
    <col min="15098" max="15098" width="7.5" style="3357" customWidth="1"/>
    <col min="15099" max="15099" width="8.625" style="3357" customWidth="1"/>
    <col min="15100" max="15100" width="14.75" style="3357" customWidth="1"/>
    <col min="15101" max="15101" width="14.625" style="3357" customWidth="1"/>
    <col min="15102" max="15102" width="15.75" style="3357" customWidth="1"/>
    <col min="15103" max="15103" width="14.625" style="3357" customWidth="1"/>
    <col min="15104" max="15104" width="8.375" style="3357" customWidth="1"/>
    <col min="15105" max="15105" width="12.625" style="3357" customWidth="1"/>
    <col min="15106" max="15106" width="9" style="3357" customWidth="1"/>
    <col min="15107" max="15107" width="14.625" style="3357" customWidth="1"/>
    <col min="15108" max="15108" width="12.75" style="3357" customWidth="1"/>
    <col min="15109" max="15114" width="16" style="3357" customWidth="1"/>
    <col min="15115" max="15115" width="12" style="3357" customWidth="1"/>
    <col min="15116" max="15116" width="41.125" style="3357" customWidth="1"/>
    <col min="15117" max="15118" width="25.5" style="3357" customWidth="1"/>
    <col min="15119" max="15119" width="25.625" style="3357" customWidth="1"/>
    <col min="15120" max="15120" width="22.875" style="3357" customWidth="1"/>
    <col min="15121" max="15121" width="15.25" style="3357" customWidth="1"/>
    <col min="15122" max="15122" width="3.25" style="3357" customWidth="1"/>
    <col min="15123" max="15123" width="13" style="3357" customWidth="1"/>
    <col min="15124" max="15124" width="15.625" style="3357" customWidth="1"/>
    <col min="15125" max="15125" width="9" style="3357"/>
    <col min="15126" max="15126" width="16.625" style="3357" customWidth="1"/>
    <col min="15127" max="15130" width="14" style="3357" customWidth="1"/>
    <col min="15131" max="15131" width="121.75" style="3357" customWidth="1"/>
    <col min="15132" max="15133" width="8.875" style="3357" customWidth="1"/>
    <col min="15134" max="15348" width="9" style="3357"/>
    <col min="15349" max="15349" width="8.5" style="3357" customWidth="1"/>
    <col min="15350" max="15352" width="20.375" style="3357" customWidth="1"/>
    <col min="15353" max="15353" width="12.625" style="3357" customWidth="1"/>
    <col min="15354" max="15354" width="7.5" style="3357" customWidth="1"/>
    <col min="15355" max="15355" width="8.625" style="3357" customWidth="1"/>
    <col min="15356" max="15356" width="14.75" style="3357" customWidth="1"/>
    <col min="15357" max="15357" width="14.625" style="3357" customWidth="1"/>
    <col min="15358" max="15358" width="15.75" style="3357" customWidth="1"/>
    <col min="15359" max="15359" width="14.625" style="3357" customWidth="1"/>
    <col min="15360" max="15360" width="8.375" style="3357" customWidth="1"/>
    <col min="15361" max="15361" width="12.625" style="3357" customWidth="1"/>
    <col min="15362" max="15362" width="9" style="3357" customWidth="1"/>
    <col min="15363" max="15363" width="14.625" style="3357" customWidth="1"/>
    <col min="15364" max="15364" width="12.75" style="3357" customWidth="1"/>
    <col min="15365" max="15370" width="16" style="3357" customWidth="1"/>
    <col min="15371" max="15371" width="12" style="3357" customWidth="1"/>
    <col min="15372" max="15372" width="41.125" style="3357" customWidth="1"/>
    <col min="15373" max="15374" width="25.5" style="3357" customWidth="1"/>
    <col min="15375" max="15375" width="25.625" style="3357" customWidth="1"/>
    <col min="15376" max="15376" width="22.875" style="3357" customWidth="1"/>
    <col min="15377" max="15377" width="15.25" style="3357" customWidth="1"/>
    <col min="15378" max="15378" width="3.25" style="3357" customWidth="1"/>
    <col min="15379" max="15379" width="13" style="3357" customWidth="1"/>
    <col min="15380" max="15380" width="15.625" style="3357" customWidth="1"/>
    <col min="15381" max="15381" width="9" style="3357"/>
    <col min="15382" max="15382" width="16.625" style="3357" customWidth="1"/>
    <col min="15383" max="15386" width="14" style="3357" customWidth="1"/>
    <col min="15387" max="15387" width="121.75" style="3357" customWidth="1"/>
    <col min="15388" max="15389" width="8.875" style="3357" customWidth="1"/>
    <col min="15390" max="15604" width="9" style="3357"/>
    <col min="15605" max="15605" width="8.5" style="3357" customWidth="1"/>
    <col min="15606" max="15608" width="20.375" style="3357" customWidth="1"/>
    <col min="15609" max="15609" width="12.625" style="3357" customWidth="1"/>
    <col min="15610" max="15610" width="7.5" style="3357" customWidth="1"/>
    <col min="15611" max="15611" width="8.625" style="3357" customWidth="1"/>
    <col min="15612" max="15612" width="14.75" style="3357" customWidth="1"/>
    <col min="15613" max="15613" width="14.625" style="3357" customWidth="1"/>
    <col min="15614" max="15614" width="15.75" style="3357" customWidth="1"/>
    <col min="15615" max="15615" width="14.625" style="3357" customWidth="1"/>
    <col min="15616" max="15616" width="8.375" style="3357" customWidth="1"/>
    <col min="15617" max="15617" width="12.625" style="3357" customWidth="1"/>
    <col min="15618" max="15618" width="9" style="3357" customWidth="1"/>
    <col min="15619" max="15619" width="14.625" style="3357" customWidth="1"/>
    <col min="15620" max="15620" width="12.75" style="3357" customWidth="1"/>
    <col min="15621" max="15626" width="16" style="3357" customWidth="1"/>
    <col min="15627" max="15627" width="12" style="3357" customWidth="1"/>
    <col min="15628" max="15628" width="41.125" style="3357" customWidth="1"/>
    <col min="15629" max="15630" width="25.5" style="3357" customWidth="1"/>
    <col min="15631" max="15631" width="25.625" style="3357" customWidth="1"/>
    <col min="15632" max="15632" width="22.875" style="3357" customWidth="1"/>
    <col min="15633" max="15633" width="15.25" style="3357" customWidth="1"/>
    <col min="15634" max="15634" width="3.25" style="3357" customWidth="1"/>
    <col min="15635" max="15635" width="13" style="3357" customWidth="1"/>
    <col min="15636" max="15636" width="15.625" style="3357" customWidth="1"/>
    <col min="15637" max="15637" width="9" style="3357"/>
    <col min="15638" max="15638" width="16.625" style="3357" customWidth="1"/>
    <col min="15639" max="15642" width="14" style="3357" customWidth="1"/>
    <col min="15643" max="15643" width="121.75" style="3357" customWidth="1"/>
    <col min="15644" max="15645" width="8.875" style="3357" customWidth="1"/>
    <col min="15646" max="15860" width="9" style="3357"/>
    <col min="15861" max="15861" width="8.5" style="3357" customWidth="1"/>
    <col min="15862" max="15864" width="20.375" style="3357" customWidth="1"/>
    <col min="15865" max="15865" width="12.625" style="3357" customWidth="1"/>
    <col min="15866" max="15866" width="7.5" style="3357" customWidth="1"/>
    <col min="15867" max="15867" width="8.625" style="3357" customWidth="1"/>
    <col min="15868" max="15868" width="14.75" style="3357" customWidth="1"/>
    <col min="15869" max="15869" width="14.625" style="3357" customWidth="1"/>
    <col min="15870" max="15870" width="15.75" style="3357" customWidth="1"/>
    <col min="15871" max="15871" width="14.625" style="3357" customWidth="1"/>
    <col min="15872" max="15872" width="8.375" style="3357" customWidth="1"/>
    <col min="15873" max="15873" width="12.625" style="3357" customWidth="1"/>
    <col min="15874" max="15874" width="9" style="3357" customWidth="1"/>
    <col min="15875" max="15875" width="14.625" style="3357" customWidth="1"/>
    <col min="15876" max="15876" width="12.75" style="3357" customWidth="1"/>
    <col min="15877" max="15882" width="16" style="3357" customWidth="1"/>
    <col min="15883" max="15883" width="12" style="3357" customWidth="1"/>
    <col min="15884" max="15884" width="41.125" style="3357" customWidth="1"/>
    <col min="15885" max="15886" width="25.5" style="3357" customWidth="1"/>
    <col min="15887" max="15887" width="25.625" style="3357" customWidth="1"/>
    <col min="15888" max="15888" width="22.875" style="3357" customWidth="1"/>
    <col min="15889" max="15889" width="15.25" style="3357" customWidth="1"/>
    <col min="15890" max="15890" width="3.25" style="3357" customWidth="1"/>
    <col min="15891" max="15891" width="13" style="3357" customWidth="1"/>
    <col min="15892" max="15892" width="15.625" style="3357" customWidth="1"/>
    <col min="15893" max="15893" width="9" style="3357"/>
    <col min="15894" max="15894" width="16.625" style="3357" customWidth="1"/>
    <col min="15895" max="15898" width="14" style="3357" customWidth="1"/>
    <col min="15899" max="15899" width="121.75" style="3357" customWidth="1"/>
    <col min="15900" max="15901" width="8.875" style="3357" customWidth="1"/>
    <col min="15902" max="16116" width="9" style="3357"/>
    <col min="16117" max="16117" width="8.5" style="3357" customWidth="1"/>
    <col min="16118" max="16120" width="20.375" style="3357" customWidth="1"/>
    <col min="16121" max="16121" width="12.625" style="3357" customWidth="1"/>
    <col min="16122" max="16122" width="7.5" style="3357" customWidth="1"/>
    <col min="16123" max="16123" width="8.625" style="3357" customWidth="1"/>
    <col min="16124" max="16124" width="14.75" style="3357" customWidth="1"/>
    <col min="16125" max="16125" width="14.625" style="3357" customWidth="1"/>
    <col min="16126" max="16126" width="15.75" style="3357" customWidth="1"/>
    <col min="16127" max="16127" width="14.625" style="3357" customWidth="1"/>
    <col min="16128" max="16128" width="8.375" style="3357" customWidth="1"/>
    <col min="16129" max="16129" width="12.625" style="3357" customWidth="1"/>
    <col min="16130" max="16130" width="9" style="3357" customWidth="1"/>
    <col min="16131" max="16131" width="14.625" style="3357" customWidth="1"/>
    <col min="16132" max="16132" width="12.75" style="3357" customWidth="1"/>
    <col min="16133" max="16138" width="16" style="3357" customWidth="1"/>
    <col min="16139" max="16139" width="12" style="3357" customWidth="1"/>
    <col min="16140" max="16140" width="41.125" style="3357" customWidth="1"/>
    <col min="16141" max="16142" width="25.5" style="3357" customWidth="1"/>
    <col min="16143" max="16143" width="25.625" style="3357" customWidth="1"/>
    <col min="16144" max="16144" width="22.875" style="3357" customWidth="1"/>
    <col min="16145" max="16145" width="15.25" style="3357" customWidth="1"/>
    <col min="16146" max="16146" width="3.25" style="3357" customWidth="1"/>
    <col min="16147" max="16147" width="13" style="3357" customWidth="1"/>
    <col min="16148" max="16148" width="15.625" style="3357" customWidth="1"/>
    <col min="16149" max="16149" width="9" style="3357"/>
    <col min="16150" max="16150" width="16.625" style="3357" customWidth="1"/>
    <col min="16151" max="16154" width="14" style="3357" customWidth="1"/>
    <col min="16155" max="16155" width="121.75" style="3357" customWidth="1"/>
    <col min="16156" max="16157" width="8.875" style="3357" customWidth="1"/>
    <col min="16158" max="16384" width="9" style="3357"/>
  </cols>
  <sheetData>
    <row r="1" spans="1:30" s="3397" customFormat="1" ht="22.5">
      <c r="A1" s="3736" t="s">
        <v>2359</v>
      </c>
      <c r="B1" s="3733" t="s">
        <v>3155</v>
      </c>
      <c r="C1" s="3733" t="s">
        <v>3156</v>
      </c>
      <c r="D1" s="3733" t="s">
        <v>3314</v>
      </c>
      <c r="E1" s="3733" t="s">
        <v>3315</v>
      </c>
      <c r="F1" s="3733" t="s">
        <v>3316</v>
      </c>
      <c r="G1" s="3733" t="s">
        <v>3317</v>
      </c>
      <c r="H1" s="3733" t="s">
        <v>3158</v>
      </c>
      <c r="I1" s="3733" t="s">
        <v>3318</v>
      </c>
      <c r="J1" s="3733" t="s">
        <v>3319</v>
      </c>
      <c r="K1" s="3733" t="s">
        <v>3320</v>
      </c>
      <c r="L1" s="3735" t="s">
        <v>3162</v>
      </c>
      <c r="M1" s="3733" t="s">
        <v>3163</v>
      </c>
      <c r="N1" s="3733"/>
      <c r="O1" s="3733"/>
      <c r="P1" s="3733"/>
      <c r="Q1" s="3733" t="s">
        <v>3321</v>
      </c>
      <c r="R1" s="3733"/>
      <c r="S1" s="3733" t="s">
        <v>3322</v>
      </c>
      <c r="T1" s="3733"/>
      <c r="U1" s="3733" t="s">
        <v>3164</v>
      </c>
      <c r="V1" s="3733"/>
      <c r="W1" s="3733" t="s">
        <v>3323</v>
      </c>
      <c r="X1" s="3734" t="s">
        <v>3324</v>
      </c>
      <c r="Y1" s="3733" t="s">
        <v>3325</v>
      </c>
      <c r="Z1" s="3733" t="s">
        <v>3326</v>
      </c>
      <c r="AA1" s="3733" t="s">
        <v>3327</v>
      </c>
      <c r="AB1" s="3733" t="s">
        <v>3328</v>
      </c>
      <c r="AC1" s="3727"/>
      <c r="AD1" s="3727"/>
    </row>
    <row r="2" spans="1:30" s="3397" customFormat="1" ht="56.25">
      <c r="A2" s="3736"/>
      <c r="B2" s="3733"/>
      <c r="C2" s="3733"/>
      <c r="D2" s="3733"/>
      <c r="E2" s="3733"/>
      <c r="F2" s="3733"/>
      <c r="G2" s="3733"/>
      <c r="H2" s="3733"/>
      <c r="I2" s="3733"/>
      <c r="J2" s="3733"/>
      <c r="K2" s="3733"/>
      <c r="L2" s="3735"/>
      <c r="M2" s="3402" t="s">
        <v>3329</v>
      </c>
      <c r="N2" s="3402" t="s">
        <v>3330</v>
      </c>
      <c r="O2" s="3402" t="s">
        <v>3331</v>
      </c>
      <c r="P2" s="3402" t="s">
        <v>3332</v>
      </c>
      <c r="Q2" s="3402" t="s">
        <v>3333</v>
      </c>
      <c r="R2" s="3402" t="s">
        <v>3334</v>
      </c>
      <c r="S2" s="3402" t="s">
        <v>3333</v>
      </c>
      <c r="T2" s="3402" t="s">
        <v>3334</v>
      </c>
      <c r="U2" s="3402" t="s">
        <v>3333</v>
      </c>
      <c r="V2" s="3402" t="s">
        <v>3334</v>
      </c>
      <c r="W2" s="3733"/>
      <c r="X2" s="3734"/>
      <c r="Y2" s="3733"/>
      <c r="Z2" s="3733"/>
      <c r="AA2" s="3733"/>
      <c r="AB2" s="3733"/>
    </row>
    <row r="3" spans="1:30" ht="93.75">
      <c r="A3" s="3403">
        <v>1</v>
      </c>
      <c r="B3" s="3357" t="s">
        <v>3335</v>
      </c>
      <c r="C3" s="3357" t="s">
        <v>3336</v>
      </c>
      <c r="D3" s="3357" t="s">
        <v>3337</v>
      </c>
      <c r="E3" s="3357" t="s">
        <v>3338</v>
      </c>
      <c r="F3" s="3357" t="s">
        <v>3339</v>
      </c>
      <c r="G3" s="3357" t="s">
        <v>3340</v>
      </c>
      <c r="H3" s="3357" t="s">
        <v>3341</v>
      </c>
      <c r="I3" s="3357">
        <v>4905.08</v>
      </c>
      <c r="J3" s="3357">
        <v>7836.3</v>
      </c>
      <c r="K3" s="3357" t="s">
        <v>3342</v>
      </c>
      <c r="L3" s="3404">
        <v>1.6</v>
      </c>
      <c r="M3" s="3357" t="s">
        <v>3343</v>
      </c>
      <c r="N3" s="3357">
        <v>1.5</v>
      </c>
      <c r="O3" s="3357" t="s">
        <v>3344</v>
      </c>
      <c r="P3" s="3357">
        <v>3060</v>
      </c>
      <c r="Q3" s="3357" t="s">
        <v>3345</v>
      </c>
      <c r="R3" s="3357" t="s">
        <v>3346</v>
      </c>
      <c r="S3" s="3357" t="s">
        <v>3347</v>
      </c>
      <c r="T3" s="3357" t="s">
        <v>3348</v>
      </c>
      <c r="U3" s="3357" t="s">
        <v>3349</v>
      </c>
      <c r="V3" s="3357" t="s">
        <v>3350</v>
      </c>
      <c r="W3" s="3363"/>
      <c r="X3" s="3357"/>
      <c r="Y3" s="3357" t="s">
        <v>3351</v>
      </c>
      <c r="Z3" s="3357" t="s">
        <v>3351</v>
      </c>
      <c r="AA3" s="3357" t="s">
        <v>3351</v>
      </c>
      <c r="AB3" s="3364">
        <v>43143</v>
      </c>
    </row>
    <row r="4" spans="1:30" ht="56.25">
      <c r="A4" s="3403">
        <v>2</v>
      </c>
      <c r="B4" s="3357" t="s">
        <v>3352</v>
      </c>
      <c r="C4" s="3357" t="s">
        <v>3353</v>
      </c>
      <c r="D4" s="3357" t="s">
        <v>3354</v>
      </c>
      <c r="E4" s="3357" t="s">
        <v>3355</v>
      </c>
      <c r="F4" s="3357" t="s">
        <v>3356</v>
      </c>
      <c r="G4" s="3357" t="s">
        <v>3340</v>
      </c>
      <c r="H4" s="3357" t="s">
        <v>3357</v>
      </c>
      <c r="I4" s="3357" t="s">
        <v>3358</v>
      </c>
      <c r="J4" s="3357">
        <v>0</v>
      </c>
      <c r="K4" s="3357">
        <v>5366.5</v>
      </c>
      <c r="L4" s="3404" t="s">
        <v>3359</v>
      </c>
      <c r="M4" s="3363" t="s">
        <v>3360</v>
      </c>
      <c r="N4" s="3363">
        <v>2.5</v>
      </c>
      <c r="O4" s="3363" t="s">
        <v>3361</v>
      </c>
      <c r="P4" s="3363">
        <v>8140</v>
      </c>
      <c r="Q4" s="3357">
        <v>1846</v>
      </c>
      <c r="R4" s="3357">
        <v>461</v>
      </c>
      <c r="S4" s="3357">
        <v>3257</v>
      </c>
      <c r="T4" s="3357">
        <v>814</v>
      </c>
      <c r="U4" s="3357">
        <v>2551</v>
      </c>
      <c r="V4" s="3357">
        <v>638</v>
      </c>
      <c r="Y4" s="3357" t="s">
        <v>3362</v>
      </c>
      <c r="Z4" s="3357" t="s">
        <v>3362</v>
      </c>
      <c r="AA4" s="3357" t="s">
        <v>3362</v>
      </c>
      <c r="AB4" s="3364">
        <v>43143</v>
      </c>
    </row>
    <row r="5" spans="1:30" s="3363" customFormat="1" ht="56.25">
      <c r="A5" s="3403">
        <v>3</v>
      </c>
      <c r="B5" s="3363" t="s">
        <v>3363</v>
      </c>
      <c r="C5" s="3363" t="s">
        <v>3364</v>
      </c>
      <c r="D5" s="3363" t="s">
        <v>3365</v>
      </c>
      <c r="E5" s="3363" t="s">
        <v>3338</v>
      </c>
      <c r="F5" s="3363" t="s">
        <v>3366</v>
      </c>
      <c r="G5" s="3363" t="s">
        <v>3367</v>
      </c>
      <c r="H5" s="3363" t="s">
        <v>3368</v>
      </c>
      <c r="I5" s="3363">
        <v>21.93</v>
      </c>
      <c r="J5" s="3363">
        <v>21.93</v>
      </c>
      <c r="K5" s="3363">
        <v>21.93</v>
      </c>
      <c r="L5" s="3405">
        <v>1</v>
      </c>
      <c r="M5" s="3363" t="s">
        <v>3369</v>
      </c>
      <c r="N5" s="3363">
        <v>2.5</v>
      </c>
      <c r="O5" s="3363" t="s">
        <v>3370</v>
      </c>
      <c r="P5" s="3363">
        <v>8030</v>
      </c>
      <c r="Q5" s="3363">
        <v>20243</v>
      </c>
      <c r="R5" s="3363">
        <v>5061</v>
      </c>
      <c r="S5" s="3363" t="s">
        <v>3371</v>
      </c>
      <c r="T5" s="3363" t="s">
        <v>3372</v>
      </c>
      <c r="U5" s="3363">
        <v>20120</v>
      </c>
      <c r="V5" s="3363">
        <v>5030</v>
      </c>
      <c r="Y5" s="3363" t="s">
        <v>3373</v>
      </c>
      <c r="Z5" s="3363" t="s">
        <v>3373</v>
      </c>
      <c r="AA5" s="3363" t="s">
        <v>3373</v>
      </c>
      <c r="AB5" s="3364">
        <v>43199</v>
      </c>
    </row>
    <row r="6" spans="1:30" ht="168.75">
      <c r="A6" s="3403">
        <v>4</v>
      </c>
      <c r="B6" s="3357" t="s">
        <v>3374</v>
      </c>
      <c r="C6" s="3357" t="s">
        <v>3375</v>
      </c>
      <c r="D6" s="3357" t="s">
        <v>3376</v>
      </c>
      <c r="E6" s="3357" t="s">
        <v>3377</v>
      </c>
      <c r="F6" s="3357" t="s">
        <v>3378</v>
      </c>
      <c r="G6" s="3357" t="s">
        <v>3340</v>
      </c>
      <c r="H6" s="3357" t="s">
        <v>3379</v>
      </c>
      <c r="I6" s="3357">
        <v>75838.710999999996</v>
      </c>
      <c r="J6" s="3357">
        <v>169552.33</v>
      </c>
      <c r="K6" s="3357" t="s">
        <v>3380</v>
      </c>
      <c r="L6" s="3404">
        <v>2.2400000000000002</v>
      </c>
      <c r="M6" s="3357" t="s">
        <v>3381</v>
      </c>
      <c r="N6" s="3357">
        <v>2.5</v>
      </c>
      <c r="O6" s="3357" t="s">
        <v>3382</v>
      </c>
      <c r="P6" s="3357">
        <v>12080</v>
      </c>
      <c r="Q6" s="3357" t="s">
        <v>3383</v>
      </c>
      <c r="R6" s="3357" t="s">
        <v>3384</v>
      </c>
      <c r="S6" s="3357" t="s">
        <v>3385</v>
      </c>
      <c r="T6" s="3357" t="s">
        <v>3386</v>
      </c>
      <c r="U6" s="3357" t="s">
        <v>3387</v>
      </c>
      <c r="V6" s="3357" t="s">
        <v>3388</v>
      </c>
      <c r="W6" s="3357">
        <v>2900</v>
      </c>
      <c r="X6" s="3357"/>
      <c r="Y6" s="3357" t="s">
        <v>3389</v>
      </c>
      <c r="Z6" s="3357" t="s">
        <v>3389</v>
      </c>
      <c r="AA6" s="3357" t="s">
        <v>3389</v>
      </c>
      <c r="AB6" s="3364">
        <v>43199</v>
      </c>
    </row>
    <row r="7" spans="1:30" ht="131.25">
      <c r="A7" s="3403">
        <v>5</v>
      </c>
      <c r="B7" s="3357" t="s">
        <v>3390</v>
      </c>
      <c r="C7" s="3357" t="s">
        <v>3391</v>
      </c>
      <c r="D7" s="3357" t="s">
        <v>3392</v>
      </c>
      <c r="E7" s="3357" t="s">
        <v>3377</v>
      </c>
      <c r="F7" s="3357" t="s">
        <v>3393</v>
      </c>
      <c r="G7" s="3357" t="s">
        <v>3340</v>
      </c>
      <c r="H7" s="3357" t="s">
        <v>3394</v>
      </c>
      <c r="I7" s="3357">
        <v>135771.29</v>
      </c>
      <c r="J7" s="3357">
        <v>219796.3</v>
      </c>
      <c r="K7" s="3357" t="s">
        <v>3395</v>
      </c>
      <c r="L7" s="3404">
        <v>1.62</v>
      </c>
      <c r="M7" s="3357" t="s">
        <v>3381</v>
      </c>
      <c r="N7" s="3357">
        <v>2.5</v>
      </c>
      <c r="O7" s="3357" t="s">
        <v>3382</v>
      </c>
      <c r="P7" s="3357">
        <v>12080</v>
      </c>
      <c r="Q7" s="3357" t="s">
        <v>3396</v>
      </c>
      <c r="R7" s="3357" t="s">
        <v>3397</v>
      </c>
      <c r="S7" s="3357" t="s">
        <v>3398</v>
      </c>
      <c r="T7" s="3357" t="s">
        <v>3399</v>
      </c>
      <c r="U7" s="3357" t="s">
        <v>3400</v>
      </c>
      <c r="V7" s="3357" t="s">
        <v>3401</v>
      </c>
      <c r="W7" s="3357">
        <v>2900</v>
      </c>
      <c r="X7" s="3357"/>
      <c r="Y7" s="3357" t="s">
        <v>3402</v>
      </c>
      <c r="Z7" s="3357" t="s">
        <v>3402</v>
      </c>
      <c r="AA7" s="3357" t="s">
        <v>3402</v>
      </c>
      <c r="AB7" s="3364">
        <v>43199</v>
      </c>
    </row>
    <row r="8" spans="1:30" ht="93.75">
      <c r="A8" s="3403">
        <v>6</v>
      </c>
      <c r="B8" s="3357" t="s">
        <v>3403</v>
      </c>
      <c r="C8" s="3357" t="s">
        <v>3404</v>
      </c>
      <c r="D8" s="3357" t="s">
        <v>3405</v>
      </c>
      <c r="E8" s="3357" t="s">
        <v>3377</v>
      </c>
      <c r="F8" s="3357" t="s">
        <v>3406</v>
      </c>
      <c r="G8" s="3357" t="s">
        <v>3340</v>
      </c>
      <c r="H8" s="3357" t="s">
        <v>3407</v>
      </c>
      <c r="I8" s="3357">
        <v>3568.54</v>
      </c>
      <c r="J8" s="3357">
        <v>2635</v>
      </c>
      <c r="K8" s="3357">
        <v>2635</v>
      </c>
      <c r="L8" s="3404">
        <v>0.74</v>
      </c>
      <c r="M8" s="3357" t="s">
        <v>3408</v>
      </c>
      <c r="N8" s="3357">
        <v>1.2</v>
      </c>
      <c r="O8" s="3357" t="s">
        <v>3409</v>
      </c>
      <c r="P8" s="3357">
        <v>1450</v>
      </c>
      <c r="Q8" s="3357">
        <v>2955</v>
      </c>
      <c r="R8" s="3357">
        <v>443</v>
      </c>
      <c r="S8" s="3357">
        <v>2731</v>
      </c>
      <c r="T8" s="3357">
        <v>410</v>
      </c>
      <c r="U8" s="3357">
        <v>2843</v>
      </c>
      <c r="V8" s="3357">
        <v>426</v>
      </c>
      <c r="W8" s="3363">
        <v>4063</v>
      </c>
      <c r="X8" s="3357"/>
      <c r="Y8" s="3357" t="s">
        <v>3410</v>
      </c>
      <c r="Z8" s="3357" t="s">
        <v>3410</v>
      </c>
      <c r="AA8" s="3357" t="s">
        <v>3410</v>
      </c>
      <c r="AB8" s="3364">
        <v>43234</v>
      </c>
    </row>
    <row r="9" spans="1:30" s="3406" customFormat="1" ht="168.75">
      <c r="A9" s="3403">
        <v>7</v>
      </c>
      <c r="B9" s="3406" t="s">
        <v>3411</v>
      </c>
      <c r="C9" s="3406" t="s">
        <v>3412</v>
      </c>
      <c r="D9" s="3406" t="s">
        <v>3413</v>
      </c>
      <c r="E9" s="3406" t="s">
        <v>3414</v>
      </c>
      <c r="F9" s="3406" t="s">
        <v>3415</v>
      </c>
      <c r="G9" s="3406" t="s">
        <v>3340</v>
      </c>
      <c r="H9" s="3406" t="s">
        <v>3416</v>
      </c>
      <c r="I9" s="3406">
        <v>87772.44</v>
      </c>
      <c r="J9" s="3406">
        <v>117056</v>
      </c>
      <c r="K9" s="3406" t="s">
        <v>3417</v>
      </c>
      <c r="L9" s="3407" t="s">
        <v>3418</v>
      </c>
      <c r="M9" s="3406" t="s">
        <v>3419</v>
      </c>
      <c r="N9" s="3406">
        <v>2.5</v>
      </c>
      <c r="O9" s="3406" t="s">
        <v>3361</v>
      </c>
      <c r="P9" s="3406">
        <v>8140</v>
      </c>
      <c r="Q9" s="3357" t="s">
        <v>3420</v>
      </c>
      <c r="R9" s="3357" t="s">
        <v>3421</v>
      </c>
      <c r="S9" s="3357" t="s">
        <v>3422</v>
      </c>
      <c r="T9" s="3357" t="s">
        <v>3423</v>
      </c>
      <c r="U9" s="3357" t="s">
        <v>3424</v>
      </c>
      <c r="V9" s="3357" t="s">
        <v>3425</v>
      </c>
      <c r="W9" s="3406">
        <v>16240</v>
      </c>
      <c r="X9" s="3357"/>
      <c r="Y9" s="3357" t="s">
        <v>3426</v>
      </c>
      <c r="Z9" s="3357" t="s">
        <v>3426</v>
      </c>
      <c r="AA9" s="3357" t="s">
        <v>3426</v>
      </c>
      <c r="AB9" s="3364">
        <v>43306</v>
      </c>
    </row>
    <row r="10" spans="1:30" s="3406" customFormat="1" ht="93.75">
      <c r="A10" s="3403">
        <v>8</v>
      </c>
      <c r="B10" s="3406" t="s">
        <v>3427</v>
      </c>
      <c r="C10" s="3406" t="s">
        <v>3428</v>
      </c>
      <c r="D10" s="3363" t="s">
        <v>3429</v>
      </c>
      <c r="E10" s="3406" t="s">
        <v>3430</v>
      </c>
      <c r="F10" s="3406" t="s">
        <v>3431</v>
      </c>
      <c r="G10" s="3406" t="s">
        <v>3340</v>
      </c>
      <c r="H10" s="3406" t="s">
        <v>3432</v>
      </c>
      <c r="I10" s="3406" t="s">
        <v>3433</v>
      </c>
      <c r="J10" s="3406">
        <v>0</v>
      </c>
      <c r="K10" s="3406">
        <v>9525.48</v>
      </c>
      <c r="L10" s="3407">
        <v>1.01</v>
      </c>
      <c r="M10" s="3406" t="s">
        <v>3434</v>
      </c>
      <c r="N10" s="3406">
        <v>2.5</v>
      </c>
      <c r="O10" s="3406" t="s">
        <v>3435</v>
      </c>
      <c r="P10" s="3406">
        <v>12370</v>
      </c>
      <c r="Q10" s="3406" t="s">
        <v>3436</v>
      </c>
      <c r="R10" s="3406" t="s">
        <v>3437</v>
      </c>
      <c r="S10" s="3406" t="s">
        <v>3438</v>
      </c>
      <c r="T10" s="3406" t="s">
        <v>3439</v>
      </c>
      <c r="U10" s="3406" t="s">
        <v>3440</v>
      </c>
      <c r="V10" s="3406" t="s">
        <v>3441</v>
      </c>
      <c r="Y10" s="3357" t="s">
        <v>3442</v>
      </c>
      <c r="Z10" s="3357" t="s">
        <v>3442</v>
      </c>
      <c r="AA10" s="3357" t="s">
        <v>3442</v>
      </c>
      <c r="AB10" s="3364">
        <v>43306</v>
      </c>
    </row>
    <row r="11" spans="1:30" s="3406" customFormat="1" ht="150">
      <c r="A11" s="3403">
        <v>9</v>
      </c>
      <c r="B11" s="3357" t="s">
        <v>3443</v>
      </c>
      <c r="C11" s="3406" t="s">
        <v>3444</v>
      </c>
      <c r="D11" s="3406" t="s">
        <v>3445</v>
      </c>
      <c r="E11" s="3357" t="s">
        <v>3430</v>
      </c>
      <c r="F11" s="3357" t="s">
        <v>3446</v>
      </c>
      <c r="G11" s="3406" t="s">
        <v>3340</v>
      </c>
      <c r="H11" s="3406" t="s">
        <v>3447</v>
      </c>
      <c r="I11" s="3406" t="s">
        <v>3448</v>
      </c>
      <c r="J11" s="3406">
        <v>0</v>
      </c>
      <c r="K11" s="3406" t="s">
        <v>3449</v>
      </c>
      <c r="L11" s="3406">
        <v>0</v>
      </c>
      <c r="M11" s="3406" t="s">
        <v>3360</v>
      </c>
      <c r="N11" s="3406">
        <v>2.5</v>
      </c>
      <c r="O11" s="3406" t="s">
        <v>3361</v>
      </c>
      <c r="P11" s="3406">
        <v>8140</v>
      </c>
      <c r="Q11" s="3406" t="s">
        <v>3450</v>
      </c>
      <c r="R11" s="3406" t="s">
        <v>3451</v>
      </c>
      <c r="S11" s="3406" t="s">
        <v>3452</v>
      </c>
      <c r="T11" s="3406" t="s">
        <v>3453</v>
      </c>
      <c r="U11" s="3406" t="s">
        <v>3454</v>
      </c>
      <c r="V11" s="3406" t="s">
        <v>3455</v>
      </c>
      <c r="Y11" s="3406" t="s">
        <v>3456</v>
      </c>
      <c r="Z11" s="3406" t="s">
        <v>3456</v>
      </c>
      <c r="AA11" s="3406" t="s">
        <v>3456</v>
      </c>
      <c r="AB11" s="3364">
        <v>43306</v>
      </c>
    </row>
    <row r="12" spans="1:30" s="3409" customFormat="1" ht="93.75">
      <c r="A12" s="3408">
        <v>10</v>
      </c>
      <c r="B12" s="3409" t="s">
        <v>3457</v>
      </c>
      <c r="C12" s="3409" t="s">
        <v>3458</v>
      </c>
      <c r="D12" s="3409" t="s">
        <v>3405</v>
      </c>
      <c r="E12" s="3409" t="s">
        <v>3377</v>
      </c>
      <c r="F12" s="3409" t="s">
        <v>3459</v>
      </c>
      <c r="G12" s="3409" t="s">
        <v>3340</v>
      </c>
      <c r="H12" s="3409" t="s">
        <v>3460</v>
      </c>
      <c r="I12" s="3409">
        <v>70977.054000000004</v>
      </c>
      <c r="J12" s="3409">
        <v>64889.3</v>
      </c>
      <c r="K12" s="3409" t="s">
        <v>3461</v>
      </c>
      <c r="L12" s="3410">
        <v>0.9</v>
      </c>
      <c r="M12" s="3409" t="s">
        <v>3408</v>
      </c>
      <c r="N12" s="3409">
        <v>1.2</v>
      </c>
      <c r="O12" s="3409" t="s">
        <v>3409</v>
      </c>
      <c r="P12" s="3409">
        <v>1450</v>
      </c>
      <c r="Q12" s="3409" t="s">
        <v>3462</v>
      </c>
      <c r="R12" s="3409" t="s">
        <v>3463</v>
      </c>
      <c r="S12" s="3409" t="s">
        <v>3464</v>
      </c>
      <c r="T12" s="3409" t="s">
        <v>3465</v>
      </c>
      <c r="U12" s="3409" t="s">
        <v>3466</v>
      </c>
      <c r="V12" s="3409" t="s">
        <v>3467</v>
      </c>
      <c r="W12" s="3411">
        <v>3128</v>
      </c>
      <c r="Y12" s="3409" t="s">
        <v>3468</v>
      </c>
      <c r="Z12" s="3409" t="s">
        <v>3468</v>
      </c>
      <c r="AA12" s="3409" t="s">
        <v>3468</v>
      </c>
      <c r="AB12" s="3412">
        <v>43363</v>
      </c>
    </row>
    <row r="13" spans="1:30" ht="206.25">
      <c r="A13" s="3403">
        <v>11</v>
      </c>
      <c r="B13" s="3357" t="s">
        <v>3469</v>
      </c>
      <c r="C13" s="3357" t="s">
        <v>3470</v>
      </c>
      <c r="D13" s="3357" t="s">
        <v>3471</v>
      </c>
      <c r="E13" s="3357" t="s">
        <v>3472</v>
      </c>
      <c r="F13" s="3357" t="s">
        <v>3473</v>
      </c>
      <c r="G13" s="3357" t="s">
        <v>3474</v>
      </c>
      <c r="H13" s="3357" t="s">
        <v>3475</v>
      </c>
      <c r="I13" s="3357">
        <v>38488.339999999997</v>
      </c>
      <c r="J13" s="3357">
        <v>47747.05</v>
      </c>
      <c r="K13" s="3357">
        <v>55650.6</v>
      </c>
      <c r="L13" s="3404">
        <v>1.24</v>
      </c>
      <c r="M13" s="3357" t="s">
        <v>3476</v>
      </c>
      <c r="N13" s="3357" t="s">
        <v>3477</v>
      </c>
      <c r="O13" s="3357" t="s">
        <v>3478</v>
      </c>
      <c r="P13" s="3357" t="s">
        <v>3479</v>
      </c>
      <c r="Q13" s="3357" t="s">
        <v>3480</v>
      </c>
      <c r="R13" s="3357" t="s">
        <v>3481</v>
      </c>
      <c r="S13" s="3357" t="s">
        <v>3482</v>
      </c>
      <c r="T13" s="3357" t="s">
        <v>3483</v>
      </c>
      <c r="U13" s="3357" t="s">
        <v>3484</v>
      </c>
      <c r="V13" s="3357" t="s">
        <v>3485</v>
      </c>
      <c r="W13" s="3357">
        <v>11736</v>
      </c>
      <c r="Y13" s="3363" t="s">
        <v>3486</v>
      </c>
      <c r="Z13" s="3363" t="s">
        <v>3486</v>
      </c>
      <c r="AA13" s="3363" t="s">
        <v>3486</v>
      </c>
      <c r="AB13" s="3364">
        <v>43433</v>
      </c>
    </row>
    <row r="14" spans="1:30" ht="131.25">
      <c r="A14" s="3403">
        <v>12</v>
      </c>
      <c r="B14" s="3357" t="s">
        <v>3487</v>
      </c>
      <c r="C14" s="3357" t="s">
        <v>3488</v>
      </c>
      <c r="D14" s="3357" t="s">
        <v>3489</v>
      </c>
      <c r="E14" s="3357" t="s">
        <v>3490</v>
      </c>
      <c r="F14" s="3357" t="s">
        <v>3491</v>
      </c>
      <c r="G14" s="3357" t="s">
        <v>3492</v>
      </c>
      <c r="H14" s="3357" t="s">
        <v>3493</v>
      </c>
      <c r="I14" s="3357" t="s">
        <v>3494</v>
      </c>
      <c r="J14" s="3357">
        <v>301.43</v>
      </c>
      <c r="K14" s="3357" t="s">
        <v>3495</v>
      </c>
      <c r="L14" s="3404">
        <v>2.8</v>
      </c>
      <c r="M14" s="3357" t="s">
        <v>3496</v>
      </c>
      <c r="N14" s="3357">
        <v>2.5</v>
      </c>
      <c r="O14" s="3357" t="s">
        <v>3497</v>
      </c>
      <c r="P14" s="3357" t="s">
        <v>3498</v>
      </c>
      <c r="Q14" s="3357" t="s">
        <v>3499</v>
      </c>
      <c r="R14" s="3357" t="s">
        <v>3500</v>
      </c>
      <c r="S14" s="3357" t="s">
        <v>3501</v>
      </c>
      <c r="T14" s="3357" t="s">
        <v>3502</v>
      </c>
      <c r="U14" s="3357" t="s">
        <v>3503</v>
      </c>
      <c r="V14" s="3357" t="s">
        <v>3504</v>
      </c>
      <c r="W14" s="3363">
        <v>5127.8599999999997</v>
      </c>
      <c r="X14" s="3357"/>
      <c r="Y14" s="3357" t="s">
        <v>3505</v>
      </c>
      <c r="Z14" s="3357" t="s">
        <v>3505</v>
      </c>
      <c r="AA14" s="3357" t="s">
        <v>3505</v>
      </c>
      <c r="AB14" s="3364">
        <v>43451</v>
      </c>
    </row>
    <row r="15" spans="1:30" ht="187.5">
      <c r="A15" s="3403">
        <v>13</v>
      </c>
      <c r="B15" s="3357" t="s">
        <v>3506</v>
      </c>
      <c r="C15" s="3357" t="s">
        <v>3507</v>
      </c>
      <c r="D15" s="3357" t="s">
        <v>3489</v>
      </c>
      <c r="E15" s="3357" t="s">
        <v>3490</v>
      </c>
      <c r="F15" s="3357" t="s">
        <v>3508</v>
      </c>
      <c r="G15" s="3357" t="s">
        <v>3492</v>
      </c>
      <c r="H15" s="3357" t="s">
        <v>3509</v>
      </c>
      <c r="I15" s="3357" t="s">
        <v>3510</v>
      </c>
      <c r="J15" s="3357" t="s">
        <v>3511</v>
      </c>
      <c r="K15" s="3357" t="s">
        <v>3512</v>
      </c>
      <c r="L15" s="3404">
        <v>2.8</v>
      </c>
      <c r="M15" s="3357" t="s">
        <v>3513</v>
      </c>
      <c r="N15" s="3357">
        <v>2.5</v>
      </c>
      <c r="O15" s="3357" t="s">
        <v>3514</v>
      </c>
      <c r="P15" s="3357" t="s">
        <v>3515</v>
      </c>
      <c r="Q15" s="3357" t="s">
        <v>3516</v>
      </c>
      <c r="R15" s="3357" t="s">
        <v>3517</v>
      </c>
      <c r="S15" s="3357" t="s">
        <v>3518</v>
      </c>
      <c r="T15" s="3357" t="s">
        <v>3519</v>
      </c>
      <c r="U15" s="3357" t="s">
        <v>3520</v>
      </c>
      <c r="V15" s="3357" t="s">
        <v>3521</v>
      </c>
      <c r="W15" s="3363">
        <v>5127.8599999999997</v>
      </c>
      <c r="X15" s="3357"/>
      <c r="Y15" s="3357" t="s">
        <v>3522</v>
      </c>
      <c r="Z15" s="3357" t="s">
        <v>3522</v>
      </c>
      <c r="AA15" s="3357" t="s">
        <v>3522</v>
      </c>
      <c r="AB15" s="3364">
        <v>43451</v>
      </c>
    </row>
    <row r="16" spans="1:30" ht="56.25">
      <c r="A16" s="3403">
        <v>14</v>
      </c>
      <c r="B16" s="3357" t="s">
        <v>3523</v>
      </c>
      <c r="C16" s="3357" t="s">
        <v>3524</v>
      </c>
      <c r="D16" s="3357" t="s">
        <v>3525</v>
      </c>
      <c r="E16" s="3357" t="s">
        <v>3526</v>
      </c>
      <c r="F16" s="3357" t="s">
        <v>3431</v>
      </c>
      <c r="G16" s="3357" t="s">
        <v>3340</v>
      </c>
      <c r="H16" s="3357" t="s">
        <v>3527</v>
      </c>
      <c r="I16" s="3357" t="s">
        <v>3528</v>
      </c>
      <c r="J16" s="3357">
        <v>0</v>
      </c>
      <c r="K16" s="3357">
        <v>14145</v>
      </c>
      <c r="L16" s="3404">
        <v>1.76</v>
      </c>
      <c r="M16" s="3357" t="s">
        <v>3529</v>
      </c>
      <c r="N16" s="3357">
        <v>2.5</v>
      </c>
      <c r="O16" s="3357" t="s">
        <v>3530</v>
      </c>
      <c r="P16" s="3357" t="s">
        <v>3531</v>
      </c>
      <c r="Q16" s="3357" t="s">
        <v>3532</v>
      </c>
      <c r="R16" s="3357" t="s">
        <v>3533</v>
      </c>
      <c r="S16" s="3357" t="s">
        <v>3534</v>
      </c>
      <c r="T16" s="3357" t="s">
        <v>3535</v>
      </c>
      <c r="U16" s="3357" t="s">
        <v>3536</v>
      </c>
      <c r="V16" s="3357" t="s">
        <v>3537</v>
      </c>
      <c r="X16" s="3357"/>
      <c r="Y16" s="3357" t="s">
        <v>3538</v>
      </c>
      <c r="Z16" s="3357" t="s">
        <v>3538</v>
      </c>
      <c r="AA16" s="3357" t="s">
        <v>3538</v>
      </c>
      <c r="AB16" s="3364">
        <v>43451</v>
      </c>
    </row>
    <row r="17" spans="1:28" ht="56.25">
      <c r="A17" s="3403">
        <v>15</v>
      </c>
      <c r="B17" s="3357" t="s">
        <v>3539</v>
      </c>
      <c r="C17" s="3357" t="s">
        <v>3524</v>
      </c>
      <c r="D17" s="3357" t="s">
        <v>3525</v>
      </c>
      <c r="E17" s="3357" t="s">
        <v>3526</v>
      </c>
      <c r="F17" s="3357" t="s">
        <v>3540</v>
      </c>
      <c r="G17" s="3357" t="s">
        <v>3340</v>
      </c>
      <c r="H17" s="3357" t="s">
        <v>3541</v>
      </c>
      <c r="I17" s="3357" t="s">
        <v>3542</v>
      </c>
      <c r="J17" s="3357">
        <v>0</v>
      </c>
      <c r="K17" s="3357">
        <v>8732</v>
      </c>
      <c r="L17" s="3404">
        <v>1.76</v>
      </c>
      <c r="M17" s="3357" t="s">
        <v>3543</v>
      </c>
      <c r="N17" s="3357">
        <v>2.5</v>
      </c>
      <c r="O17" s="3357" t="s">
        <v>3544</v>
      </c>
      <c r="P17" s="3357" t="s">
        <v>3545</v>
      </c>
      <c r="Q17" s="3357" t="s">
        <v>3546</v>
      </c>
      <c r="R17" s="3357" t="s">
        <v>3547</v>
      </c>
      <c r="S17" s="3357" t="s">
        <v>3548</v>
      </c>
      <c r="T17" s="3357" t="s">
        <v>3549</v>
      </c>
      <c r="U17" s="3357" t="s">
        <v>3550</v>
      </c>
      <c r="V17" s="3357" t="s">
        <v>3551</v>
      </c>
      <c r="X17" s="3357"/>
      <c r="Y17" s="3357" t="s">
        <v>3538</v>
      </c>
      <c r="Z17" s="3357" t="s">
        <v>3538</v>
      </c>
      <c r="AA17" s="3357" t="s">
        <v>3538</v>
      </c>
      <c r="AB17" s="3364">
        <v>43451</v>
      </c>
    </row>
    <row r="18" spans="1:28" ht="206.25">
      <c r="A18" s="3403">
        <v>16</v>
      </c>
      <c r="B18" s="3357" t="s">
        <v>3552</v>
      </c>
      <c r="C18" s="3357" t="s">
        <v>3524</v>
      </c>
      <c r="D18" s="3357" t="s">
        <v>3525</v>
      </c>
      <c r="E18" s="3357" t="s">
        <v>3526</v>
      </c>
      <c r="F18" s="3357" t="s">
        <v>3553</v>
      </c>
      <c r="G18" s="3357" t="s">
        <v>3340</v>
      </c>
      <c r="H18" s="3357" t="s">
        <v>3554</v>
      </c>
      <c r="I18" s="3357" t="s">
        <v>3555</v>
      </c>
      <c r="J18" s="3357" t="s">
        <v>3556</v>
      </c>
      <c r="K18" s="3357" t="s">
        <v>3557</v>
      </c>
      <c r="L18" s="3404">
        <v>1.76</v>
      </c>
      <c r="M18" s="3357" t="s">
        <v>3558</v>
      </c>
      <c r="N18" s="3357">
        <v>2.5</v>
      </c>
      <c r="O18" s="3357" t="s">
        <v>3559</v>
      </c>
      <c r="P18" s="3357" t="s">
        <v>3560</v>
      </c>
      <c r="Q18" s="3357" t="s">
        <v>3561</v>
      </c>
      <c r="R18" s="3357" t="s">
        <v>3562</v>
      </c>
      <c r="S18" s="3357" t="s">
        <v>3563</v>
      </c>
      <c r="T18" s="3357" t="s">
        <v>3564</v>
      </c>
      <c r="U18" s="3357" t="s">
        <v>3565</v>
      </c>
      <c r="V18" s="3357" t="s">
        <v>3566</v>
      </c>
      <c r="W18" s="3357">
        <v>14600</v>
      </c>
      <c r="X18" s="3357"/>
      <c r="Y18" s="3357" t="s">
        <v>3567</v>
      </c>
      <c r="Z18" s="3357" t="s">
        <v>3567</v>
      </c>
      <c r="AA18" s="3357" t="s">
        <v>3567</v>
      </c>
      <c r="AB18" s="3364">
        <v>43451</v>
      </c>
    </row>
    <row r="19" spans="1:28" ht="168.75">
      <c r="A19" s="3403">
        <v>17</v>
      </c>
      <c r="B19" s="3357" t="s">
        <v>3568</v>
      </c>
      <c r="C19" s="3357" t="s">
        <v>3524</v>
      </c>
      <c r="D19" s="3357" t="s">
        <v>3525</v>
      </c>
      <c r="E19" s="3357" t="s">
        <v>3526</v>
      </c>
      <c r="F19" s="3357" t="s">
        <v>3446</v>
      </c>
      <c r="G19" s="3357" t="s">
        <v>3340</v>
      </c>
      <c r="H19" s="3357" t="s">
        <v>3569</v>
      </c>
      <c r="I19" s="3357" t="s">
        <v>3570</v>
      </c>
      <c r="J19" s="3357" t="s">
        <v>3571</v>
      </c>
      <c r="K19" s="3357" t="s">
        <v>3572</v>
      </c>
      <c r="L19" s="3404">
        <v>1.76</v>
      </c>
      <c r="M19" s="3357" t="s">
        <v>3558</v>
      </c>
      <c r="N19" s="3357">
        <v>2.5</v>
      </c>
      <c r="O19" s="3357" t="s">
        <v>3559</v>
      </c>
      <c r="P19" s="3357" t="s">
        <v>3560</v>
      </c>
      <c r="Q19" s="3357" t="s">
        <v>3573</v>
      </c>
      <c r="R19" s="3357" t="s">
        <v>3574</v>
      </c>
      <c r="S19" s="3357" t="s">
        <v>3575</v>
      </c>
      <c r="T19" s="3357" t="s">
        <v>3576</v>
      </c>
      <c r="U19" s="3357" t="s">
        <v>3577</v>
      </c>
      <c r="V19" s="3357" t="s">
        <v>3578</v>
      </c>
      <c r="W19" s="3357">
        <v>14600</v>
      </c>
      <c r="X19" s="3357"/>
      <c r="Y19" s="3357" t="s">
        <v>3579</v>
      </c>
      <c r="Z19" s="3357" t="s">
        <v>3579</v>
      </c>
      <c r="AA19" s="3357" t="s">
        <v>3579</v>
      </c>
      <c r="AB19" s="3364">
        <v>43451</v>
      </c>
    </row>
    <row r="20" spans="1:28" ht="168.75">
      <c r="A20" s="3403">
        <v>18</v>
      </c>
      <c r="B20" s="3357" t="s">
        <v>3580</v>
      </c>
      <c r="C20" s="3357" t="s">
        <v>3524</v>
      </c>
      <c r="D20" s="3357" t="s">
        <v>3525</v>
      </c>
      <c r="E20" s="3357" t="s">
        <v>3526</v>
      </c>
      <c r="F20" s="3357" t="s">
        <v>3581</v>
      </c>
      <c r="G20" s="3357" t="s">
        <v>3340</v>
      </c>
      <c r="H20" s="3357" t="s">
        <v>3569</v>
      </c>
      <c r="I20" s="3357" t="s">
        <v>3582</v>
      </c>
      <c r="J20" s="3357" t="s">
        <v>3583</v>
      </c>
      <c r="K20" s="3357" t="s">
        <v>3584</v>
      </c>
      <c r="L20" s="3404">
        <v>1.76</v>
      </c>
      <c r="M20" s="3357" t="s">
        <v>3558</v>
      </c>
      <c r="N20" s="3357">
        <v>2.5</v>
      </c>
      <c r="O20" s="3357" t="s">
        <v>3559</v>
      </c>
      <c r="P20" s="3357" t="s">
        <v>3560</v>
      </c>
      <c r="Q20" s="3357" t="s">
        <v>3585</v>
      </c>
      <c r="R20" s="3357" t="s">
        <v>3586</v>
      </c>
      <c r="S20" s="3357" t="s">
        <v>3587</v>
      </c>
      <c r="T20" s="3357" t="s">
        <v>3588</v>
      </c>
      <c r="U20" s="3357" t="s">
        <v>3589</v>
      </c>
      <c r="V20" s="3357" t="s">
        <v>3590</v>
      </c>
      <c r="W20" s="3357">
        <v>14600</v>
      </c>
      <c r="X20" s="3357"/>
      <c r="Y20" s="3357" t="s">
        <v>3579</v>
      </c>
      <c r="Z20" s="3357" t="s">
        <v>3579</v>
      </c>
      <c r="AA20" s="3357" t="s">
        <v>3579</v>
      </c>
      <c r="AB20" s="3364">
        <v>43451</v>
      </c>
    </row>
    <row r="21" spans="1:28">
      <c r="L21" s="3357"/>
      <c r="AB21" s="3364"/>
    </row>
    <row r="22" spans="1:28">
      <c r="L22" s="3357"/>
    </row>
  </sheetData>
  <mergeCells count="23">
    <mergeCell ref="F1:F2"/>
    <mergeCell ref="A1:A2"/>
    <mergeCell ref="B1:B2"/>
    <mergeCell ref="C1:C2"/>
    <mergeCell ref="D1:D2"/>
    <mergeCell ref="E1:E2"/>
    <mergeCell ref="X1:X2"/>
    <mergeCell ref="G1:G2"/>
    <mergeCell ref="H1:H2"/>
    <mergeCell ref="I1:I2"/>
    <mergeCell ref="J1:J2"/>
    <mergeCell ref="K1:K2"/>
    <mergeCell ref="L1:L2"/>
    <mergeCell ref="M1:P1"/>
    <mergeCell ref="Q1:R1"/>
    <mergeCell ref="S1:T1"/>
    <mergeCell ref="U1:V1"/>
    <mergeCell ref="W1:W2"/>
    <mergeCell ref="Y1:Y2"/>
    <mergeCell ref="Z1:Z2"/>
    <mergeCell ref="AA1:AA2"/>
    <mergeCell ref="AB1:AB2"/>
    <mergeCell ref="AC1:AD1"/>
  </mergeCells>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T11"/>
  <sheetViews>
    <sheetView workbookViewId="0">
      <selection activeCell="R9" sqref="R9"/>
    </sheetView>
  </sheetViews>
  <sheetFormatPr defaultRowHeight="13.5"/>
  <cols>
    <col min="1" max="1" width="9" style="2652"/>
    <col min="2" max="2" width="10.75" style="2652" bestFit="1" customWidth="1"/>
    <col min="3" max="16384" width="9" style="2652"/>
  </cols>
  <sheetData>
    <row r="1" spans="1:20" ht="14.25" thickBot="1">
      <c r="A1" s="3746" t="s">
        <v>3591</v>
      </c>
      <c r="B1" s="3737" t="s">
        <v>2018</v>
      </c>
      <c r="C1" s="3737" t="s">
        <v>3156</v>
      </c>
      <c r="D1" s="3737" t="s">
        <v>3592</v>
      </c>
      <c r="E1" s="3737" t="s">
        <v>3593</v>
      </c>
      <c r="F1" s="3743" t="s">
        <v>3594</v>
      </c>
      <c r="G1" s="3744"/>
      <c r="H1" s="3745"/>
      <c r="I1" s="3741" t="s">
        <v>3595</v>
      </c>
      <c r="J1" s="3737" t="s">
        <v>3596</v>
      </c>
      <c r="K1" s="3737" t="s">
        <v>3597</v>
      </c>
      <c r="L1" s="3737" t="s">
        <v>3598</v>
      </c>
      <c r="M1" s="3737" t="s">
        <v>3599</v>
      </c>
      <c r="N1" s="3737" t="s">
        <v>3600</v>
      </c>
      <c r="O1" s="3737" t="s">
        <v>3601</v>
      </c>
      <c r="P1" s="3737" t="s">
        <v>3602</v>
      </c>
      <c r="Q1" s="3739" t="s">
        <v>3603</v>
      </c>
    </row>
    <row r="2" spans="1:20" ht="14.25" thickBot="1">
      <c r="A2" s="3747"/>
      <c r="B2" s="3738"/>
      <c r="C2" s="3738"/>
      <c r="D2" s="3738"/>
      <c r="E2" s="3738"/>
      <c r="F2" s="3414"/>
      <c r="G2" s="3414"/>
      <c r="H2" s="3414"/>
      <c r="I2" s="3742"/>
      <c r="J2" s="3738"/>
      <c r="K2" s="3738"/>
      <c r="L2" s="3738"/>
      <c r="M2" s="3738"/>
      <c r="N2" s="3738"/>
      <c r="O2" s="3738"/>
      <c r="P2" s="3738"/>
      <c r="Q2" s="3740"/>
      <c r="R2" s="2652" t="s">
        <v>3604</v>
      </c>
    </row>
    <row r="3" spans="1:20" ht="90" thickBot="1">
      <c r="A3" s="3415" t="s">
        <v>3605</v>
      </c>
      <c r="B3" s="3416" t="s">
        <v>3606</v>
      </c>
      <c r="C3" s="3417" t="s">
        <v>3607</v>
      </c>
      <c r="D3" s="3418">
        <v>44153</v>
      </c>
      <c r="E3" s="3417">
        <v>570500</v>
      </c>
      <c r="F3" s="3417">
        <v>51788.13</v>
      </c>
      <c r="G3" s="3417">
        <v>51788.13</v>
      </c>
      <c r="H3" s="3417">
        <v>0</v>
      </c>
      <c r="I3" s="3417">
        <v>184800</v>
      </c>
      <c r="J3" s="3417" t="s">
        <v>3608</v>
      </c>
      <c r="K3" s="3417" t="s">
        <v>3609</v>
      </c>
      <c r="L3" s="3418">
        <v>44167</v>
      </c>
      <c r="M3" s="3417">
        <v>579500</v>
      </c>
      <c r="N3" s="3417" t="s">
        <v>3610</v>
      </c>
      <c r="O3" s="3417" t="s">
        <v>3611</v>
      </c>
      <c r="P3" s="3417"/>
      <c r="Q3" s="3419">
        <v>115000</v>
      </c>
      <c r="R3" s="2652">
        <f>M3*10000/I3</f>
        <v>31358.22510822511</v>
      </c>
      <c r="S3" s="2652" t="s">
        <v>3612</v>
      </c>
      <c r="T3" s="2652">
        <v>1.3</v>
      </c>
    </row>
    <row r="4" spans="1:20" ht="14.25" thickBot="1"/>
    <row r="5" spans="1:20" ht="166.5" hidden="1" thickBot="1">
      <c r="A5" s="3415" t="s">
        <v>3613</v>
      </c>
      <c r="B5" s="3416" t="s">
        <v>3614</v>
      </c>
      <c r="C5" s="3417" t="s">
        <v>3225</v>
      </c>
      <c r="D5" s="3418">
        <v>43872</v>
      </c>
      <c r="E5" s="3417">
        <v>603400</v>
      </c>
      <c r="F5" s="3417">
        <v>67309.960000000006</v>
      </c>
      <c r="G5" s="3417">
        <v>67309.960000000006</v>
      </c>
      <c r="H5" s="3417">
        <v>0</v>
      </c>
      <c r="I5" s="3417">
        <v>162845</v>
      </c>
      <c r="J5" s="3417" t="s">
        <v>3608</v>
      </c>
      <c r="K5" s="3417" t="s">
        <v>3615</v>
      </c>
      <c r="L5" s="3418">
        <v>43886</v>
      </c>
      <c r="M5" s="3417">
        <v>760000</v>
      </c>
      <c r="N5" s="3417" t="s">
        <v>3616</v>
      </c>
      <c r="O5" s="3417" t="s">
        <v>3617</v>
      </c>
      <c r="P5" s="3417"/>
      <c r="Q5" s="3419">
        <v>121000</v>
      </c>
      <c r="R5" s="2652">
        <f t="shared" ref="R5:R6" si="0">M5*10000/I5</f>
        <v>46670.14645828856</v>
      </c>
    </row>
    <row r="6" spans="1:20" ht="115.5" hidden="1" thickBot="1">
      <c r="A6" s="3415" t="s">
        <v>3618</v>
      </c>
      <c r="B6" s="3416" t="s">
        <v>3619</v>
      </c>
      <c r="C6" s="3417" t="s">
        <v>3620</v>
      </c>
      <c r="D6" s="3418">
        <v>43852</v>
      </c>
      <c r="E6" s="3417">
        <v>0</v>
      </c>
      <c r="F6" s="3417">
        <v>101366.808</v>
      </c>
      <c r="G6" s="3417">
        <v>47115.366000000002</v>
      </c>
      <c r="H6" s="3417">
        <v>54251.442000000003</v>
      </c>
      <c r="I6" s="3417">
        <v>99865</v>
      </c>
      <c r="J6" s="3417" t="s">
        <v>3621</v>
      </c>
      <c r="K6" s="3417" t="s">
        <v>3622</v>
      </c>
      <c r="L6" s="3418">
        <v>43853</v>
      </c>
      <c r="M6" s="3417">
        <v>278800</v>
      </c>
      <c r="N6" s="3417" t="s">
        <v>3623</v>
      </c>
      <c r="O6" s="3417" t="s">
        <v>3624</v>
      </c>
      <c r="P6" s="3417"/>
      <c r="Q6" s="3419">
        <v>56500</v>
      </c>
      <c r="R6" s="2652">
        <f t="shared" si="0"/>
        <v>27917.688879987985</v>
      </c>
    </row>
    <row r="7" spans="1:20" ht="128.25" thickBot="1">
      <c r="A7" s="3415" t="s">
        <v>3625</v>
      </c>
      <c r="B7" s="3416" t="s">
        <v>3626</v>
      </c>
      <c r="C7" s="3417" t="s">
        <v>3627</v>
      </c>
      <c r="D7" s="3418">
        <v>43798</v>
      </c>
      <c r="E7" s="3417">
        <v>0</v>
      </c>
      <c r="F7" s="3417">
        <v>70601.065000000002</v>
      </c>
      <c r="G7" s="3417">
        <v>70601.065000000002</v>
      </c>
      <c r="H7" s="3417">
        <v>0</v>
      </c>
      <c r="I7" s="3417">
        <v>285523</v>
      </c>
      <c r="J7" s="3417" t="s">
        <v>3621</v>
      </c>
      <c r="K7" s="3417" t="s">
        <v>3628</v>
      </c>
      <c r="L7" s="3418">
        <v>43801</v>
      </c>
      <c r="M7" s="3417">
        <v>660900</v>
      </c>
      <c r="N7" s="3417" t="s">
        <v>3629</v>
      </c>
      <c r="O7" s="3417" t="s">
        <v>3630</v>
      </c>
      <c r="P7" s="3417"/>
      <c r="Q7" s="3419">
        <v>131000</v>
      </c>
      <c r="R7" s="2652">
        <f>M7*10000/I7</f>
        <v>23146.996914434214</v>
      </c>
      <c r="S7" s="2652" t="s">
        <v>3631</v>
      </c>
      <c r="T7" s="2652">
        <v>4.04</v>
      </c>
    </row>
    <row r="8" spans="1:20" ht="64.5" thickBot="1">
      <c r="A8" s="3420" t="s">
        <v>3632</v>
      </c>
      <c r="B8" s="3421" t="s">
        <v>3633</v>
      </c>
      <c r="C8" s="3422" t="s">
        <v>3634</v>
      </c>
      <c r="D8" s="3423">
        <v>43636</v>
      </c>
      <c r="E8" s="3422">
        <v>103700</v>
      </c>
      <c r="F8" s="3422">
        <v>22035.93</v>
      </c>
      <c r="G8" s="3422">
        <v>22035.93</v>
      </c>
      <c r="H8" s="3422">
        <v>0</v>
      </c>
      <c r="I8" s="3422">
        <v>61700.603999999999</v>
      </c>
      <c r="J8" s="3422" t="s">
        <v>3608</v>
      </c>
      <c r="K8" s="3422" t="s">
        <v>3635</v>
      </c>
      <c r="L8" s="3423">
        <v>43650</v>
      </c>
      <c r="M8" s="3422">
        <v>103700</v>
      </c>
      <c r="N8" s="3422" t="s">
        <v>3636</v>
      </c>
      <c r="O8" s="3422" t="s">
        <v>3637</v>
      </c>
      <c r="P8" s="3422">
        <v>0</v>
      </c>
      <c r="Q8" s="3424">
        <v>21000</v>
      </c>
      <c r="R8" s="2652">
        <f>M8*10000/I8</f>
        <v>16806.966751897598</v>
      </c>
      <c r="S8" s="2652" t="s">
        <v>3638</v>
      </c>
      <c r="T8" s="2652">
        <v>2.8</v>
      </c>
    </row>
    <row r="9" spans="1:20" ht="102.75" thickBot="1">
      <c r="A9" s="3415" t="s">
        <v>3639</v>
      </c>
      <c r="B9" s="3416" t="s">
        <v>3640</v>
      </c>
      <c r="C9" s="3417" t="s">
        <v>3225</v>
      </c>
      <c r="D9" s="3418">
        <v>43599</v>
      </c>
      <c r="E9" s="3417">
        <v>263800</v>
      </c>
      <c r="F9" s="3417">
        <v>32158.94</v>
      </c>
      <c r="G9" s="3417">
        <v>32158.94</v>
      </c>
      <c r="H9" s="3417">
        <v>0</v>
      </c>
      <c r="I9" s="3417">
        <v>96476.82</v>
      </c>
      <c r="J9" s="3417" t="s">
        <v>3608</v>
      </c>
      <c r="K9" s="3417" t="s">
        <v>3641</v>
      </c>
      <c r="L9" s="3418">
        <v>43613</v>
      </c>
      <c r="M9" s="3417">
        <v>263800</v>
      </c>
      <c r="N9" s="3417" t="s">
        <v>3642</v>
      </c>
      <c r="O9" s="3417" t="s">
        <v>3637</v>
      </c>
      <c r="P9" s="3417">
        <v>0</v>
      </c>
      <c r="Q9" s="3419">
        <v>53000</v>
      </c>
      <c r="R9" s="2652">
        <f>M9*10000/I9</f>
        <v>27343.355637136461</v>
      </c>
      <c r="S9" s="2652" t="s">
        <v>3643</v>
      </c>
      <c r="T9" s="2652">
        <v>3</v>
      </c>
    </row>
    <row r="11" spans="1:20">
      <c r="R11" s="2652">
        <f>AVERAGE(R8:R9)</f>
        <v>22075.16119451703</v>
      </c>
    </row>
  </sheetData>
  <mergeCells count="15">
    <mergeCell ref="F1:H1"/>
    <mergeCell ref="A1:A2"/>
    <mergeCell ref="B1:B2"/>
    <mergeCell ref="C1:C2"/>
    <mergeCell ref="D1:D2"/>
    <mergeCell ref="E1:E2"/>
    <mergeCell ref="O1:O2"/>
    <mergeCell ref="P1:P2"/>
    <mergeCell ref="Q1:Q2"/>
    <mergeCell ref="I1:I2"/>
    <mergeCell ref="J1:J2"/>
    <mergeCell ref="K1:K2"/>
    <mergeCell ref="L1:L2"/>
    <mergeCell ref="M1:M2"/>
    <mergeCell ref="N1:N2"/>
  </mergeCells>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I40"/>
  <sheetViews>
    <sheetView workbookViewId="0">
      <selection activeCell="H25" sqref="H25"/>
    </sheetView>
  </sheetViews>
  <sheetFormatPr defaultRowHeight="14.25"/>
  <cols>
    <col min="1" max="1" width="9" style="2594"/>
    <col min="2" max="2" width="14.125" style="2594" customWidth="1"/>
    <col min="3" max="3" width="12" style="2594" customWidth="1"/>
    <col min="4" max="4" width="12.5" style="2594" customWidth="1"/>
    <col min="5" max="5" width="8.625" style="2594" customWidth="1"/>
    <col min="6" max="6" width="13" style="2594" customWidth="1"/>
    <col min="7" max="7" width="14.5" style="2594" customWidth="1"/>
    <col min="8" max="8" width="26.5" style="2594" bestFit="1" customWidth="1"/>
    <col min="9" max="9" width="44" style="2594" bestFit="1" customWidth="1"/>
    <col min="10" max="16384" width="9" style="2594"/>
  </cols>
  <sheetData>
    <row r="1" spans="1:9">
      <c r="A1" s="2594" t="s">
        <v>3300</v>
      </c>
      <c r="B1" s="2594" t="s">
        <v>3302</v>
      </c>
      <c r="C1" s="2594" t="s">
        <v>3303</v>
      </c>
      <c r="D1" s="2594" t="s">
        <v>3302</v>
      </c>
      <c r="E1" s="2594" t="s">
        <v>3303</v>
      </c>
    </row>
    <row r="2" spans="1:9">
      <c r="A2" s="2594" t="s">
        <v>3298</v>
      </c>
      <c r="B2" s="2594">
        <v>8170</v>
      </c>
      <c r="C2" s="2594">
        <v>12136</v>
      </c>
      <c r="D2" s="2594">
        <v>8170</v>
      </c>
      <c r="E2" s="2594">
        <v>13155</v>
      </c>
      <c r="F2" s="2594">
        <f>(C2+E2)/2</f>
        <v>12645.5</v>
      </c>
    </row>
    <row r="3" spans="1:9">
      <c r="A3" s="2594" t="s">
        <v>3299</v>
      </c>
      <c r="B3" s="2594">
        <v>8140</v>
      </c>
      <c r="C3" s="2594">
        <v>11541</v>
      </c>
      <c r="D3" s="2594">
        <v>8140</v>
      </c>
      <c r="E3" s="2594">
        <v>12550</v>
      </c>
    </row>
    <row r="5" spans="1:9">
      <c r="A5" s="2594" t="s">
        <v>3301</v>
      </c>
    </row>
    <row r="6" spans="1:9">
      <c r="A6" s="2594" t="s">
        <v>3298</v>
      </c>
      <c r="B6" s="2594">
        <v>8170</v>
      </c>
      <c r="C6" s="2594">
        <v>13640</v>
      </c>
    </row>
    <row r="7" spans="1:9">
      <c r="A7" s="2594" t="s">
        <v>3299</v>
      </c>
      <c r="B7" s="2594">
        <v>8140</v>
      </c>
      <c r="C7" s="2594">
        <v>13576</v>
      </c>
      <c r="D7" s="2594">
        <v>10490</v>
      </c>
      <c r="E7" s="2594">
        <v>12048</v>
      </c>
    </row>
    <row r="8" spans="1:9">
      <c r="E8" s="2594" t="s">
        <v>3306</v>
      </c>
      <c r="G8" s="2594">
        <v>2018</v>
      </c>
      <c r="H8" s="2594">
        <v>2019</v>
      </c>
      <c r="I8" s="2594">
        <v>2020</v>
      </c>
    </row>
    <row r="9" spans="1:9">
      <c r="E9" s="2594" t="s">
        <v>3298</v>
      </c>
      <c r="F9" s="2594">
        <f>'基准地价（商业）'!C5</f>
        <v>12450</v>
      </c>
      <c r="G9" s="2594">
        <f>F9*1.3686</f>
        <v>17039.07</v>
      </c>
      <c r="H9" s="2594">
        <f>F9*1.3952</f>
        <v>17370.240000000002</v>
      </c>
      <c r="I9" s="2594">
        <f>F9*1.3785</f>
        <v>17162.325000000001</v>
      </c>
    </row>
    <row r="10" spans="1:9">
      <c r="E10" s="2594" t="s">
        <v>3299</v>
      </c>
      <c r="F10" s="2594">
        <f>'基准地价 (办公)'!C6</f>
        <v>12370</v>
      </c>
      <c r="G10" s="2594">
        <f>F10*1.3686</f>
        <v>16929.582000000002</v>
      </c>
      <c r="H10" s="2594">
        <f>F10*1.3952</f>
        <v>17258.624</v>
      </c>
      <c r="I10" s="2594">
        <f>F10*1.3785</f>
        <v>17052.045000000002</v>
      </c>
    </row>
    <row r="11" spans="1:9">
      <c r="B11" s="2594" t="s">
        <v>3304</v>
      </c>
      <c r="C11" s="2594" t="s">
        <v>3298</v>
      </c>
      <c r="D11" s="2594" t="s">
        <v>3299</v>
      </c>
    </row>
    <row r="12" spans="1:9">
      <c r="C12" s="2594">
        <f>C2</f>
        <v>12136</v>
      </c>
      <c r="D12" s="2594">
        <f>C3</f>
        <v>11541</v>
      </c>
    </row>
    <row r="13" spans="1:9">
      <c r="C13" s="2594">
        <f>E2</f>
        <v>13155</v>
      </c>
      <c r="D13" s="2594">
        <f>E3</f>
        <v>12550</v>
      </c>
    </row>
    <row r="14" spans="1:9" s="3398" customFormat="1">
      <c r="B14" s="3398" t="s">
        <v>3305</v>
      </c>
      <c r="C14" s="3398">
        <f>ROUND((C12+C13)/2,0)</f>
        <v>12646</v>
      </c>
      <c r="D14" s="3398">
        <f>ROUND((D12+D13)/2,0)</f>
        <v>12046</v>
      </c>
    </row>
    <row r="15" spans="1:9">
      <c r="B15" s="2594" t="str">
        <f>A5</f>
        <v>2019年</v>
      </c>
      <c r="C15" s="2594" t="s">
        <v>3298</v>
      </c>
      <c r="D15" s="2594" t="s">
        <v>3299</v>
      </c>
    </row>
    <row r="16" spans="1:9">
      <c r="C16" s="2594">
        <f>C6</f>
        <v>13640</v>
      </c>
      <c r="D16" s="2594">
        <f>C7</f>
        <v>13576</v>
      </c>
    </row>
    <row r="17" spans="2:9" s="3398" customFormat="1">
      <c r="B17" s="3398" t="s">
        <v>3305</v>
      </c>
      <c r="C17" s="3398">
        <f>C16</f>
        <v>13640</v>
      </c>
      <c r="D17" s="3398">
        <f>D16</f>
        <v>13576</v>
      </c>
    </row>
    <row r="19" spans="2:9">
      <c r="B19" s="2594">
        <v>2018</v>
      </c>
    </row>
    <row r="20" spans="2:9">
      <c r="C20" s="2594">
        <v>15424</v>
      </c>
      <c r="D20" s="2594">
        <v>13971</v>
      </c>
    </row>
    <row r="21" spans="2:9" s="2589" customFormat="1">
      <c r="D21" s="2589">
        <v>13971</v>
      </c>
    </row>
    <row r="22" spans="2:9" s="3398" customFormat="1">
      <c r="B22" s="3398" t="s">
        <v>3313</v>
      </c>
      <c r="C22" s="3400">
        <f>AVERAGE(C19:C20)</f>
        <v>15424</v>
      </c>
      <c r="D22" s="3398">
        <f>AVERAGE(D19:D21)</f>
        <v>13971</v>
      </c>
    </row>
    <row r="26" spans="2:9">
      <c r="F26" s="2594" t="s">
        <v>3306</v>
      </c>
      <c r="G26" s="2594" t="s">
        <v>3309</v>
      </c>
      <c r="H26" s="2594" t="s">
        <v>3307</v>
      </c>
      <c r="I26" s="2594" t="s">
        <v>3308</v>
      </c>
    </row>
    <row r="27" spans="2:9">
      <c r="D27" s="2594" t="s">
        <v>3298</v>
      </c>
      <c r="E27" s="2594" t="s">
        <v>3310</v>
      </c>
      <c r="F27" s="3399">
        <v>13809.174000000001</v>
      </c>
      <c r="G27" s="3399">
        <f>C22</f>
        <v>15424</v>
      </c>
      <c r="I27" s="3401">
        <v>16252</v>
      </c>
    </row>
    <row r="28" spans="2:9">
      <c r="E28" s="2594" t="s">
        <v>3311</v>
      </c>
      <c r="F28" s="3399">
        <v>14077.567999999999</v>
      </c>
      <c r="G28" s="2594">
        <f>C17</f>
        <v>13640</v>
      </c>
      <c r="H28" s="3399">
        <f>招拍挂!R11</f>
        <v>22075.16119451703</v>
      </c>
      <c r="I28" s="3401">
        <v>16252</v>
      </c>
    </row>
    <row r="29" spans="2:9">
      <c r="E29" s="2594" t="s">
        <v>3312</v>
      </c>
      <c r="F29" s="3399">
        <v>13909.065000000001</v>
      </c>
      <c r="G29" s="2594">
        <f>C14</f>
        <v>12646</v>
      </c>
      <c r="H29" s="3399"/>
      <c r="I29" s="3401">
        <v>16252</v>
      </c>
    </row>
    <row r="30" spans="2:9">
      <c r="F30" s="2594" t="s">
        <v>3306</v>
      </c>
      <c r="G30" s="2594" t="s">
        <v>3309</v>
      </c>
      <c r="H30" s="2594" t="s">
        <v>3307</v>
      </c>
      <c r="I30" s="2594" t="s">
        <v>3308</v>
      </c>
    </row>
    <row r="31" spans="2:9">
      <c r="D31" s="2594" t="s">
        <v>3299</v>
      </c>
      <c r="E31" s="2594" t="s">
        <v>3310</v>
      </c>
      <c r="F31" s="3399">
        <f>G10</f>
        <v>16929.582000000002</v>
      </c>
      <c r="G31" s="2594">
        <f>D22</f>
        <v>13971</v>
      </c>
      <c r="I31" s="3401">
        <v>15258</v>
      </c>
    </row>
    <row r="32" spans="2:9">
      <c r="E32" s="2594" t="s">
        <v>3311</v>
      </c>
      <c r="F32" s="3399">
        <f>H10</f>
        <v>17258.624</v>
      </c>
      <c r="G32" s="2594">
        <f>D17</f>
        <v>13576</v>
      </c>
      <c r="H32" s="3399">
        <f>H28</f>
        <v>22075.16119451703</v>
      </c>
      <c r="I32" s="3401">
        <v>15258</v>
      </c>
    </row>
    <row r="33" spans="5:9">
      <c r="E33" s="2594" t="s">
        <v>3312</v>
      </c>
      <c r="F33" s="3399">
        <f>I10</f>
        <v>17052.045000000002</v>
      </c>
      <c r="G33" s="2594">
        <f>D14</f>
        <v>12046</v>
      </c>
      <c r="H33" s="3399"/>
      <c r="I33" s="3401">
        <v>15258</v>
      </c>
    </row>
    <row r="37" spans="5:9">
      <c r="E37" s="3399"/>
      <c r="F37" s="3399"/>
      <c r="G37" s="3399"/>
    </row>
    <row r="38" spans="5:9">
      <c r="E38" s="3399"/>
    </row>
    <row r="39" spans="5:9">
      <c r="F39" s="3399"/>
      <c r="G39" s="3399"/>
    </row>
    <row r="40" spans="5:9">
      <c r="E40" s="3401"/>
      <c r="F40" s="3401"/>
      <c r="G40" s="3401"/>
    </row>
  </sheetData>
  <phoneticPr fontId="22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tabColor rgb="FF00B0F0"/>
  </sheetPr>
  <dimension ref="A1:AR118"/>
  <sheetViews>
    <sheetView view="pageBreakPreview" topLeftCell="A26" zoomScale="80" zoomScaleNormal="60" zoomScaleSheetLayoutView="80" workbookViewId="0">
      <selection activeCell="C72" sqref="C72"/>
    </sheetView>
  </sheetViews>
  <sheetFormatPr defaultColWidth="12" defaultRowHeight="12"/>
  <cols>
    <col min="1" max="1" width="9.875" style="1350" customWidth="1"/>
    <col min="2" max="2" width="20.875" style="1464" customWidth="1"/>
    <col min="3" max="3" width="12" style="1351"/>
    <col min="4" max="4" width="12.375" style="1351" bestFit="1" customWidth="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982</v>
      </c>
      <c r="D1" s="1457">
        <f>SUM(D29:D30,D33:D39)</f>
        <v>10000</v>
      </c>
      <c r="E1" s="1352" t="s">
        <v>2411</v>
      </c>
      <c r="F1" s="2303">
        <f>'数据-基础表'!E14</f>
        <v>4174.28</v>
      </c>
      <c r="G1" s="1347"/>
      <c r="H1" s="1347"/>
      <c r="I1" s="1347"/>
      <c r="J1" s="1347"/>
      <c r="K1" s="2066"/>
      <c r="L1" s="1792" t="s">
        <v>2226</v>
      </c>
      <c r="M1" s="1793">
        <f>SUMPRODUCT((区片价!B5:B9=I2)*(区片价!C3:F3=E2)*(区片价!C5:F9))</f>
        <v>0</v>
      </c>
      <c r="N1" s="1794">
        <f>SUMPRODUCT((因素修正幅度!B5:B9=I2)*(因素修正幅度!C3:F3=E2)*(因素修正幅度!C5:F9))</f>
        <v>0</v>
      </c>
      <c r="O1" s="2066"/>
      <c r="P1" s="2066"/>
      <c r="Q1" s="2066"/>
      <c r="R1" s="2649" t="s">
        <v>2740</v>
      </c>
      <c r="S1" s="2649" t="s">
        <v>1626</v>
      </c>
      <c r="T1" s="2649" t="s">
        <v>2762</v>
      </c>
      <c r="U1" s="2649" t="s">
        <v>2763</v>
      </c>
      <c r="V1" s="2649" t="s">
        <v>983</v>
      </c>
      <c r="W1" s="2066"/>
      <c r="X1" s="2066"/>
      <c r="Y1" s="2066"/>
      <c r="Z1" s="2066"/>
      <c r="AA1" s="2066"/>
      <c r="AB1" s="2066"/>
      <c r="AC1" s="2067"/>
    </row>
    <row r="2" spans="1:39" ht="15.75">
      <c r="A2" s="1352" t="s">
        <v>911</v>
      </c>
      <c r="B2" s="1023">
        <f ca="1">C26</f>
        <v>29583</v>
      </c>
      <c r="C2" s="1353" t="s">
        <v>912</v>
      </c>
      <c r="D2" s="1354" t="s">
        <v>889</v>
      </c>
      <c r="E2" s="1355" t="s">
        <v>914</v>
      </c>
      <c r="F2" s="1354" t="s">
        <v>890</v>
      </c>
      <c r="G2" s="1577" t="str">
        <f>IF(E2="商业",项目基本情况!B43,IF(E2="办公",项目基本情况!C43,IF(E2="住宅",项目基本情况!D43,项目基本情况!E43)))</f>
        <v>五级</v>
      </c>
      <c r="H2" s="1354" t="s">
        <v>917</v>
      </c>
      <c r="I2" s="1578" t="str">
        <f>IF(E2="商业",项目基本情况!B44,IF(E2="办公",项目基本情况!C44,IF(E2="住宅",项目基本情况!D44,项目基本情况!E44)))</f>
        <v>Ⅴ-04</v>
      </c>
      <c r="J2" s="1356"/>
      <c r="K2" s="3225"/>
      <c r="L2" s="1795" t="s">
        <v>2227</v>
      </c>
      <c r="M2" s="1796">
        <f>SUMPRODUCT((区片价!B10:B28=I2)*(区片价!C3:F3=E2)*(区片价!C10:F28))</f>
        <v>0</v>
      </c>
      <c r="N2" s="1797">
        <f>SUMPRODUCT((因素修正幅度!B10:B28=I2)*(因素修正幅度!C3:F3=E2)*(因素修正幅度!C10:F28))</f>
        <v>0</v>
      </c>
      <c r="O2" s="3225"/>
      <c r="P2" s="2066"/>
      <c r="Q2" s="2066"/>
      <c r="R2" s="2650">
        <v>1</v>
      </c>
      <c r="S2" s="2650">
        <f>ROUND(IF(G3&gt;1,IF(R2&lt;7,SUMPRODUCT((B93:B98=R2)*(C92:N92=G2)*(C93:N98)),SUMIF(C92:N92,G2,C100:N100)),IF(R2&lt;7,SUMPRODUCT((B102:B107=R2)*(C92:N92=G2)*(C102:N107)),SUMIF(C92:N92,G2,C109:N109))),4)</f>
        <v>1.8629</v>
      </c>
      <c r="T2" s="2650">
        <f ca="1">ROUND($C$5*$C$18*$C$19*$C$20*S2*$C$24,0)</f>
        <v>45336</v>
      </c>
      <c r="U2" s="2639"/>
      <c r="V2" s="2650">
        <f ca="1">ROUND(T2*U2/10000,0)</f>
        <v>0</v>
      </c>
      <c r="W2" s="2066"/>
      <c r="X2" s="2066"/>
      <c r="Y2" s="2066"/>
      <c r="Z2" s="2066"/>
      <c r="AA2" s="2066"/>
      <c r="AB2" s="2066"/>
      <c r="AC2" s="2067"/>
    </row>
    <row r="3" spans="1:39" ht="24">
      <c r="A3" s="1357" t="s">
        <v>1677</v>
      </c>
      <c r="B3" s="1023">
        <f ca="1">ROUND(B2*10000/D1,0)</f>
        <v>29583</v>
      </c>
      <c r="C3" s="1353" t="s">
        <v>918</v>
      </c>
      <c r="D3" s="1354" t="s">
        <v>919</v>
      </c>
      <c r="E3" s="1358" t="s">
        <v>3701</v>
      </c>
      <c r="F3" s="1359" t="s">
        <v>3702</v>
      </c>
      <c r="G3" s="1024">
        <f>IF(F3="宗地容积率",'数据-汇总表'!I4,IF(F3="估价对象容积率",'数据-汇总表'!I6,'数据-汇总表'!I7))</f>
        <v>1.1000000000000001</v>
      </c>
      <c r="H3" s="1360" t="s">
        <v>920</v>
      </c>
      <c r="I3" s="1025"/>
      <c r="J3" s="1356" t="s">
        <v>921</v>
      </c>
      <c r="K3" s="3225"/>
      <c r="L3" s="1795" t="s">
        <v>2228</v>
      </c>
      <c r="M3" s="1796">
        <f>SUMPRODUCT((区片价!B29:B48=I2)*(区片价!C3:F3=E2)*(区片价!C29:F48))</f>
        <v>0</v>
      </c>
      <c r="N3" s="1797">
        <f>SUMPRODUCT((因素修正幅度!B29:B48=I2)*(因素修正幅度!C3:F3=E2)*(因素修正幅度!C29:F48))</f>
        <v>0</v>
      </c>
      <c r="O3" s="3225"/>
      <c r="P3" s="2066"/>
      <c r="Q3" s="2066"/>
      <c r="R3" s="2650">
        <v>2</v>
      </c>
      <c r="S3" s="2650">
        <f>ROUND(IF(G3&gt;1,IF(R3&lt;7,SUMPRODUCT((B93:B98=R3)*(C92:N92=G2)*(C93:N98)),SUMIF(C92:N92,G2,C100:N100)),IF(R3&lt;7,SUMPRODUCT((B102:B107=R3)*(C92:N92=G2)*(C102:N107)),SUMIF(C92:N92,G2,C109:N109))),4)</f>
        <v>1.3371999999999999</v>
      </c>
      <c r="T3" s="2650">
        <f t="shared" ref="T3:T16" ca="1" si="0">ROUND($C$5*$C$18*$C$19*$C$20*S3*$C$24,0)</f>
        <v>32543</v>
      </c>
      <c r="U3" s="2639"/>
      <c r="V3" s="2650">
        <f t="shared" ref="V3:V16" ca="1" si="1">ROUND(T3*U3/10000,0)</f>
        <v>0</v>
      </c>
      <c r="W3" s="2066"/>
      <c r="X3" s="2066"/>
      <c r="Y3" s="2066"/>
      <c r="Z3" s="2066"/>
      <c r="AA3" s="2066"/>
      <c r="AB3" s="2066"/>
      <c r="AC3" s="2067"/>
    </row>
    <row r="4" spans="1:39" ht="28.5">
      <c r="A4" s="1801" t="s">
        <v>2267</v>
      </c>
      <c r="B4" s="2304">
        <f ca="1">ROUND(B2*10000/F1,0)</f>
        <v>70870</v>
      </c>
      <c r="C4" s="1804" t="s">
        <v>2242</v>
      </c>
      <c r="D4" s="1804">
        <f ca="1">ROUND(B2/(F1/666.67),0)</f>
        <v>4725</v>
      </c>
      <c r="E4" s="1804" t="s">
        <v>2243</v>
      </c>
      <c r="F4" s="1802"/>
      <c r="G4" s="1802"/>
      <c r="H4" s="1802"/>
      <c r="I4" s="1802"/>
      <c r="J4" s="1803"/>
      <c r="K4" s="3226"/>
      <c r="L4" s="1795" t="s">
        <v>2229</v>
      </c>
      <c r="M4" s="1796">
        <f>SUMPRODUCT((区片价!B49:B75=I2)*(区片价!C3:F3=E2)*(区片价!C49:F75))</f>
        <v>0</v>
      </c>
      <c r="N4" s="1797">
        <f>SUMPRODUCT((因素修正幅度!B49:B75=I2)*(因素修正幅度!C3:F3=E2)*(因素修正幅度!C49:F75))</f>
        <v>0</v>
      </c>
      <c r="O4" s="3226"/>
      <c r="P4" s="2066"/>
      <c r="Q4" s="2066"/>
      <c r="R4" s="2650">
        <v>3</v>
      </c>
      <c r="S4" s="2650">
        <f>ROUND(IF(G3&gt;1,IF(R4&lt;7,SUMPRODUCT((B93:B98=R4)*(C92:N92=G2)*(C93:N98)),SUMIF(C92:N92,G2,C100:N100)),IF(R4&lt;7,SUMPRODUCT((B102:B107=R4)*(C92:N92=G2)*(C102:N107)),SUMIF(C92:N92,G2,C109:N109))),4)</f>
        <v>1.0788</v>
      </c>
      <c r="T4" s="2650">
        <f t="shared" ca="1" si="0"/>
        <v>26254</v>
      </c>
      <c r="U4" s="2639"/>
      <c r="V4" s="2650">
        <f t="shared" ca="1" si="1"/>
        <v>0</v>
      </c>
      <c r="W4" s="2066"/>
      <c r="X4" s="2066"/>
      <c r="Y4" s="2066"/>
      <c r="Z4" s="2066"/>
      <c r="AA4" s="2066"/>
      <c r="AB4" s="2066"/>
      <c r="AC4" s="2067"/>
    </row>
    <row r="5" spans="1:39" s="1367" customFormat="1" ht="15.75" thickBot="1">
      <c r="A5" s="1563" t="s">
        <v>1813</v>
      </c>
      <c r="B5" s="1361" t="s">
        <v>922</v>
      </c>
      <c r="C5" s="1026">
        <f>ROUND(IF(E2="商业",C6*C7+C16,(IF(E2="住宅",C6*C12+C16,C6+C16))),0)</f>
        <v>13585</v>
      </c>
      <c r="D5" s="2787">
        <f>ROUND(C6+C16,0)</f>
        <v>12350</v>
      </c>
      <c r="E5" s="2787"/>
      <c r="F5" s="1362"/>
      <c r="G5" s="1363"/>
      <c r="H5" s="1363"/>
      <c r="I5" s="1363"/>
      <c r="J5" s="1364"/>
      <c r="K5" s="3227"/>
      <c r="L5" s="1795" t="s">
        <v>2230</v>
      </c>
      <c r="M5" s="1796">
        <f>SUMPRODUCT((区片价!B76:B109=I2)*(区片价!C3:F3=E2)*(区片价!C76:F109))</f>
        <v>12350</v>
      </c>
      <c r="N5" s="1797">
        <f>SUMPRODUCT((因素修正幅度!B76:B109=I2)*(因素修正幅度!C3:F3=E2)*(因素修正幅度!C76:F109))</f>
        <v>9.0999999999999998E-2</v>
      </c>
      <c r="O5" s="3227"/>
      <c r="P5" s="3230"/>
      <c r="Q5" s="2066"/>
      <c r="R5" s="2650">
        <v>4</v>
      </c>
      <c r="S5" s="2650">
        <f>ROUND(IF(G3&gt;1,IF(R5&lt;7,SUMPRODUCT((B93:B98=R5)*(C92:N92=G2)*(C93:N98)),SUMIF(C92:N92,G2,C100:N100)),IF(R5&lt;7,SUMPRODUCT((B102:B107=R5)*(C92:N92=G2)*(C102:N107)),SUMIF(C92:N92,G2,C109:N109))),4)</f>
        <v>0.86560000000000004</v>
      </c>
      <c r="T5" s="2650">
        <f t="shared" ca="1" si="0"/>
        <v>21066</v>
      </c>
      <c r="U5" s="2639"/>
      <c r="V5" s="2650">
        <f t="shared" ca="1" si="1"/>
        <v>0</v>
      </c>
      <c r="W5" s="2066"/>
      <c r="X5" s="2066"/>
      <c r="Y5" s="2066"/>
      <c r="Z5" s="2066"/>
      <c r="AA5" s="2066"/>
      <c r="AB5" s="2066"/>
      <c r="AC5" s="2068"/>
      <c r="AD5" s="1365"/>
      <c r="AE5" s="1365"/>
      <c r="AF5" s="1365"/>
      <c r="AG5" s="1365"/>
      <c r="AH5" s="1365"/>
      <c r="AI5" s="1365"/>
      <c r="AJ5" s="1366"/>
      <c r="AK5" s="1366"/>
      <c r="AL5" s="1366"/>
      <c r="AM5" s="1366"/>
    </row>
    <row r="6" spans="1:39" ht="15.75" thickBot="1">
      <c r="A6" s="1564" t="s">
        <v>1860</v>
      </c>
      <c r="B6" s="1368" t="s">
        <v>922</v>
      </c>
      <c r="C6" s="1027">
        <f>SUMIF(L1:L12,'基准地价 住宅'!G2,M1:M12)</f>
        <v>12350</v>
      </c>
      <c r="D6" s="1369" t="s">
        <v>1685</v>
      </c>
      <c r="E6" s="1370"/>
      <c r="F6" s="1370"/>
      <c r="G6" s="1371"/>
      <c r="H6" s="1371"/>
      <c r="I6" s="1371"/>
      <c r="J6" s="1372"/>
      <c r="K6" s="3228"/>
      <c r="L6" s="1795" t="s">
        <v>2231</v>
      </c>
      <c r="M6" s="1796">
        <f>SUMPRODUCT((区片价!B110:B157=I2)*(区片价!C3:F3=E2)*(区片价!C110:F157))</f>
        <v>0</v>
      </c>
      <c r="N6" s="1797">
        <f>SUMPRODUCT((因素修正幅度!B110:B157=I2)*(因素修正幅度!C3:F3=E2)*(因素修正幅度!C110:F157))</f>
        <v>0</v>
      </c>
      <c r="O6" s="3228"/>
      <c r="P6" s="3231"/>
      <c r="Q6" s="2066"/>
      <c r="R6" s="2650">
        <v>5</v>
      </c>
      <c r="S6" s="2650">
        <f>ROUND(IF(G3&gt;1,IF(R6&lt;7,SUMPRODUCT((B93:B98=R6)*(C92:N92=G2)*(C93:N98)),SUMIF(C92:N92,G2,C100:N100)),IF(R6&lt;7,SUMPRODUCT((B102:B107=R6)*(C92:N92=G2)*(C102:N107)),SUMIF(C92:N92,G2,C109:N109))),4)</f>
        <v>0.73709999999999998</v>
      </c>
      <c r="T6" s="2650">
        <f t="shared" ca="1" si="0"/>
        <v>17938</v>
      </c>
      <c r="U6" s="2639"/>
      <c r="V6" s="2650">
        <f t="shared" ca="1" si="1"/>
        <v>0</v>
      </c>
      <c r="W6" s="2066"/>
      <c r="X6" s="2066"/>
      <c r="Y6" s="2066"/>
      <c r="Z6" s="2066"/>
      <c r="AA6" s="2066"/>
      <c r="AB6" s="2066"/>
      <c r="AC6" s="2068"/>
      <c r="AD6" s="1365"/>
      <c r="AE6" s="1365"/>
      <c r="AF6" s="1365"/>
      <c r="AG6" s="1365"/>
      <c r="AH6" s="1365"/>
      <c r="AI6" s="1365"/>
      <c r="AJ6" s="1366"/>
    </row>
    <row r="7" spans="1:39" ht="24">
      <c r="A7" s="3748" t="str">
        <f>IF(E2="商业",IF(C8="不临58条商业街","",2),"")</f>
        <v/>
      </c>
      <c r="B7" s="1373" t="s">
        <v>923</v>
      </c>
      <c r="C7" s="1028" t="e">
        <f>IF(C8="不临58条商业街",1,ROUND(1+(1.6*E8+1.2*E9+0.8*E10+0.4*E11)*C9,4))</f>
        <v>#DIV/0!</v>
      </c>
      <c r="D7" s="1374" t="s">
        <v>924</v>
      </c>
      <c r="E7" s="1029"/>
      <c r="F7" s="1375"/>
      <c r="G7" s="1376"/>
      <c r="H7" s="1376"/>
      <c r="I7" s="1376"/>
      <c r="J7" s="1377"/>
      <c r="K7" s="3228"/>
      <c r="L7" s="1795" t="s">
        <v>2232</v>
      </c>
      <c r="M7" s="1796">
        <f>SUMPRODUCT((区片价!B158:B205=I2)*(区片价!C3:F3=E2)*(区片价!C158:F205))</f>
        <v>0</v>
      </c>
      <c r="N7" s="1797">
        <f>SUMPRODUCT((因素修正幅度!B158:B205=I2)*(因素修正幅度!C3:F3=E2)*(因素修正幅度!C158:F205))</f>
        <v>0</v>
      </c>
      <c r="O7" s="3228"/>
      <c r="P7" s="3231"/>
      <c r="Q7" s="2066"/>
      <c r="R7" s="2650">
        <v>6</v>
      </c>
      <c r="S7" s="2650">
        <f>ROUND(IF(G3&gt;1,IF(R7&lt;7,SUMPRODUCT((B93:B98=R7)*(C92:N92=G2)*(C93:N98)),SUMIF(C92:N92,G2,C100:N100)),IF(R7&lt;7,SUMPRODUCT((B102:B107=R7)*(C92:N92=G2)*(C102:N107)),SUMIF(C92:N92,G2,C109:N109))),4)</f>
        <v>0.6482</v>
      </c>
      <c r="T7" s="2650">
        <f t="shared" ca="1" si="0"/>
        <v>15775</v>
      </c>
      <c r="U7" s="2639"/>
      <c r="V7" s="2650">
        <f t="shared" ca="1" si="1"/>
        <v>0</v>
      </c>
      <c r="W7" s="3430" t="s">
        <v>2743</v>
      </c>
      <c r="X7" s="2640" t="str">
        <f>G2</f>
        <v>五级</v>
      </c>
      <c r="Y7" s="2640" t="s">
        <v>2744</v>
      </c>
      <c r="Z7" s="2641">
        <f>G3</f>
        <v>1.1000000000000001</v>
      </c>
      <c r="AA7" s="2069"/>
      <c r="AB7" s="2069"/>
      <c r="AC7" s="2070"/>
      <c r="AD7" s="2642"/>
      <c r="AE7" s="2642"/>
      <c r="AF7" s="2642"/>
      <c r="AG7" s="2642"/>
      <c r="AH7" s="2642"/>
      <c r="AI7" s="2642"/>
      <c r="AJ7" s="2643"/>
    </row>
    <row r="8" spans="1:39" ht="15">
      <c r="A8" s="3752"/>
      <c r="B8" s="1360" t="s">
        <v>925</v>
      </c>
      <c r="C8" s="1465"/>
      <c r="D8" s="1030" t="s">
        <v>926</v>
      </c>
      <c r="E8" s="1031" t="e">
        <f>ROUND(C11/E7,4)</f>
        <v>#DIV/0!</v>
      </c>
      <c r="F8" s="1378" t="s">
        <v>927</v>
      </c>
      <c r="G8" s="1379"/>
      <c r="H8" s="1379"/>
      <c r="I8" s="1379"/>
      <c r="J8" s="1380"/>
      <c r="K8" s="3228"/>
      <c r="L8" s="1795" t="s">
        <v>2233</v>
      </c>
      <c r="M8" s="1796">
        <f>SUMPRODUCT((区片价!B206:B244=I2)*(区片价!C3:F3=E2)*(区片价!C206:F244))</f>
        <v>0</v>
      </c>
      <c r="N8" s="1797">
        <f>SUMPRODUCT((因素修正幅度!B206:B244=I2)*(因素修正幅度!C3:F3=E2)*(因素修正幅度!C206:F244))</f>
        <v>0</v>
      </c>
      <c r="O8" s="3228"/>
      <c r="P8" s="2066"/>
      <c r="Q8" s="2066"/>
      <c r="R8" s="2650">
        <v>7</v>
      </c>
      <c r="S8" s="2639"/>
      <c r="T8" s="2650">
        <f t="shared" ca="1" si="0"/>
        <v>0</v>
      </c>
      <c r="U8" s="2639"/>
      <c r="V8" s="2650">
        <f t="shared" ca="1" si="1"/>
        <v>0</v>
      </c>
      <c r="W8" s="3753" t="s">
        <v>2761</v>
      </c>
      <c r="X8" s="3754"/>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752"/>
      <c r="B9" s="1360" t="s">
        <v>928</v>
      </c>
      <c r="C9" s="1032">
        <f>SUMIF(修正!C59:C119,C8,修正!E59:E119)</f>
        <v>0</v>
      </c>
      <c r="D9" s="1033" t="s">
        <v>929</v>
      </c>
      <c r="E9" s="1033" t="e">
        <f>ROUND(C11/E7,4)</f>
        <v>#DIV/0!</v>
      </c>
      <c r="F9" s="1378" t="s">
        <v>930</v>
      </c>
      <c r="G9" s="1379"/>
      <c r="H9" s="1379"/>
      <c r="I9" s="1379"/>
      <c r="J9" s="1380"/>
      <c r="K9" s="3228"/>
      <c r="L9" s="1795" t="s">
        <v>2234</v>
      </c>
      <c r="M9" s="1796">
        <f>SUMPRODUCT((区片价!B245:B289=I2)*(区片价!C3:F3=E2)*(区片价!C245:F289))</f>
        <v>0</v>
      </c>
      <c r="N9" s="1797">
        <f>SUMPRODUCT((因素修正幅度!B245:B289=I2)*(因素修正幅度!C3:F3=E2)*(因素修正幅度!C245:F289))</f>
        <v>0</v>
      </c>
      <c r="O9" s="3228"/>
      <c r="P9" s="2066"/>
      <c r="Q9" s="2066"/>
      <c r="R9" s="2650">
        <v>8</v>
      </c>
      <c r="S9" s="2639"/>
      <c r="T9" s="2650">
        <f t="shared" ca="1" si="0"/>
        <v>0</v>
      </c>
      <c r="U9" s="2639"/>
      <c r="V9" s="2650">
        <f t="shared" ca="1" si="1"/>
        <v>0</v>
      </c>
      <c r="W9" s="3755" t="s">
        <v>2757</v>
      </c>
      <c r="X9" s="2644" t="s">
        <v>2758</v>
      </c>
      <c r="Y9" s="2780"/>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752"/>
      <c r="B10" s="1360" t="s">
        <v>931</v>
      </c>
      <c r="C10" s="1033">
        <f>SUMIF(修正!C59:C119,C8,修正!F59:F119)</f>
        <v>0</v>
      </c>
      <c r="D10" s="1033" t="s">
        <v>932</v>
      </c>
      <c r="E10" s="1033" t="e">
        <f>ROUND(C11/E7,4)</f>
        <v>#DIV/0!</v>
      </c>
      <c r="F10" s="1378" t="s">
        <v>933</v>
      </c>
      <c r="G10" s="1379"/>
      <c r="H10" s="1379"/>
      <c r="I10" s="1379"/>
      <c r="J10" s="1380"/>
      <c r="K10" s="3228"/>
      <c r="L10" s="1795" t="s">
        <v>2235</v>
      </c>
      <c r="M10" s="1796">
        <f>SUMPRODUCT((区片价!B290:B316=I2)*(区片价!C3:F3=E2)*(区片价!C290:F316))</f>
        <v>0</v>
      </c>
      <c r="N10" s="1797">
        <f>SUMPRODUCT((因素修正幅度!B290:B316=I2)*(因素修正幅度!C3:F3=E2)*(因素修正幅度!C290:F316))</f>
        <v>0</v>
      </c>
      <c r="O10" s="3228"/>
      <c r="P10" s="2066"/>
      <c r="Q10" s="2066"/>
      <c r="R10" s="2650">
        <v>9</v>
      </c>
      <c r="S10" s="2639"/>
      <c r="T10" s="2650">
        <f t="shared" ca="1" si="0"/>
        <v>0</v>
      </c>
      <c r="U10" s="2639"/>
      <c r="V10" s="2650">
        <f t="shared" ca="1" si="1"/>
        <v>0</v>
      </c>
      <c r="W10" s="3755"/>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752"/>
      <c r="B11" s="1381" t="s">
        <v>934</v>
      </c>
      <c r="C11" s="1034">
        <f>C10/4</f>
        <v>0</v>
      </c>
      <c r="D11" s="1034" t="s">
        <v>935</v>
      </c>
      <c r="E11" s="1034" t="e">
        <f>ROUND(C11/E7,4)</f>
        <v>#DIV/0!</v>
      </c>
      <c r="F11" s="1382" t="s">
        <v>936</v>
      </c>
      <c r="G11" s="1383"/>
      <c r="H11" s="1383"/>
      <c r="I11" s="1383"/>
      <c r="J11" s="1384"/>
      <c r="K11" s="3228"/>
      <c r="L11" s="1795" t="s">
        <v>2236</v>
      </c>
      <c r="M11" s="1796">
        <f>SUMPRODUCT((区片价!B317:B337=I2)*(区片价!C3:F3=E2)*(区片价!C317:F337))</f>
        <v>0</v>
      </c>
      <c r="N11" s="1797">
        <f>SUMPRODUCT((因素修正幅度!B317:B337=I2)*(因素修正幅度!C3:F3=E2)*(因素修正幅度!C317:F337))</f>
        <v>0</v>
      </c>
      <c r="O11" s="3228"/>
      <c r="P11" s="2066"/>
      <c r="Q11" s="2066"/>
      <c r="R11" s="2650">
        <v>10</v>
      </c>
      <c r="S11" s="2639"/>
      <c r="T11" s="2650">
        <f t="shared" ca="1" si="0"/>
        <v>0</v>
      </c>
      <c r="U11" s="2639"/>
      <c r="V11" s="2650">
        <f t="shared" ca="1" si="1"/>
        <v>0</v>
      </c>
      <c r="W11" s="3755" t="s">
        <v>2759</v>
      </c>
      <c r="X11" s="1033" t="s">
        <v>2744</v>
      </c>
      <c r="Y11" s="1578">
        <f>$G$3</f>
        <v>1.1000000000000001</v>
      </c>
      <c r="Z11" s="1578">
        <f t="shared" ref="Z11:AJ11" si="3">$G$3</f>
        <v>1.1000000000000001</v>
      </c>
      <c r="AA11" s="1578">
        <f t="shared" si="3"/>
        <v>1.1000000000000001</v>
      </c>
      <c r="AB11" s="1578">
        <f t="shared" si="3"/>
        <v>1.1000000000000001</v>
      </c>
      <c r="AC11" s="1578">
        <f t="shared" si="3"/>
        <v>1.1000000000000001</v>
      </c>
      <c r="AD11" s="1578">
        <f t="shared" si="3"/>
        <v>1.1000000000000001</v>
      </c>
      <c r="AE11" s="1578">
        <f t="shared" si="3"/>
        <v>1.1000000000000001</v>
      </c>
      <c r="AF11" s="1578">
        <f t="shared" si="3"/>
        <v>1.1000000000000001</v>
      </c>
      <c r="AG11" s="1578">
        <f t="shared" si="3"/>
        <v>1.1000000000000001</v>
      </c>
      <c r="AH11" s="1578">
        <f t="shared" si="3"/>
        <v>1.1000000000000001</v>
      </c>
      <c r="AI11" s="1578">
        <f t="shared" si="3"/>
        <v>1.1000000000000001</v>
      </c>
      <c r="AJ11" s="1578">
        <f t="shared" si="3"/>
        <v>1.1000000000000001</v>
      </c>
    </row>
    <row r="12" spans="1:39" ht="25.5" thickBot="1">
      <c r="A12" s="3748" t="s">
        <v>1861</v>
      </c>
      <c r="B12" s="1385" t="s">
        <v>937</v>
      </c>
      <c r="C12" s="1028">
        <f>ROUND(C15*D15*E15*F15*G15*H15*I15*J15,4)</f>
        <v>1.1000000000000001</v>
      </c>
      <c r="D12" s="1386" t="s">
        <v>938</v>
      </c>
      <c r="E12" s="1387"/>
      <c r="F12" s="1387"/>
      <c r="G12" s="1388"/>
      <c r="H12" s="1388"/>
      <c r="I12" s="1388"/>
      <c r="J12" s="1389"/>
      <c r="K12" s="3228"/>
      <c r="L12" s="1798" t="s">
        <v>2237</v>
      </c>
      <c r="M12" s="1799">
        <f>SUMPRODUCT((区片价!B338:B344=I2)*(区片价!C3:F3=E2)*(区片价!C338:F344))</f>
        <v>0</v>
      </c>
      <c r="N12" s="1800">
        <f>SUMPRODUCT((因素修正幅度!B338:B344=I2)*(因素修正幅度!C3:F3=E2)*(因素修正幅度!C338:F344))</f>
        <v>0</v>
      </c>
      <c r="O12" s="3228"/>
      <c r="P12" s="2066"/>
      <c r="Q12" s="2066"/>
      <c r="R12" s="2650">
        <v>11</v>
      </c>
      <c r="S12" s="2639"/>
      <c r="T12" s="2650">
        <f t="shared" ca="1" si="0"/>
        <v>0</v>
      </c>
      <c r="U12" s="2639"/>
      <c r="V12" s="2650">
        <f t="shared" ca="1" si="1"/>
        <v>0</v>
      </c>
      <c r="W12" s="3755"/>
      <c r="X12" s="2647" t="s">
        <v>2760</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756"/>
      <c r="B13" s="1390" t="s">
        <v>1686</v>
      </c>
      <c r="C13" s="1391" t="s">
        <v>1687</v>
      </c>
      <c r="D13" s="1070" t="s">
        <v>1688</v>
      </c>
      <c r="E13" s="1070" t="s">
        <v>1689</v>
      </c>
      <c r="F13" s="1392" t="s">
        <v>939</v>
      </c>
      <c r="G13" s="1393" t="s">
        <v>1632</v>
      </c>
      <c r="H13" s="1394" t="s">
        <v>1632</v>
      </c>
      <c r="I13" s="1395" t="s">
        <v>1632</v>
      </c>
      <c r="J13" s="1396" t="s">
        <v>1632</v>
      </c>
      <c r="K13" s="2837"/>
      <c r="L13" s="2837"/>
      <c r="M13" s="2837"/>
      <c r="N13" s="2837"/>
      <c r="O13" s="2837"/>
      <c r="P13" s="2066"/>
      <c r="Q13" s="2066"/>
      <c r="R13" s="2650">
        <v>12</v>
      </c>
      <c r="S13" s="2639"/>
      <c r="T13" s="2650">
        <f t="shared" ca="1" si="0"/>
        <v>0</v>
      </c>
      <c r="U13" s="2639"/>
      <c r="V13" s="2650">
        <f t="shared" ca="1" si="1"/>
        <v>0</v>
      </c>
      <c r="W13" s="3755"/>
      <c r="X13" s="2647"/>
      <c r="Y13" s="2646">
        <f>(-0.163*(Y12^2)-0.59*Y12+7617)*(10^(-4))/Y11</f>
        <v>0.69245454545454543</v>
      </c>
      <c r="Z13" s="2646">
        <f t="shared" ref="Z13:AJ13" si="5">(-0.163*(Z12^2)-0.59*Z12+7617)*(10^(-4))/Z11</f>
        <v>0.69245454545454543</v>
      </c>
      <c r="AA13" s="2646">
        <f t="shared" si="5"/>
        <v>0.69245454545454543</v>
      </c>
      <c r="AB13" s="2646">
        <f t="shared" si="5"/>
        <v>0.69245454545454543</v>
      </c>
      <c r="AC13" s="2646">
        <f t="shared" si="5"/>
        <v>0.69245454545454543</v>
      </c>
      <c r="AD13" s="2646">
        <f t="shared" si="5"/>
        <v>0.69245454545454543</v>
      </c>
      <c r="AE13" s="2646">
        <f t="shared" si="5"/>
        <v>0.69245454545454543</v>
      </c>
      <c r="AF13" s="2646">
        <f t="shared" si="5"/>
        <v>0.69245454545454543</v>
      </c>
      <c r="AG13" s="2646">
        <f t="shared" si="5"/>
        <v>0.69245454545454543</v>
      </c>
      <c r="AH13" s="2646">
        <f t="shared" si="5"/>
        <v>0.69245454545454543</v>
      </c>
      <c r="AI13" s="2646">
        <f t="shared" si="5"/>
        <v>0.69245454545454543</v>
      </c>
      <c r="AJ13" s="2646">
        <f t="shared" si="5"/>
        <v>0.69245454545454543</v>
      </c>
    </row>
    <row r="14" spans="1:39" ht="12.75" customHeight="1">
      <c r="A14" s="3756"/>
      <c r="B14" s="1397"/>
      <c r="C14" s="1398" t="s">
        <v>3703</v>
      </c>
      <c r="D14" s="1399" t="s">
        <v>3704</v>
      </c>
      <c r="E14" s="1399" t="s">
        <v>3704</v>
      </c>
      <c r="F14" s="1400" t="s">
        <v>3705</v>
      </c>
      <c r="G14" s="1401" t="s">
        <v>940</v>
      </c>
      <c r="H14" s="1402"/>
      <c r="I14" s="1403"/>
      <c r="J14" s="1404"/>
      <c r="K14" s="3229"/>
      <c r="L14" s="3229"/>
      <c r="M14" s="3229"/>
      <c r="N14" s="3229"/>
      <c r="O14" s="3229"/>
      <c r="P14" s="2066"/>
      <c r="Q14" s="2066"/>
      <c r="R14" s="2650">
        <v>13</v>
      </c>
      <c r="S14" s="2639"/>
      <c r="T14" s="2650">
        <f t="shared" ca="1" si="0"/>
        <v>0</v>
      </c>
      <c r="U14" s="2639"/>
      <c r="V14" s="2650">
        <f t="shared" ca="1" si="1"/>
        <v>0</v>
      </c>
      <c r="W14" s="2066"/>
      <c r="X14" s="2066"/>
      <c r="Y14" s="2066"/>
      <c r="Z14" s="2066"/>
      <c r="AA14" s="2066"/>
      <c r="AB14" s="2066"/>
      <c r="AC14" s="2067"/>
    </row>
    <row r="15" spans="1:39" ht="13.5" customHeight="1" thickBot="1">
      <c r="A15" s="3757"/>
      <c r="B15" s="2842" t="s">
        <v>1690</v>
      </c>
      <c r="C15" s="1034">
        <f>IF(C14="有",1.1,1)</f>
        <v>1.1000000000000001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6"/>
      <c r="Q15" s="2066"/>
      <c r="R15" s="2650">
        <v>14</v>
      </c>
      <c r="S15" s="2639"/>
      <c r="T15" s="2650">
        <f t="shared" ca="1" si="0"/>
        <v>0</v>
      </c>
      <c r="U15" s="2639"/>
      <c r="V15" s="2650">
        <f t="shared" ca="1" si="1"/>
        <v>0</v>
      </c>
      <c r="W15" s="2066"/>
      <c r="X15" s="2066"/>
      <c r="Y15" s="2066"/>
      <c r="Z15" s="2066"/>
      <c r="AA15" s="2066"/>
      <c r="AB15" s="2066"/>
      <c r="AC15" s="2067"/>
    </row>
    <row r="16" spans="1:39" ht="24.6" customHeight="1">
      <c r="A16" s="3748" t="s">
        <v>1828</v>
      </c>
      <c r="B16" s="1373" t="s">
        <v>941</v>
      </c>
      <c r="C16" s="1037">
        <f>ROUND(IF(F17="与级别开发程度一致",0,(G17-E17)/C17),0)</f>
        <v>0</v>
      </c>
      <c r="D16" s="3750" t="s">
        <v>945</v>
      </c>
      <c r="E16" s="3751"/>
      <c r="F16" s="3750" t="s">
        <v>942</v>
      </c>
      <c r="G16" s="3751"/>
      <c r="H16" s="1405" t="s">
        <v>3013</v>
      </c>
      <c r="I16" s="1405" t="s">
        <v>3014</v>
      </c>
      <c r="J16" s="1405" t="s">
        <v>3015</v>
      </c>
      <c r="K16" s="1405" t="s">
        <v>3016</v>
      </c>
      <c r="L16" s="1405" t="s">
        <v>3017</v>
      </c>
      <c r="M16" s="1405" t="s">
        <v>3019</v>
      </c>
      <c r="N16" s="1405" t="s">
        <v>3012</v>
      </c>
      <c r="O16" s="2847" t="s">
        <v>3018</v>
      </c>
      <c r="P16" s="2066"/>
      <c r="Q16" s="2069"/>
      <c r="R16" s="2650">
        <v>15</v>
      </c>
      <c r="S16" s="2639"/>
      <c r="T16" s="2650">
        <f t="shared" ca="1" si="0"/>
        <v>0</v>
      </c>
      <c r="U16" s="2639"/>
      <c r="V16" s="2650">
        <f t="shared" ca="1" si="1"/>
        <v>0</v>
      </c>
      <c r="W16" s="2069"/>
      <c r="X16" s="2069"/>
      <c r="Y16" s="2069"/>
      <c r="Z16" s="2069"/>
      <c r="AA16" s="2069"/>
      <c r="AB16" s="2069"/>
      <c r="AC16" s="2070"/>
    </row>
    <row r="17" spans="1:40" ht="24.75" thickBot="1">
      <c r="A17" s="3749"/>
      <c r="B17" s="2848" t="s">
        <v>944</v>
      </c>
      <c r="C17" s="2849">
        <f>SUMPRODUCT((修正!A2:A5=E2)*(修正!B1:M1=G2)*(修正!B2:M5))</f>
        <v>2.5</v>
      </c>
      <c r="D17" s="2850" t="str">
        <f>IF(OR(G2="八级",G2="九级",G2="十级",G2="十一级",G2="十二级"),"五通一平","七通一平")</f>
        <v>七通一平</v>
      </c>
      <c r="E17" s="2840">
        <f>SUMPRODUCT((修正!B1:M1=G2)*(修正!B15:M15))</f>
        <v>300</v>
      </c>
      <c r="F17" s="2841" t="s">
        <v>3276</v>
      </c>
      <c r="G17" s="2840">
        <f>SUM(H17:O17)</f>
        <v>300</v>
      </c>
      <c r="H17" s="1036">
        <f>SUMPRODUCT((七通一平=H16)*(修正!B1:M1=G2)*(修正!B6:M14))</f>
        <v>65</v>
      </c>
      <c r="I17" s="1036">
        <f>SUMPRODUCT((七通一平=I16)*(修正!B1:M1=G2)*(修正!B6:M14))</f>
        <v>55</v>
      </c>
      <c r="J17" s="1036">
        <f>SUMPRODUCT((七通一平=J16)*(修正!B1:M1=G2)*(修正!B6:M14))</f>
        <v>15</v>
      </c>
      <c r="K17" s="1036">
        <f>SUMPRODUCT((七通一平=K16)*(修正!B1:M1=G2)*(修正!B6:M14))</f>
        <v>25</v>
      </c>
      <c r="L17" s="1036">
        <f>SUMPRODUCT((七通一平=L16)*(修正!B1:M1=G2)*(修正!B6:M14))</f>
        <v>35</v>
      </c>
      <c r="M17" s="1036">
        <f>SUMPRODUCT((七通一平=M16)*(修正!B1:M1=G2)*(修正!B6:M14))</f>
        <v>40</v>
      </c>
      <c r="N17" s="1036">
        <f>SUMPRODUCT((七通一平=N16)*(修正!B1:M1=G2)*(修正!B6:M14))</f>
        <v>15</v>
      </c>
      <c r="O17" s="2851">
        <f>SUMPRODUCT((七通一平=O16)*(修正!B1:M1=G2)*(修正!B6:M14))</f>
        <v>50</v>
      </c>
      <c r="P17" s="2066"/>
      <c r="Q17" s="2069"/>
      <c r="R17" s="2070"/>
      <c r="S17" s="2070"/>
      <c r="T17" s="2070"/>
      <c r="U17" s="2070"/>
      <c r="V17" s="2070"/>
      <c r="W17" s="2069"/>
      <c r="X17" s="2069"/>
      <c r="Y17" s="2069"/>
      <c r="Z17" s="2069"/>
      <c r="AA17" s="2069"/>
      <c r="AB17" s="2069"/>
      <c r="AC17" s="2070"/>
      <c r="AH17" s="1348"/>
      <c r="AI17" s="1348"/>
      <c r="AJ17" s="1351"/>
      <c r="AK17" s="1351"/>
      <c r="AL17" s="1351"/>
      <c r="AM17" s="1351"/>
    </row>
    <row r="18" spans="1:40" s="1367" customFormat="1" ht="15.75" thickBot="1">
      <c r="A18" s="2493" t="s">
        <v>1816</v>
      </c>
      <c r="B18" s="2843" t="s">
        <v>946</v>
      </c>
      <c r="C18" s="2844">
        <f>SUMIF(修正!C18:C39,E3,修正!E18:E39)</f>
        <v>1</v>
      </c>
      <c r="D18" s="2845"/>
      <c r="E18" s="2846"/>
      <c r="F18" s="2829"/>
      <c r="G18" s="2828"/>
      <c r="H18" s="2828"/>
      <c r="I18" s="2828"/>
      <c r="J18" s="2836"/>
      <c r="K18" s="3227"/>
      <c r="L18" s="2828"/>
      <c r="M18" s="2828"/>
      <c r="N18" s="2828"/>
      <c r="O18" s="2828"/>
      <c r="P18" s="3232"/>
      <c r="Q18" s="2071"/>
      <c r="R18" s="2071"/>
      <c r="S18" s="2071"/>
      <c r="T18" s="2071"/>
      <c r="U18" s="2071"/>
      <c r="V18" s="2071"/>
      <c r="W18" s="2070"/>
      <c r="X18" s="2070"/>
      <c r="Y18" s="2070"/>
      <c r="Z18" s="2070"/>
      <c r="AA18" s="2069"/>
      <c r="AB18" s="2069"/>
      <c r="AC18" s="2072"/>
      <c r="AD18" s="1410"/>
      <c r="AE18" s="1410"/>
      <c r="AF18" s="1410"/>
      <c r="AG18" s="1410"/>
      <c r="AH18" s="1349"/>
      <c r="AI18" s="1349"/>
      <c r="AJ18" s="1350"/>
      <c r="AK18" s="1350"/>
      <c r="AL18" s="1350"/>
    </row>
    <row r="19" spans="1:40" s="1367" customFormat="1" ht="27.75" thickBot="1">
      <c r="A19" s="1565" t="s">
        <v>1817</v>
      </c>
      <c r="B19" s="1408" t="s">
        <v>947</v>
      </c>
      <c r="C19" s="3451">
        <v>1.7712000000000001</v>
      </c>
      <c r="D19" s="1412" t="s">
        <v>948</v>
      </c>
      <c r="E19" s="1039">
        <v>41640</v>
      </c>
      <c r="F19" s="1412" t="s">
        <v>949</v>
      </c>
      <c r="G19" s="1040">
        <f>'数据-取费表'!B2</f>
        <v>44412</v>
      </c>
      <c r="H19" s="1413" t="s">
        <v>3031</v>
      </c>
      <c r="I19" s="2499" t="str">
        <f>IF(H19="季度增幅（自定义）",SUMIF(N21:N24,E2,O21:O24),"")</f>
        <v/>
      </c>
      <c r="J19" s="1409"/>
      <c r="K19" s="3227"/>
      <c r="L19" s="2747" t="s">
        <v>2819</v>
      </c>
      <c r="M19" s="2748">
        <f>ROUND(SUMIF(地价!B2:F2,E2,地价!B33:F33),0)</f>
        <v>423</v>
      </c>
      <c r="N19" s="2501" t="s">
        <v>1666</v>
      </c>
      <c r="O19" s="2500">
        <f>ROUNDDOWN(DATEDIF(E19,G19,"M")/3,0)</f>
        <v>30</v>
      </c>
      <c r="P19" s="2070"/>
      <c r="Q19" s="2638"/>
      <c r="R19" s="2072"/>
      <c r="S19" s="2072"/>
      <c r="T19" s="2072"/>
      <c r="U19" s="2072"/>
      <c r="V19" s="2072"/>
      <c r="W19" s="2072"/>
      <c r="X19" s="2072"/>
      <c r="Y19" s="1349"/>
      <c r="Z19" s="1349"/>
      <c r="AA19" s="1349"/>
      <c r="AB19" s="1349"/>
      <c r="AC19" s="1410"/>
      <c r="AD19" s="1411"/>
      <c r="AE19" s="1415"/>
      <c r="AF19" s="1350"/>
      <c r="AG19" s="1366"/>
      <c r="AH19" s="1366"/>
      <c r="AI19" s="1366"/>
    </row>
    <row r="20" spans="1:40" s="1367" customFormat="1" ht="27.75" thickBot="1">
      <c r="A20" s="2493" t="s">
        <v>1818</v>
      </c>
      <c r="B20" s="2494" t="s">
        <v>962</v>
      </c>
      <c r="C20" s="2495">
        <f ca="1">ROUND(POWER(1+G20,J20-I20)*(POWER(1+G20,I20)-1)/(POWER(1+G20,J20)-1),4)</f>
        <v>0.95660000000000001</v>
      </c>
      <c r="D20" s="2496" t="s">
        <v>963</v>
      </c>
      <c r="E20" s="2777">
        <f ca="1">存贷款利率!I4/100</f>
        <v>4.3499999999999997E-2</v>
      </c>
      <c r="F20" s="2496" t="s">
        <v>964</v>
      </c>
      <c r="G20" s="2497">
        <f ca="1">SUMIF(M26:P26,E2,M28:P28)</f>
        <v>0.05</v>
      </c>
      <c r="H20" s="2496" t="s">
        <v>965</v>
      </c>
      <c r="I20" s="2492">
        <f>SUMIF('数据-取费表'!C6:C15,E2,'数据-取费表'!F6:F15)/COUNTIF('数据-取费表'!C6:C15,E2)</f>
        <v>53.13</v>
      </c>
      <c r="J20" s="2498">
        <f>IF(E2="住宅",70,IF(E2="商业",40,50))</f>
        <v>70</v>
      </c>
      <c r="K20" s="2838"/>
      <c r="L20" s="2749" t="s">
        <v>2820</v>
      </c>
      <c r="M20" s="2831">
        <f>ROUND(SUMPRODUCT((地价!A4:A33=YEAR(G19)&amp;"-"&amp;ROUNDUP(MONTH(G19)/3,0))*(地价!B2:F2=E2)*(地价!B4:F33)),0)</f>
        <v>0</v>
      </c>
      <c r="N20" s="2504" t="s">
        <v>2625</v>
      </c>
      <c r="O20" s="2502" t="s">
        <v>2624</v>
      </c>
      <c r="P20" s="2503" t="s">
        <v>2629</v>
      </c>
      <c r="Q20" s="2638"/>
      <c r="R20" s="2072"/>
      <c r="S20" s="2072"/>
      <c r="T20" s="2072"/>
      <c r="U20" s="2072"/>
      <c r="V20" s="2072"/>
      <c r="W20" s="2072"/>
      <c r="X20" s="2072"/>
      <c r="Y20" s="1410"/>
      <c r="Z20" s="1410"/>
      <c r="AA20" s="1410"/>
      <c r="AB20" s="1410"/>
      <c r="AC20" s="1410"/>
      <c r="AD20" s="1410"/>
    </row>
    <row r="21" spans="1:40" s="1367" customFormat="1" ht="14.25">
      <c r="A21" s="1567" t="s">
        <v>1827</v>
      </c>
      <c r="B21" s="1418" t="s">
        <v>3038</v>
      </c>
      <c r="C21" s="1139">
        <f>IF(B21="容积率修正",IF(G3&lt;=10,D22,J22),C23)</f>
        <v>1.2156</v>
      </c>
      <c r="D21" s="1419"/>
      <c r="E21" s="1419"/>
      <c r="F21" s="1419"/>
      <c r="G21" s="1419"/>
      <c r="H21" s="1419"/>
      <c r="I21" s="1419"/>
      <c r="J21" s="1420"/>
      <c r="K21" s="3227"/>
      <c r="L21" s="1419"/>
      <c r="M21" s="1419"/>
      <c r="N21" s="1416" t="s">
        <v>966</v>
      </c>
      <c r="O21" s="1478"/>
      <c r="P21" s="2491">
        <f>SUMPRODUCT((地价!A3:A33=YEAR(G19)&amp;"-"&amp;ROUNDUP(MONTH(G19)/3,0))*(地价!AD2:AH2=N21)*(地价!AD3:AH33))</f>
        <v>0</v>
      </c>
      <c r="Q21" s="2638"/>
      <c r="R21" s="2072"/>
      <c r="S21" s="2072"/>
      <c r="T21" s="2072"/>
      <c r="U21" s="2072"/>
      <c r="V21" s="2072"/>
      <c r="W21" s="2072"/>
      <c r="X21" s="2072"/>
      <c r="Y21" s="1349"/>
      <c r="Z21" s="1349"/>
      <c r="AA21" s="1349"/>
      <c r="AB21" s="1349"/>
      <c r="AC21" s="1410"/>
      <c r="AD21" s="1410"/>
    </row>
    <row r="22" spans="1:40" s="1367" customFormat="1" ht="14.25">
      <c r="A22" s="1568" t="s">
        <v>1860</v>
      </c>
      <c r="B22" s="1421" t="s">
        <v>967</v>
      </c>
      <c r="C22" s="1041" t="s">
        <v>1692</v>
      </c>
      <c r="D22" s="1041">
        <f>IF(E22=G22,F22,IF(G3&lt;=10,ROUND(F22+(H22-F22)*(G3-E22)/(G22-E22),4),"——"))</f>
        <v>1.2156</v>
      </c>
      <c r="E22" s="1024">
        <f>ROUNDDOWN(G3,1)</f>
        <v>1.1000000000000001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24">
        <f>ROUNDUP(G3,1)</f>
        <v>1.1000000000000001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41" t="s">
        <v>968</v>
      </c>
      <c r="J22" s="1041" t="str">
        <f>IF(G3&gt;10,D113,"——")</f>
        <v>——</v>
      </c>
      <c r="K22" s="3233"/>
      <c r="L22" s="1419"/>
      <c r="M22" s="1419"/>
      <c r="N22" s="1416" t="s">
        <v>969</v>
      </c>
      <c r="O22" s="1478"/>
      <c r="P22" s="2491">
        <f>SUMPRODUCT((地价!A3:A33=YEAR(G19)&amp;"-"&amp;ROUNDUP(MONTH(G19)/3,0))*(地价!AD2:AH2=N22)*(地价!AD3:AH33))</f>
        <v>0</v>
      </c>
      <c r="Q22" s="2638"/>
      <c r="R22" s="2072"/>
      <c r="S22" s="2072"/>
      <c r="T22" s="2072"/>
      <c r="U22" s="2072"/>
      <c r="V22" s="2072"/>
      <c r="W22" s="2072"/>
      <c r="X22" s="2072"/>
      <c r="Y22" s="1410"/>
      <c r="Z22" s="1410"/>
      <c r="AA22" s="1410"/>
      <c r="AB22" s="1410"/>
      <c r="AC22" s="1410"/>
      <c r="AD22" s="1410"/>
    </row>
    <row r="23" spans="1:40" ht="15.75" thickBot="1">
      <c r="A23" s="1568" t="s">
        <v>1861</v>
      </c>
      <c r="B23" s="1421" t="s">
        <v>970</v>
      </c>
      <c r="C23" s="1042">
        <f>ROUND(IF(G3&gt;1,IF(I3&lt;7,SUMPRODUCT((B93:B98=I3)*(C92:N92=G2)*(C93:N98)),SUMIF(C92:N92,G2,C100:N100)),IF(I3&lt;7,SUMPRODUCT((B102:B107=I3)*(C92:N92=G2)*(C102:N107)),SUMIF(C92:N92,G2,C109:N109))),4)</f>
        <v>0</v>
      </c>
      <c r="D23" s="1466"/>
      <c r="E23" s="1466"/>
      <c r="F23" s="1467"/>
      <c r="G23" s="1468"/>
      <c r="H23" s="1469"/>
      <c r="I23" s="1470"/>
      <c r="J23" s="1470"/>
      <c r="K23" s="3234"/>
      <c r="L23" s="1347"/>
      <c r="M23" s="1347"/>
      <c r="N23" s="1416" t="s">
        <v>914</v>
      </c>
      <c r="O23" s="1478"/>
      <c r="P23" s="2491">
        <f>SUMPRODUCT((地价!A3:A33=YEAR(G19)&amp;"-"&amp;ROUNDUP(MONTH(G19)/3,0))*(地价!AD2:AH2=N23)*(地价!AD3:AH33))</f>
        <v>0</v>
      </c>
      <c r="Q23" s="2638"/>
      <c r="R23" s="2072"/>
      <c r="S23" s="2072"/>
      <c r="T23" s="2072"/>
      <c r="U23" s="2072"/>
      <c r="V23" s="2072"/>
      <c r="W23" s="2072"/>
      <c r="X23" s="2072"/>
      <c r="Y23" s="1349"/>
      <c r="Z23" s="1349"/>
      <c r="AA23" s="1349"/>
      <c r="AB23" s="1349"/>
      <c r="AC23" s="1349"/>
      <c r="AE23" s="1350"/>
      <c r="AF23" s="1350"/>
      <c r="AG23" s="1350"/>
      <c r="AH23" s="1350"/>
      <c r="AI23" s="1350"/>
      <c r="AJ23" s="1351"/>
      <c r="AK23" s="1351"/>
      <c r="AL23" s="1351"/>
      <c r="AM23" s="1351"/>
    </row>
    <row r="24" spans="1:40" s="1367" customFormat="1" ht="15.75" thickBot="1">
      <c r="A24" s="1566" t="s">
        <v>1862</v>
      </c>
      <c r="B24" s="1361" t="s">
        <v>971</v>
      </c>
      <c r="C24" s="1043">
        <f>SUMIF(A44:A87,E2,B44:B87)</f>
        <v>1.0572999999999999</v>
      </c>
      <c r="D24" s="1471"/>
      <c r="E24" s="1472"/>
      <c r="F24" s="1472"/>
      <c r="G24" s="1472"/>
      <c r="H24" s="1472"/>
      <c r="I24" s="1472"/>
      <c r="J24" s="1472"/>
      <c r="K24" s="3234"/>
      <c r="L24" s="1419"/>
      <c r="M24" s="1419"/>
      <c r="N24" s="1416" t="s">
        <v>972</v>
      </c>
      <c r="O24" s="2830"/>
      <c r="P24" s="2491">
        <f>SUMPRODUCT((地价!A3:A33=YEAR(G19)&amp;"-"&amp;ROUNDUP(MONTH(G19)/3,0))*(地价!AD2:AH2=N24)*(地价!AD3:AH33))</f>
        <v>0</v>
      </c>
      <c r="Q24" s="2638"/>
      <c r="R24" s="2072"/>
      <c r="S24" s="2072"/>
      <c r="T24" s="2072"/>
      <c r="U24" s="2072"/>
      <c r="V24" s="2072"/>
      <c r="W24" s="2072"/>
      <c r="X24" s="2072"/>
      <c r="Y24" s="1410"/>
      <c r="Z24" s="1410"/>
      <c r="AA24" s="1410"/>
      <c r="AB24" s="1410"/>
      <c r="AC24" s="1410"/>
      <c r="AD24" s="1410"/>
    </row>
    <row r="25" spans="1:40" ht="15" thickBot="1">
      <c r="A25" s="1566" t="s">
        <v>1863</v>
      </c>
      <c r="B25" s="1423" t="s">
        <v>973</v>
      </c>
      <c r="C25" s="1424"/>
      <c r="D25" s="1376"/>
      <c r="E25" s="1376"/>
      <c r="F25" s="1425"/>
      <c r="G25" s="1376"/>
      <c r="H25" s="1376"/>
      <c r="I25" s="1376"/>
      <c r="J25" s="1377"/>
      <c r="K25" s="3228"/>
      <c r="L25" s="2072"/>
      <c r="M25" s="2072"/>
      <c r="N25" s="2832" t="s">
        <v>2627</v>
      </c>
      <c r="O25" s="2833"/>
      <c r="P25" s="2298">
        <f>SUMPRODUCT((地价!A3:A33=YEAR(G19)&amp;"-"&amp;ROUNDUP(MONTH(G19)/3,0))*(地价!AD2:AH2=N25)*(地价!AD3:AH33))</f>
        <v>0</v>
      </c>
      <c r="Q25" s="2638"/>
      <c r="R25" s="2072"/>
      <c r="S25" s="2072"/>
      <c r="T25" s="2072"/>
      <c r="U25" s="2072"/>
      <c r="V25" s="2072"/>
      <c r="W25" s="2072"/>
      <c r="X25" s="2072"/>
      <c r="Y25" s="1349"/>
      <c r="Z25" s="1349"/>
      <c r="AA25" s="1349"/>
      <c r="AB25" s="1349"/>
      <c r="AC25" s="1349"/>
      <c r="AE25" s="1350"/>
      <c r="AF25" s="1350"/>
      <c r="AG25" s="1350"/>
      <c r="AH25" s="1350"/>
      <c r="AI25" s="1351"/>
      <c r="AJ25" s="1351"/>
      <c r="AK25" s="1351"/>
      <c r="AL25" s="1351"/>
      <c r="AM25" s="1351"/>
    </row>
    <row r="26" spans="1:40" ht="14.25">
      <c r="A26" s="1426"/>
      <c r="B26" s="1421" t="s">
        <v>977</v>
      </c>
      <c r="C26" s="3011">
        <f ca="1">IF(B21="容积率修正",E29+SUM(E33:E39),SUM(V2:V16)+SUM(E33:E39))</f>
        <v>29583</v>
      </c>
      <c r="D26" s="1427"/>
      <c r="E26" s="1402"/>
      <c r="F26" s="1428"/>
      <c r="G26" s="1402"/>
      <c r="H26" s="1402"/>
      <c r="I26" s="1402"/>
      <c r="J26" s="1429"/>
      <c r="K26" s="3228"/>
      <c r="L26" s="1525" t="s">
        <v>889</v>
      </c>
      <c r="M26" s="1374" t="s">
        <v>966</v>
      </c>
      <c r="N26" s="1374" t="s">
        <v>969</v>
      </c>
      <c r="O26" s="1374" t="s">
        <v>893</v>
      </c>
      <c r="P26" s="1414" t="s">
        <v>976</v>
      </c>
      <c r="Q26" s="2638"/>
      <c r="R26" s="2072"/>
      <c r="S26" s="2072"/>
      <c r="T26" s="2072"/>
      <c r="U26" s="2072"/>
      <c r="V26" s="2072"/>
      <c r="W26" s="2072"/>
      <c r="X26" s="2072"/>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f ca="1">E30+SUM(I33:I39)</f>
        <v>0</v>
      </c>
      <c r="D27" s="1431"/>
      <c r="E27" s="1432"/>
      <c r="F27" s="1433"/>
      <c r="G27" s="1432"/>
      <c r="H27" s="1432"/>
      <c r="I27" s="1432"/>
      <c r="J27" s="1434"/>
      <c r="K27" s="3228"/>
      <c r="L27" s="1406" t="s">
        <v>978</v>
      </c>
      <c r="M27" s="1032">
        <v>0.25</v>
      </c>
      <c r="N27" s="1032">
        <v>0.2</v>
      </c>
      <c r="O27" s="1032">
        <v>0.15</v>
      </c>
      <c r="P27" s="1475">
        <v>0.1</v>
      </c>
      <c r="Q27" s="2072"/>
      <c r="R27" s="2638"/>
      <c r="S27" s="2638"/>
      <c r="T27" s="2638"/>
      <c r="U27" s="2638"/>
      <c r="V27" s="2638"/>
      <c r="W27" s="2072"/>
      <c r="X27" s="2072"/>
      <c r="Y27" s="2072"/>
      <c r="Z27" s="2072"/>
      <c r="AA27" s="2072"/>
      <c r="AB27" s="2072"/>
      <c r="AC27" s="2072"/>
    </row>
    <row r="28" spans="1:40" ht="15" thickBot="1">
      <c r="A28" s="1422"/>
      <c r="B28" s="1435" t="s">
        <v>980</v>
      </c>
      <c r="C28" s="1436" t="s">
        <v>981</v>
      </c>
      <c r="D28" s="1436" t="s">
        <v>982</v>
      </c>
      <c r="E28" s="1437" t="s">
        <v>983</v>
      </c>
      <c r="F28" s="1438"/>
      <c r="G28" s="1388"/>
      <c r="H28" s="1388"/>
      <c r="I28" s="1388"/>
      <c r="J28" s="1389"/>
      <c r="K28" s="3228"/>
      <c r="L28" s="1407" t="s">
        <v>964</v>
      </c>
      <c r="M28" s="1476">
        <f ca="1">ROUND($E$20*(1+M27),3)</f>
        <v>5.3999999999999999E-2</v>
      </c>
      <c r="N28" s="1476">
        <f ca="1">ROUND($E$20*(1+N27),3)</f>
        <v>5.1999999999999998E-2</v>
      </c>
      <c r="O28" s="1476">
        <f ca="1">ROUND($E$20*(1+O27),3)</f>
        <v>0.05</v>
      </c>
      <c r="P28" s="1477">
        <f ca="1">ROUND($E$20*(1+P27),3)</f>
        <v>4.8000000000000001E-2</v>
      </c>
      <c r="Q28" s="2072"/>
      <c r="R28" s="2638"/>
      <c r="S28" s="2638"/>
      <c r="T28" s="2638"/>
      <c r="U28" s="2638"/>
      <c r="V28" s="2638"/>
      <c r="W28" s="2072"/>
      <c r="X28" s="2072"/>
      <c r="Y28" s="2072"/>
      <c r="Z28" s="2072"/>
      <c r="AA28" s="2072"/>
      <c r="AB28" s="2072"/>
      <c r="AC28" s="2072"/>
      <c r="AD28" s="1410"/>
      <c r="AE28" s="1410"/>
      <c r="AF28" s="1410"/>
      <c r="AG28" s="1410"/>
    </row>
    <row r="29" spans="1:40" ht="14.25">
      <c r="A29" s="1439"/>
      <c r="B29" s="1440" t="s">
        <v>984</v>
      </c>
      <c r="C29" s="1044">
        <f ca="1">ROUND(C5*C18*C19*C20*C21*C24,0)</f>
        <v>29583</v>
      </c>
      <c r="D29" s="3307">
        <v>10000</v>
      </c>
      <c r="E29" s="1759">
        <f ca="1">ROUND(C29*D29/10000,0)</f>
        <v>29583</v>
      </c>
      <c r="F29" s="1441" t="s">
        <v>1691</v>
      </c>
      <c r="G29" s="1442"/>
      <c r="H29" s="1442"/>
      <c r="I29" s="1442"/>
      <c r="J29" s="1443"/>
      <c r="K29" s="3235"/>
      <c r="L29" s="3235"/>
      <c r="M29" s="3235"/>
      <c r="N29" s="3235"/>
      <c r="O29" s="3235"/>
      <c r="P29" s="2066"/>
      <c r="Q29" s="2072"/>
      <c r="R29" s="2072"/>
      <c r="S29" s="2072"/>
      <c r="T29" s="2072"/>
      <c r="U29" s="2072"/>
      <c r="V29" s="2072"/>
      <c r="W29" s="2638"/>
      <c r="X29" s="2638"/>
      <c r="Y29" s="2638"/>
      <c r="Z29" s="2638"/>
      <c r="AA29" s="2638"/>
      <c r="AB29" s="2072"/>
      <c r="AC29" s="2072"/>
      <c r="AD29" s="2072"/>
      <c r="AE29" s="2072"/>
      <c r="AF29" s="2072"/>
      <c r="AG29" s="2072"/>
      <c r="AH29" s="2072"/>
      <c r="AJ29" s="1349"/>
      <c r="AK29" s="1349"/>
      <c r="AL29" s="1349"/>
      <c r="AM29" s="1348"/>
      <c r="AN29" s="1348"/>
    </row>
    <row r="30" spans="1:40" ht="24.75" thickBot="1">
      <c r="A30" s="1444"/>
      <c r="B30" s="1445" t="s">
        <v>985</v>
      </c>
      <c r="C30" s="1036">
        <f ca="1">ROUND(IF(E2="工业",C29*M39,C29*M38),0)</f>
        <v>7396</v>
      </c>
      <c r="D30" s="1446"/>
      <c r="E30" s="1759">
        <f ca="1">ROUND(C30*D30/10000,0)</f>
        <v>0</v>
      </c>
      <c r="F30" s="1447" t="s">
        <v>986</v>
      </c>
      <c r="G30" s="1448"/>
      <c r="H30" s="1448"/>
      <c r="I30" s="1448"/>
      <c r="J30" s="1449"/>
      <c r="K30" s="3228"/>
      <c r="L30" s="3228"/>
      <c r="M30" s="3228"/>
      <c r="N30" s="3228"/>
      <c r="O30" s="3228"/>
      <c r="P30" s="2066"/>
      <c r="Q30" s="2066"/>
      <c r="R30" s="2066"/>
      <c r="S30" s="2066"/>
      <c r="T30" s="2066"/>
      <c r="U30" s="2066"/>
      <c r="V30" s="2066"/>
      <c r="W30" s="2067"/>
      <c r="X30" s="2067"/>
      <c r="Y30" s="2067"/>
      <c r="Z30" s="2067"/>
      <c r="AA30" s="2067"/>
      <c r="AB30" s="2066"/>
      <c r="AC30" s="2066"/>
      <c r="AD30" s="2066"/>
      <c r="AE30" s="2066"/>
      <c r="AF30" s="2066"/>
      <c r="AG30" s="2066"/>
      <c r="AH30" s="2066"/>
      <c r="AI30" s="1410"/>
      <c r="AJ30" s="1410"/>
      <c r="AK30" s="1410"/>
      <c r="AL30" s="1410"/>
      <c r="AM30" s="1348"/>
      <c r="AN30" s="1348"/>
    </row>
    <row r="31" spans="1:40">
      <c r="A31" s="1450"/>
      <c r="B31" s="1451" t="s">
        <v>987</v>
      </c>
      <c r="C31" s="1452" t="s">
        <v>988</v>
      </c>
      <c r="D31" s="1388"/>
      <c r="E31" s="1452"/>
      <c r="F31" s="1452"/>
      <c r="G31" s="1386" t="s">
        <v>986</v>
      </c>
      <c r="H31" s="1388"/>
      <c r="I31" s="1453"/>
      <c r="J31" s="1389"/>
      <c r="K31" s="3228"/>
      <c r="L31" s="3228"/>
      <c r="M31" s="3228"/>
      <c r="N31" s="3228"/>
      <c r="O31" s="3228"/>
      <c r="P31" s="2066"/>
      <c r="Q31" s="2066"/>
      <c r="R31" s="2066"/>
      <c r="S31" s="2066"/>
      <c r="T31" s="2066"/>
      <c r="U31" s="2066"/>
      <c r="V31" s="2066"/>
      <c r="W31" s="2067"/>
      <c r="X31" s="2067"/>
      <c r="Y31" s="2067"/>
      <c r="Z31" s="2067"/>
      <c r="AA31" s="2067"/>
      <c r="AB31" s="2066"/>
      <c r="AC31" s="2066"/>
      <c r="AD31" s="2066"/>
      <c r="AE31" s="2066"/>
      <c r="AF31" s="2066"/>
      <c r="AG31" s="2066"/>
      <c r="AH31" s="2066"/>
      <c r="AJ31" s="1349"/>
      <c r="AK31" s="1349"/>
      <c r="AL31" s="1349"/>
      <c r="AM31" s="1348"/>
      <c r="AN31" s="1348"/>
    </row>
    <row r="32" spans="1:40" ht="24">
      <c r="A32" s="1439"/>
      <c r="B32" s="1454"/>
      <c r="C32" s="1455" t="s">
        <v>981</v>
      </c>
      <c r="D32" s="1456" t="s">
        <v>982</v>
      </c>
      <c r="E32" s="1456" t="s">
        <v>983</v>
      </c>
      <c r="F32" s="1457" t="s">
        <v>989</v>
      </c>
      <c r="G32" s="1417" t="s">
        <v>981</v>
      </c>
      <c r="H32" s="1417" t="s">
        <v>982</v>
      </c>
      <c r="I32" s="1417" t="s">
        <v>983</v>
      </c>
      <c r="J32" s="1458"/>
      <c r="K32" s="3236"/>
      <c r="L32" s="3236"/>
      <c r="M32" s="3236"/>
      <c r="N32" s="3236"/>
      <c r="O32" s="3236"/>
      <c r="P32" s="2066"/>
      <c r="Q32" s="2066"/>
      <c r="R32" s="2066"/>
      <c r="S32" s="2066"/>
      <c r="T32" s="2066"/>
      <c r="U32" s="2066"/>
      <c r="V32" s="2066"/>
      <c r="W32" s="2067"/>
      <c r="X32" s="2067"/>
      <c r="Y32" s="2067"/>
      <c r="Z32" s="2067"/>
      <c r="AA32" s="2067"/>
      <c r="AB32" s="2066"/>
      <c r="AC32" s="2066"/>
      <c r="AD32" s="2066"/>
      <c r="AE32" s="2066"/>
      <c r="AF32" s="2066"/>
      <c r="AG32" s="2066"/>
      <c r="AH32" s="2066"/>
      <c r="AI32" s="1348"/>
      <c r="AJ32" s="1348"/>
      <c r="AK32" s="1348"/>
      <c r="AL32" s="1348"/>
      <c r="AM32" s="1348"/>
      <c r="AN32" s="1348"/>
    </row>
    <row r="33" spans="1:44" ht="12.75">
      <c r="A33" s="3764"/>
      <c r="B33" s="1460" t="s">
        <v>990</v>
      </c>
      <c r="C33" s="1044">
        <f ca="1">ROUND(D5*C19*C20*C24*F33,0)</f>
        <v>15487</v>
      </c>
      <c r="D33" s="1473"/>
      <c r="E33" s="1033">
        <f ca="1">ROUND(C33*D33/10000,0)</f>
        <v>0</v>
      </c>
      <c r="F33" s="1033">
        <f>SUMIF(修正!A45:A56,G2,修正!B45:B56)</f>
        <v>0.7</v>
      </c>
      <c r="G33" s="1033">
        <f t="shared" ref="G33" ca="1" si="6">ROUND(IF(E2="工业",C33*$M$39,C33*$M$38),0)</f>
        <v>3872</v>
      </c>
      <c r="H33" s="1033">
        <f>D33</f>
        <v>0</v>
      </c>
      <c r="I33" s="1033">
        <f ca="1">ROUND(G33*H33/10000,0)</f>
        <v>0</v>
      </c>
      <c r="J33" s="3764" t="s">
        <v>2987</v>
      </c>
      <c r="K33" s="2837"/>
      <c r="L33" s="2837"/>
      <c r="M33" s="2837"/>
      <c r="N33" s="2837"/>
      <c r="O33" s="2837"/>
      <c r="P33" s="2066"/>
      <c r="Q33" s="2066"/>
      <c r="R33" s="2066"/>
      <c r="S33" s="2066"/>
      <c r="T33" s="2066"/>
      <c r="U33" s="2066"/>
      <c r="V33" s="2066"/>
      <c r="W33" s="2067"/>
      <c r="X33" s="2067"/>
      <c r="Y33" s="2067"/>
      <c r="Z33" s="2067"/>
      <c r="AA33" s="2067"/>
      <c r="AB33" s="2066"/>
      <c r="AC33" s="2066"/>
      <c r="AD33" s="2066"/>
      <c r="AE33" s="2066"/>
      <c r="AF33" s="2066"/>
      <c r="AG33" s="2066"/>
      <c r="AH33" s="2067"/>
      <c r="AJ33" s="1349"/>
      <c r="AK33" s="1349"/>
      <c r="AL33" s="1349"/>
      <c r="AM33" s="1349"/>
      <c r="AN33" s="1349"/>
      <c r="AO33" s="1350"/>
      <c r="AP33" s="1350"/>
      <c r="AQ33" s="1350"/>
      <c r="AR33" s="1350"/>
    </row>
    <row r="34" spans="1:44" ht="12.75">
      <c r="A34" s="3765"/>
      <c r="B34" s="1391" t="s">
        <v>991</v>
      </c>
      <c r="C34" s="1044">
        <f ca="1">ROUND(D5*C19*C20*C24*F34,0)</f>
        <v>8850</v>
      </c>
      <c r="D34" s="1473"/>
      <c r="E34" s="1033">
        <f t="shared" ref="E34:E39" ca="1" si="7">ROUND(C34*D34/10000,0)</f>
        <v>0</v>
      </c>
      <c r="F34" s="1033">
        <f>SUMIF(修正!A45:A56,G2,修正!C45:C56)</f>
        <v>0.4</v>
      </c>
      <c r="G34" s="1033">
        <f ca="1">ROUND(IF(E2="工业",C34*$M$39,C34*$M$38),0)</f>
        <v>2213</v>
      </c>
      <c r="H34" s="1033">
        <f t="shared" ref="H34:H39" si="8">D34</f>
        <v>0</v>
      </c>
      <c r="I34" s="1033">
        <f t="shared" ref="I34:I39" ca="1" si="9">ROUND(G34*H34/10000,0)</f>
        <v>0</v>
      </c>
      <c r="J34" s="3765"/>
      <c r="K34" s="2837"/>
      <c r="L34" s="2837"/>
      <c r="M34" s="2837"/>
      <c r="N34" s="2837"/>
      <c r="O34" s="2837"/>
      <c r="P34" s="2066"/>
      <c r="Q34" s="2066"/>
      <c r="R34" s="2066"/>
      <c r="S34" s="2066"/>
      <c r="T34" s="2066"/>
      <c r="U34" s="2066"/>
      <c r="V34" s="2066"/>
      <c r="W34" s="2067"/>
      <c r="X34" s="2067"/>
      <c r="Y34" s="2067"/>
      <c r="Z34" s="2067"/>
      <c r="AA34" s="2067"/>
      <c r="AB34" s="2066"/>
      <c r="AC34" s="2066"/>
      <c r="AD34" s="2066"/>
      <c r="AE34" s="2066"/>
      <c r="AF34" s="2066"/>
      <c r="AG34" s="2066"/>
      <c r="AH34" s="2067"/>
      <c r="AJ34" s="1349"/>
      <c r="AK34" s="1349"/>
      <c r="AL34" s="1349"/>
      <c r="AM34" s="1349"/>
      <c r="AN34" s="1349"/>
      <c r="AO34" s="1350"/>
      <c r="AP34" s="1350"/>
      <c r="AQ34" s="1350"/>
      <c r="AR34" s="1350"/>
    </row>
    <row r="35" spans="1:44" ht="12.75">
      <c r="A35" s="3765"/>
      <c r="B35" s="1391" t="s">
        <v>992</v>
      </c>
      <c r="C35" s="1044">
        <f ca="1">ROUND(D5*C19*C20*C24*F35,0)</f>
        <v>6195</v>
      </c>
      <c r="D35" s="1473"/>
      <c r="E35" s="1033">
        <f t="shared" ca="1" si="7"/>
        <v>0</v>
      </c>
      <c r="F35" s="1033">
        <f>SUMIF(修正!A45:A56,G2,修正!D45:D56)</f>
        <v>0.28000000000000003</v>
      </c>
      <c r="G35" s="1033">
        <f ca="1">ROUND(IF(E2="工业",C35*$M$39,C35*$M$38),0)</f>
        <v>1549</v>
      </c>
      <c r="H35" s="1033">
        <f t="shared" si="8"/>
        <v>0</v>
      </c>
      <c r="I35" s="1033">
        <f t="shared" ca="1" si="9"/>
        <v>0</v>
      </c>
      <c r="J35" s="3765"/>
      <c r="K35" s="2837"/>
      <c r="L35" s="2837"/>
      <c r="M35" s="2837"/>
      <c r="N35" s="2837"/>
      <c r="O35" s="2837"/>
      <c r="P35" s="2066"/>
      <c r="Q35" s="2066"/>
      <c r="R35" s="2066"/>
      <c r="S35" s="2066"/>
      <c r="T35" s="2066"/>
      <c r="U35" s="2066"/>
      <c r="V35" s="2066"/>
      <c r="W35" s="2067"/>
      <c r="X35" s="2067"/>
      <c r="Y35" s="2067"/>
      <c r="Z35" s="2067"/>
      <c r="AA35" s="2067"/>
      <c r="AB35" s="2066"/>
      <c r="AC35" s="2066"/>
      <c r="AD35" s="2066"/>
      <c r="AE35" s="2066"/>
      <c r="AF35" s="2066"/>
      <c r="AG35" s="2066"/>
      <c r="AH35" s="2067"/>
      <c r="AJ35" s="1349"/>
      <c r="AK35" s="1349"/>
      <c r="AL35" s="1349"/>
      <c r="AM35" s="1349"/>
      <c r="AN35" s="1349"/>
      <c r="AO35" s="1350"/>
      <c r="AP35" s="1350"/>
      <c r="AQ35" s="1350"/>
      <c r="AR35" s="1350"/>
    </row>
    <row r="36" spans="1:44" ht="13.5" thickBot="1">
      <c r="A36" s="3766"/>
      <c r="B36" s="1391" t="s">
        <v>993</v>
      </c>
      <c r="C36" s="1044">
        <f ca="1">ROUND(D5*C19*C20*C24*F36,0)</f>
        <v>5531</v>
      </c>
      <c r="D36" s="1473"/>
      <c r="E36" s="1033">
        <f t="shared" ca="1" si="7"/>
        <v>0</v>
      </c>
      <c r="F36" s="1033">
        <f>SUMIF(修正!A45:A56,G2,修正!E45:E56)</f>
        <v>0.25</v>
      </c>
      <c r="G36" s="1033">
        <f ca="1">ROUND(IF(E2="工业",C36*$M$39,C36*$M$38),0)</f>
        <v>1383</v>
      </c>
      <c r="H36" s="1033">
        <f t="shared" si="8"/>
        <v>0</v>
      </c>
      <c r="I36" s="1033">
        <f t="shared" ca="1" si="9"/>
        <v>0</v>
      </c>
      <c r="J36" s="3766"/>
      <c r="K36" s="2837"/>
      <c r="L36" s="2837"/>
      <c r="M36" s="2837"/>
      <c r="N36" s="2837"/>
      <c r="O36" s="2837"/>
      <c r="P36" s="2066"/>
      <c r="Q36" s="2066"/>
      <c r="R36" s="2066"/>
      <c r="S36" s="2066"/>
      <c r="T36" s="2066"/>
      <c r="U36" s="2066"/>
      <c r="V36" s="2066"/>
      <c r="W36" s="2067"/>
      <c r="X36" s="2067"/>
      <c r="Y36" s="2067"/>
      <c r="Z36" s="2067"/>
      <c r="AA36" s="2067"/>
      <c r="AB36" s="2066"/>
      <c r="AC36" s="2066"/>
      <c r="AD36" s="2066"/>
      <c r="AE36" s="2066"/>
      <c r="AF36" s="2066"/>
      <c r="AG36" s="2066"/>
      <c r="AH36" s="2067"/>
      <c r="AJ36" s="1349"/>
      <c r="AK36" s="1349"/>
      <c r="AL36" s="1349"/>
      <c r="AM36" s="1349"/>
      <c r="AN36" s="1349"/>
      <c r="AO36" s="1350"/>
      <c r="AP36" s="1350"/>
      <c r="AQ36" s="1350"/>
      <c r="AR36" s="1350"/>
    </row>
    <row r="37" spans="1:44" ht="12.75">
      <c r="A37" s="1459"/>
      <c r="B37" s="1391" t="s">
        <v>994</v>
      </c>
      <c r="C37" s="1033">
        <f ca="1">ROUND(D5*C19*C20*C24*F37,0)</f>
        <v>5531</v>
      </c>
      <c r="D37" s="1473"/>
      <c r="E37" s="1033">
        <f t="shared" ca="1" si="7"/>
        <v>0</v>
      </c>
      <c r="F37" s="1044">
        <f>SUMIF(修正!A45:A56,G2,修正!F45:F56)</f>
        <v>0.25</v>
      </c>
      <c r="G37" s="1033">
        <f ca="1">ROUND(IF(E2="工业",C37*$M$39,C37*$M$38),0)</f>
        <v>1383</v>
      </c>
      <c r="H37" s="1033">
        <f t="shared" si="8"/>
        <v>0</v>
      </c>
      <c r="I37" s="1033">
        <f t="shared" ca="1" si="9"/>
        <v>0</v>
      </c>
      <c r="J37" s="1461"/>
      <c r="K37" s="2066"/>
      <c r="L37" s="1479" t="s">
        <v>1693</v>
      </c>
      <c r="M37" s="1480"/>
      <c r="N37" s="2066"/>
      <c r="O37" s="2066"/>
      <c r="P37" s="2066"/>
      <c r="Q37" s="2066"/>
      <c r="R37" s="2067"/>
      <c r="S37" s="2067"/>
      <c r="T37" s="2067"/>
      <c r="U37" s="2067"/>
      <c r="V37" s="2067"/>
      <c r="W37" s="2066"/>
      <c r="X37" s="2066"/>
      <c r="Y37" s="2066"/>
      <c r="Z37" s="2066"/>
      <c r="AA37" s="2066"/>
      <c r="AB37" s="2066"/>
      <c r="AC37" s="2067"/>
    </row>
    <row r="38" spans="1:44" ht="12.75">
      <c r="A38" s="1459"/>
      <c r="B38" s="1391" t="s">
        <v>995</v>
      </c>
      <c r="C38" s="1033">
        <f ca="1">ROUND(D5*C19*C41*C24*F38,0)</f>
        <v>5075</v>
      </c>
      <c r="D38" s="1473"/>
      <c r="E38" s="1033">
        <f t="shared" ca="1" si="7"/>
        <v>0</v>
      </c>
      <c r="F38" s="1044">
        <f>SUMIF(修正!A45:A56,G2,修正!G45:G56)</f>
        <v>0.25</v>
      </c>
      <c r="G38" s="1033">
        <f ca="1">ROUND(IF(E2="工业",C38*$M$39,C38*$M$38),0)</f>
        <v>1269</v>
      </c>
      <c r="H38" s="1033">
        <f t="shared" si="8"/>
        <v>0</v>
      </c>
      <c r="I38" s="1033">
        <f t="shared" ca="1" si="9"/>
        <v>0</v>
      </c>
      <c r="J38" s="1461"/>
      <c r="K38" s="2066"/>
      <c r="L38" s="1481" t="s">
        <v>1695</v>
      </c>
      <c r="M38" s="1482">
        <v>0.25</v>
      </c>
      <c r="N38" s="2066"/>
      <c r="O38" s="2066"/>
      <c r="P38" s="2066"/>
      <c r="Q38" s="2066"/>
      <c r="R38" s="2067"/>
      <c r="S38" s="2067"/>
      <c r="T38" s="2067"/>
      <c r="U38" s="2067"/>
      <c r="V38" s="2067"/>
      <c r="W38" s="2066"/>
      <c r="X38" s="2066"/>
      <c r="Y38" s="2066"/>
      <c r="Z38" s="2066"/>
      <c r="AA38" s="2066"/>
      <c r="AB38" s="2066"/>
      <c r="AC38" s="2067"/>
    </row>
    <row r="39" spans="1:44" ht="13.5" thickBot="1">
      <c r="A39" s="1444"/>
      <c r="B39" s="1462" t="s">
        <v>996</v>
      </c>
      <c r="C39" s="1036">
        <f ca="1">ROUND(D5*C19*C41*C24*F39,0)</f>
        <v>4060</v>
      </c>
      <c r="D39" s="1474"/>
      <c r="E39" s="1036">
        <f t="shared" ca="1" si="7"/>
        <v>0</v>
      </c>
      <c r="F39" s="1046">
        <f>SUMIF(修正!A45:A56,G2,修正!H45:H56)</f>
        <v>0.2</v>
      </c>
      <c r="G39" s="1036">
        <f ca="1">ROUND(IF(E2="工业",C39*$M$39,C39*$M$38),0)</f>
        <v>1015</v>
      </c>
      <c r="H39" s="1036">
        <f t="shared" si="8"/>
        <v>0</v>
      </c>
      <c r="I39" s="1036">
        <f t="shared" ca="1" si="9"/>
        <v>0</v>
      </c>
      <c r="J39" s="1463"/>
      <c r="K39" s="2066"/>
      <c r="L39" s="1483" t="s">
        <v>1694</v>
      </c>
      <c r="M39" s="1484">
        <v>0.15</v>
      </c>
      <c r="N39" s="2066"/>
      <c r="O39" s="2066"/>
      <c r="P39" s="2066"/>
      <c r="Q39" s="2066"/>
      <c r="R39" s="2067"/>
      <c r="S39" s="2067"/>
      <c r="T39" s="2067"/>
      <c r="U39" s="2067"/>
      <c r="V39" s="2067"/>
      <c r="W39" s="2066"/>
      <c r="X39" s="2066"/>
      <c r="Y39" s="2066"/>
      <c r="Z39" s="2066"/>
      <c r="AA39" s="2066"/>
      <c r="AB39" s="2066"/>
      <c r="AC39" s="2067"/>
    </row>
    <row r="40" spans="1:44" s="1348"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9"/>
      <c r="AE40" s="1349"/>
      <c r="AF40" s="1349"/>
      <c r="AG40" s="1349"/>
      <c r="AH40" s="1349"/>
      <c r="AI40" s="1349"/>
      <c r="AJ40" s="1349"/>
      <c r="AK40" s="1349"/>
      <c r="AL40" s="1349"/>
      <c r="AM40" s="1349"/>
    </row>
    <row r="41" spans="1:44" s="1348" customFormat="1" ht="12.75">
      <c r="A41" s="1349"/>
      <c r="B41" s="2827" t="s">
        <v>2945</v>
      </c>
      <c r="C41" s="826">
        <f ca="1">ROUND(POWER(1+E41,H41-G41)*(POWER(1+E41,G41)-1)/(POWER(1+E41,H41)-1),4)</f>
        <v>0.87780000000000002</v>
      </c>
      <c r="D41" s="370" t="s">
        <v>2943</v>
      </c>
      <c r="E41" s="2826">
        <f ca="1">G20</f>
        <v>0.05</v>
      </c>
      <c r="F41" s="370" t="s">
        <v>2944</v>
      </c>
      <c r="G41" s="388">
        <f>项目基本情况!G19</f>
        <v>33.119999999999997</v>
      </c>
      <c r="H41" s="370">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9"/>
      <c r="AE41" s="1349"/>
      <c r="AF41" s="1349"/>
      <c r="AG41" s="1349"/>
      <c r="AH41" s="1349"/>
      <c r="AI41" s="1349"/>
      <c r="AJ41" s="1349"/>
      <c r="AK41" s="1349"/>
      <c r="AL41" s="1349"/>
      <c r="AM41" s="1349"/>
    </row>
    <row r="42" spans="1:44" s="1348" customFormat="1">
      <c r="A42" s="1349"/>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9"/>
      <c r="AE42" s="1349"/>
      <c r="AF42" s="1349"/>
      <c r="AG42" s="1349"/>
      <c r="AH42" s="1349"/>
      <c r="AI42" s="1349"/>
      <c r="AJ42" s="1349"/>
      <c r="AK42" s="1349"/>
      <c r="AL42" s="1349"/>
      <c r="AM42" s="1349"/>
    </row>
    <row r="43" spans="1:44" s="1348" customFormat="1">
      <c r="A43" s="1349"/>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9"/>
      <c r="AE43" s="1349"/>
      <c r="AF43" s="1349"/>
      <c r="AG43" s="1349"/>
      <c r="AH43" s="1349"/>
      <c r="AI43" s="1349"/>
      <c r="AJ43" s="1349"/>
      <c r="AK43" s="1349"/>
      <c r="AL43" s="1349"/>
      <c r="AM43" s="1349"/>
    </row>
    <row r="44" spans="1:44" s="1348" customFormat="1" ht="15" thickBot="1">
      <c r="A44" s="2270" t="s">
        <v>997</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9"/>
      <c r="AE44" s="1349"/>
      <c r="AF44" s="1349"/>
      <c r="AG44" s="1349"/>
      <c r="AH44" s="1349"/>
      <c r="AI44" s="1349"/>
      <c r="AJ44" s="1349"/>
      <c r="AK44" s="1349"/>
      <c r="AL44" s="1349"/>
      <c r="AM44" s="1349"/>
    </row>
    <row r="45" spans="1:44" s="1348" customFormat="1" ht="15" hidden="1">
      <c r="A45" s="2275" t="s">
        <v>966</v>
      </c>
      <c r="B45" s="2276">
        <f>1+E47</f>
        <v>1</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9"/>
      <c r="AE45" s="1349"/>
      <c r="AF45" s="1349"/>
      <c r="AG45" s="1349"/>
      <c r="AH45" s="1349"/>
      <c r="AI45" s="1349"/>
      <c r="AJ45" s="1349"/>
      <c r="AK45" s="1349"/>
      <c r="AL45" s="1349"/>
      <c r="AM45" s="1349"/>
    </row>
    <row r="46" spans="1:44" s="1348" customFormat="1" ht="24" hidden="1">
      <c r="A46" s="1048" t="s">
        <v>999</v>
      </c>
      <c r="B46" s="2259" t="s">
        <v>1000</v>
      </c>
      <c r="C46" s="2281" t="s">
        <v>1001</v>
      </c>
      <c r="D46" s="2282" t="s">
        <v>1002</v>
      </c>
      <c r="E46" s="2283" t="s">
        <v>1004</v>
      </c>
      <c r="F46" s="2284" t="s">
        <v>2238</v>
      </c>
      <c r="G46" s="2282" t="s">
        <v>1005</v>
      </c>
      <c r="H46" s="2265" t="s">
        <v>2402</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9"/>
      <c r="AF46" s="1349"/>
      <c r="AG46" s="1349"/>
      <c r="AH46" s="1349"/>
      <c r="AI46" s="1349"/>
      <c r="AJ46" s="1349"/>
      <c r="AK46" s="1349"/>
      <c r="AL46" s="1349"/>
      <c r="AM46" s="1349"/>
      <c r="AN46" s="1349"/>
    </row>
    <row r="47" spans="1:44" s="1348" customFormat="1" ht="24" hidden="1">
      <c r="A47" s="1048" t="s">
        <v>1011</v>
      </c>
      <c r="B47" s="2262" t="str">
        <f>估价对象房地状况!C16</f>
        <v>安泰购购物中心 1.2，商业繁华度一般</v>
      </c>
      <c r="C47" s="1035"/>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9"/>
      <c r="AF47" s="1349"/>
      <c r="AG47" s="1349"/>
      <c r="AH47" s="1349"/>
      <c r="AI47" s="1349"/>
      <c r="AJ47" s="1349"/>
      <c r="AK47" s="1349"/>
      <c r="AL47" s="1349"/>
      <c r="AM47" s="1349"/>
      <c r="AN47" s="1349"/>
    </row>
    <row r="48" spans="1:44" s="1348" customFormat="1" ht="84" hidden="1">
      <c r="A48" s="1048" t="s">
        <v>1012</v>
      </c>
      <c r="B48" s="2259" t="str">
        <f>估价对象房地状况!C18</f>
        <v>紧邻地铁16号线（西北旺站），周边有333路、384路、438路、570路、575路、623路、902路、908路、909路、快速直达专线152路、专143路等多条公交线路，交通便捷度好</v>
      </c>
      <c r="C48" s="1035"/>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9"/>
      <c r="AF48" s="1349"/>
      <c r="AG48" s="1349"/>
      <c r="AH48" s="1349"/>
      <c r="AI48" s="1349"/>
      <c r="AJ48" s="1349"/>
      <c r="AK48" s="1349"/>
      <c r="AL48" s="1349"/>
      <c r="AM48" s="1349"/>
      <c r="AN48" s="1349"/>
    </row>
    <row r="49" spans="1:40" s="1348" customFormat="1" ht="24" hidden="1">
      <c r="A49" s="1048" t="s">
        <v>1013</v>
      </c>
      <c r="B49" s="2259">
        <f>估价对象房地状况!C19</f>
        <v>0</v>
      </c>
      <c r="C49" s="1035"/>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9"/>
      <c r="AF49" s="1349"/>
      <c r="AG49" s="1349"/>
      <c r="AH49" s="1349"/>
      <c r="AI49" s="1349"/>
      <c r="AJ49" s="1349"/>
      <c r="AK49" s="1349"/>
      <c r="AL49" s="1349"/>
      <c r="AM49" s="1349"/>
      <c r="AN49" s="1349"/>
    </row>
    <row r="50" spans="1:40" s="1348" customFormat="1" ht="36" hidden="1">
      <c r="A50" s="1048" t="s">
        <v>1014</v>
      </c>
      <c r="B50" s="2779" t="s">
        <v>2901</v>
      </c>
      <c r="C50" s="1035"/>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9"/>
      <c r="AF50" s="1349"/>
      <c r="AG50" s="1349"/>
      <c r="AH50" s="1349"/>
      <c r="AI50" s="1349"/>
      <c r="AJ50" s="1349"/>
      <c r="AK50" s="1349"/>
      <c r="AL50" s="1349"/>
      <c r="AM50" s="1349"/>
      <c r="AN50" s="1349"/>
    </row>
    <row r="51" spans="1:40" s="1348" customFormat="1" ht="24" hidden="1">
      <c r="A51" s="1048" t="s">
        <v>1015</v>
      </c>
      <c r="B51" s="2259">
        <f>估价对象房地状况!C24</f>
        <v>0</v>
      </c>
      <c r="C51" s="1035"/>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9"/>
      <c r="AF51" s="1349"/>
      <c r="AG51" s="1349"/>
      <c r="AH51" s="1349"/>
      <c r="AI51" s="1349"/>
      <c r="AJ51" s="1349"/>
      <c r="AK51" s="1349"/>
      <c r="AL51" s="1349"/>
      <c r="AM51" s="1349"/>
      <c r="AN51" s="1349"/>
    </row>
    <row r="52" spans="1:40" s="1348" customFormat="1" ht="24" hidden="1">
      <c r="A52" s="1048" t="s">
        <v>1016</v>
      </c>
      <c r="B52" s="2778" t="s">
        <v>2900</v>
      </c>
      <c r="C52" s="1035"/>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9"/>
      <c r="AF52" s="1349"/>
      <c r="AG52" s="1349"/>
      <c r="AH52" s="1349"/>
      <c r="AI52" s="1349"/>
      <c r="AJ52" s="1349"/>
      <c r="AK52" s="1349"/>
      <c r="AL52" s="1349"/>
      <c r="AM52" s="1349"/>
      <c r="AN52" s="1349"/>
    </row>
    <row r="53" spans="1:40" s="1348" customFormat="1" ht="144" hidden="1">
      <c r="A53" s="2291" t="s">
        <v>1017</v>
      </c>
      <c r="B5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53" s="1035"/>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9"/>
      <c r="AF53" s="1349"/>
      <c r="AG53" s="1349"/>
      <c r="AH53" s="1349"/>
      <c r="AI53" s="1349"/>
      <c r="AJ53" s="1349"/>
      <c r="AK53" s="1349"/>
      <c r="AL53" s="1349"/>
      <c r="AM53" s="1349"/>
      <c r="AN53" s="1349"/>
    </row>
    <row r="54" spans="1:40" s="1348" customFormat="1" ht="24" hidden="1">
      <c r="A54" s="2291" t="s">
        <v>1018</v>
      </c>
      <c r="B54" s="2259" t="str">
        <f>估价对象房地状况!C22</f>
        <v>七通</v>
      </c>
      <c r="C54" s="1035"/>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9"/>
      <c r="AF54" s="1349"/>
      <c r="AG54" s="1349"/>
      <c r="AH54" s="1349"/>
      <c r="AI54" s="1349"/>
      <c r="AJ54" s="1349"/>
      <c r="AK54" s="1349"/>
      <c r="AL54" s="1349"/>
      <c r="AM54" s="1349"/>
      <c r="AN54" s="1349"/>
    </row>
    <row r="55" spans="1:40" s="1348" customFormat="1" ht="84.75" hidden="1" thickBot="1">
      <c r="A55" s="2292" t="s">
        <v>1019</v>
      </c>
      <c r="B55" s="2263" t="str">
        <f>估价对象房地状况!C20</f>
        <v>区域自然环境：百望山、药用植物园、百旺公园、首师大附中口袋公园、中关村公园、小关村公园、京密引水渠等；人文环境：西北旺镇政府；综合评价环境状况较好</v>
      </c>
      <c r="C55" s="1035"/>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9"/>
      <c r="AF55" s="1349"/>
      <c r="AG55" s="1349"/>
      <c r="AH55" s="1349"/>
      <c r="AI55" s="1349"/>
      <c r="AJ55" s="1349"/>
      <c r="AK55" s="1349"/>
      <c r="AL55" s="1349"/>
      <c r="AM55" s="1349"/>
      <c r="AN55" s="1349"/>
    </row>
    <row r="56" spans="1:40" s="1348" customFormat="1" ht="15" hidden="1">
      <c r="A56" s="2275" t="s">
        <v>969</v>
      </c>
      <c r="B56" s="2276" t="e">
        <f>1+E58</f>
        <v>#VALUE!</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9"/>
      <c r="AF56" s="1349"/>
      <c r="AG56" s="1349"/>
      <c r="AH56" s="1349"/>
      <c r="AI56" s="1349"/>
      <c r="AJ56" s="1349"/>
      <c r="AK56" s="1349"/>
      <c r="AL56" s="1349"/>
      <c r="AM56" s="1349"/>
      <c r="AN56" s="1349"/>
    </row>
    <row r="57" spans="1:40" s="1348" customFormat="1" ht="24" hidden="1">
      <c r="A57" s="1048" t="s">
        <v>999</v>
      </c>
      <c r="B57" s="2259"/>
      <c r="C57" s="2281" t="s">
        <v>1001</v>
      </c>
      <c r="D57" s="2282" t="s">
        <v>1002</v>
      </c>
      <c r="E57" s="2283" t="s">
        <v>1004</v>
      </c>
      <c r="F57" s="2284" t="s">
        <v>2238</v>
      </c>
      <c r="G57" s="2282" t="s">
        <v>1005</v>
      </c>
      <c r="H57" s="2265" t="s">
        <v>2402</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9"/>
      <c r="AF57" s="1349"/>
      <c r="AG57" s="1349"/>
      <c r="AH57" s="1349"/>
      <c r="AI57" s="1349"/>
      <c r="AJ57" s="1349"/>
      <c r="AK57" s="1349"/>
      <c r="AL57" s="1349"/>
      <c r="AM57" s="1349"/>
      <c r="AN57" s="1349"/>
    </row>
    <row r="58" spans="1:40" s="1348" customFormat="1" ht="78.599999999999994" hidden="1" customHeight="1">
      <c r="A58" s="1048" t="s">
        <v>1021</v>
      </c>
      <c r="B58" s="2262" t="str">
        <f>估价对象房地状况!C17</f>
        <v>卫生大厦、新浪总部大厦、百度科技园、网易大厦、腾讯北京总部大楼、联想总部等，办公集聚程度较好</v>
      </c>
      <c r="C58" s="1035" t="s">
        <v>3042</v>
      </c>
      <c r="D58" s="2268" t="e">
        <f t="shared" ref="D58:D66" si="15">SUMIF($J$57:$N$57,C58,J58:N58)</f>
        <v>#VALUE!</v>
      </c>
      <c r="E58" s="2287" t="e">
        <f>ROUND(SUM(D58:D66),4)</f>
        <v>#VALUE!</v>
      </c>
      <c r="F58" s="2288" t="str">
        <f>IF(E2="办公",SUMIF(L1:L12,G2,N1:N12),"——")</f>
        <v>——</v>
      </c>
      <c r="G58" s="2266" t="str">
        <f>H58</f>
        <v>——</v>
      </c>
      <c r="H58" s="2311" t="str">
        <f>IFERROR(ROUNDDOWN($F$58*I58/2,4),"——")</f>
        <v>——</v>
      </c>
      <c r="I58" s="2286">
        <v>0.24</v>
      </c>
      <c r="J58" s="2289" t="e">
        <f t="shared" ref="J58:J66" si="16">K58+$G58</f>
        <v>#VALUE!</v>
      </c>
      <c r="K58" s="2289" t="e">
        <f t="shared" ref="K58:K66" si="17">$L58+$G58</f>
        <v>#VALUE!</v>
      </c>
      <c r="L58" s="2289">
        <v>0</v>
      </c>
      <c r="M58" s="2289" t="e">
        <f t="shared" ref="M58:N66" si="18">L58-$G58</f>
        <v>#VALUE!</v>
      </c>
      <c r="N58" s="2289" t="e">
        <f t="shared" si="18"/>
        <v>#VALUE!</v>
      </c>
      <c r="P58" s="2073"/>
      <c r="Q58" s="2073"/>
      <c r="R58" s="2074"/>
      <c r="S58" s="2074"/>
      <c r="T58" s="2074"/>
      <c r="U58" s="2074"/>
      <c r="V58" s="2074"/>
      <c r="W58" s="2073"/>
      <c r="X58" s="2073"/>
      <c r="Y58" s="2073"/>
      <c r="Z58" s="2073"/>
      <c r="AA58" s="2073"/>
      <c r="AB58" s="2073"/>
      <c r="AC58" s="2073"/>
      <c r="AD58" s="2074"/>
      <c r="AE58" s="1349"/>
      <c r="AF58" s="1349"/>
      <c r="AG58" s="1349"/>
      <c r="AH58" s="1349"/>
      <c r="AI58" s="1349"/>
      <c r="AJ58" s="1349"/>
      <c r="AK58" s="1349"/>
      <c r="AL58" s="1349"/>
      <c r="AM58" s="1349"/>
      <c r="AN58" s="1349"/>
    </row>
    <row r="59" spans="1:40" s="1348" customFormat="1" ht="87" hidden="1" customHeight="1">
      <c r="A59" s="1048" t="s">
        <v>1012</v>
      </c>
      <c r="B59" s="2259" t="str">
        <f>估价对象房地状况!C18</f>
        <v>紧邻地铁16号线（西北旺站），周边有333路、384路、438路、570路、575路、623路、902路、908路、909路、快速直达专线152路、专143路等多条公交线路，交通便捷度好</v>
      </c>
      <c r="C59" s="1035" t="s">
        <v>3041</v>
      </c>
      <c r="D59" s="2268" t="e">
        <f t="shared" si="15"/>
        <v>#VALUE!</v>
      </c>
      <c r="E59" s="2290"/>
      <c r="F59" s="2288"/>
      <c r="G59" s="2266" t="str">
        <f t="shared" ref="G59:G66" si="19">H59</f>
        <v>——</v>
      </c>
      <c r="H59" s="2267" t="str">
        <f t="shared" ref="H59:H66" si="20">IFERROR($F$58*I59/2,"——")</f>
        <v>——</v>
      </c>
      <c r="I59" s="2286">
        <v>0.3</v>
      </c>
      <c r="J59" s="2289" t="e">
        <f t="shared" si="16"/>
        <v>#VALUE!</v>
      </c>
      <c r="K59" s="2289" t="e">
        <f t="shared" si="17"/>
        <v>#VALUE!</v>
      </c>
      <c r="L59" s="2289">
        <v>0</v>
      </c>
      <c r="M59" s="2289" t="e">
        <f t="shared" si="18"/>
        <v>#VALUE!</v>
      </c>
      <c r="N59" s="2289" t="e">
        <f t="shared" si="18"/>
        <v>#VALUE!</v>
      </c>
      <c r="P59" s="2073"/>
      <c r="Q59" s="2073"/>
      <c r="R59" s="2074"/>
      <c r="S59" s="2074"/>
      <c r="T59" s="2074"/>
      <c r="U59" s="2074"/>
      <c r="V59" s="2074"/>
      <c r="W59" s="2073"/>
      <c r="X59" s="2073"/>
      <c r="Y59" s="2073"/>
      <c r="Z59" s="2073"/>
      <c r="AA59" s="2073"/>
      <c r="AB59" s="2073"/>
      <c r="AC59" s="2073"/>
      <c r="AD59" s="2074"/>
      <c r="AE59" s="1349"/>
      <c r="AF59" s="1349"/>
      <c r="AG59" s="1349"/>
      <c r="AH59" s="1349"/>
      <c r="AI59" s="1349"/>
      <c r="AJ59" s="1349"/>
      <c r="AK59" s="1349"/>
      <c r="AL59" s="1349"/>
      <c r="AM59" s="1349"/>
      <c r="AN59" s="1349"/>
    </row>
    <row r="60" spans="1:40" s="1348" customFormat="1" ht="24" hidden="1">
      <c r="A60" s="1048" t="s">
        <v>1013</v>
      </c>
      <c r="B60" s="2259">
        <f>估价对象房地状况!C19</f>
        <v>0</v>
      </c>
      <c r="C60" s="1035" t="s">
        <v>3042</v>
      </c>
      <c r="D60" s="2268" t="e">
        <f t="shared" si="15"/>
        <v>#VALUE!</v>
      </c>
      <c r="E60" s="2290"/>
      <c r="F60" s="2288"/>
      <c r="G60" s="2266" t="str">
        <f t="shared" si="19"/>
        <v>——</v>
      </c>
      <c r="H60" s="2267" t="str">
        <f t="shared" si="20"/>
        <v>——</v>
      </c>
      <c r="I60" s="2286">
        <v>0.08</v>
      </c>
      <c r="J60" s="2289" t="e">
        <f t="shared" si="16"/>
        <v>#VALUE!</v>
      </c>
      <c r="K60" s="2289" t="e">
        <f t="shared" si="17"/>
        <v>#VALUE!</v>
      </c>
      <c r="L60" s="2289">
        <v>0</v>
      </c>
      <c r="M60" s="2289" t="e">
        <f t="shared" si="18"/>
        <v>#VALUE!</v>
      </c>
      <c r="N60" s="2289" t="e">
        <f t="shared" si="18"/>
        <v>#VALUE!</v>
      </c>
      <c r="P60" s="2073"/>
      <c r="Q60" s="2073"/>
      <c r="R60" s="2074"/>
      <c r="S60" s="2074"/>
      <c r="T60" s="2074"/>
      <c r="U60" s="2074"/>
      <c r="V60" s="2074"/>
      <c r="W60" s="2073"/>
      <c r="X60" s="2073"/>
      <c r="Y60" s="2073"/>
      <c r="Z60" s="2073"/>
      <c r="AA60" s="2073"/>
      <c r="AB60" s="2073"/>
      <c r="AC60" s="2073"/>
      <c r="AD60" s="2074"/>
      <c r="AE60" s="1349"/>
      <c r="AF60" s="1349"/>
      <c r="AG60" s="1349"/>
      <c r="AH60" s="1349"/>
      <c r="AI60" s="1349"/>
      <c r="AJ60" s="1349"/>
      <c r="AK60" s="1349"/>
      <c r="AL60" s="1349"/>
      <c r="AM60" s="1349"/>
      <c r="AN60" s="1349"/>
    </row>
    <row r="61" spans="1:40" s="1348" customFormat="1" ht="36" hidden="1">
      <c r="A61" s="1048" t="s">
        <v>1014</v>
      </c>
      <c r="B61" s="2779" t="s">
        <v>2901</v>
      </c>
      <c r="C61" s="1035" t="s">
        <v>3042</v>
      </c>
      <c r="D61" s="2268" t="e">
        <f t="shared" si="15"/>
        <v>#VALUE!</v>
      </c>
      <c r="E61" s="2290"/>
      <c r="F61" s="2288"/>
      <c r="G61" s="2266" t="str">
        <f t="shared" si="19"/>
        <v>——</v>
      </c>
      <c r="H61" s="2267" t="str">
        <f t="shared" si="20"/>
        <v>——</v>
      </c>
      <c r="I61" s="2286">
        <v>0.04</v>
      </c>
      <c r="J61" s="2289" t="e">
        <f t="shared" si="16"/>
        <v>#VALUE!</v>
      </c>
      <c r="K61" s="2289" t="e">
        <f t="shared" si="17"/>
        <v>#VALUE!</v>
      </c>
      <c r="L61" s="2289">
        <v>0</v>
      </c>
      <c r="M61" s="2289" t="e">
        <f t="shared" si="18"/>
        <v>#VALUE!</v>
      </c>
      <c r="N61" s="2289" t="e">
        <f t="shared" si="18"/>
        <v>#VALUE!</v>
      </c>
      <c r="P61" s="2073"/>
      <c r="Q61" s="2073"/>
      <c r="R61" s="2074"/>
      <c r="S61" s="2074"/>
      <c r="T61" s="2074"/>
      <c r="U61" s="2074"/>
      <c r="V61" s="2074"/>
      <c r="W61" s="2073"/>
      <c r="X61" s="2073"/>
      <c r="Y61" s="2073"/>
      <c r="Z61" s="2073"/>
      <c r="AA61" s="2073"/>
      <c r="AB61" s="2073"/>
      <c r="AC61" s="2073"/>
      <c r="AD61" s="2074"/>
      <c r="AE61" s="1349"/>
      <c r="AF61" s="1349"/>
      <c r="AG61" s="1349"/>
      <c r="AH61" s="1349"/>
      <c r="AI61" s="1349"/>
      <c r="AJ61" s="1349"/>
      <c r="AK61" s="1349"/>
      <c r="AL61" s="1349"/>
      <c r="AM61" s="1349"/>
      <c r="AN61" s="1349"/>
    </row>
    <row r="62" spans="1:40" s="1348" customFormat="1" ht="24" hidden="1">
      <c r="A62" s="1048" t="s">
        <v>1015</v>
      </c>
      <c r="B62" s="2259">
        <f>估价对象房地状况!C24</f>
        <v>0</v>
      </c>
      <c r="C62" s="1035" t="s">
        <v>3042</v>
      </c>
      <c r="D62" s="2268" t="e">
        <f t="shared" si="15"/>
        <v>#VALUE!</v>
      </c>
      <c r="E62" s="2290"/>
      <c r="F62" s="2288"/>
      <c r="G62" s="2266" t="str">
        <f t="shared" si="19"/>
        <v>——</v>
      </c>
      <c r="H62" s="2267" t="str">
        <f t="shared" si="20"/>
        <v>——</v>
      </c>
      <c r="I62" s="2286">
        <v>0.05</v>
      </c>
      <c r="J62" s="2289" t="e">
        <f t="shared" si="16"/>
        <v>#VALUE!</v>
      </c>
      <c r="K62" s="2289" t="e">
        <f t="shared" si="17"/>
        <v>#VALUE!</v>
      </c>
      <c r="L62" s="2289">
        <v>0</v>
      </c>
      <c r="M62" s="2289" t="e">
        <f t="shared" si="18"/>
        <v>#VALUE!</v>
      </c>
      <c r="N62" s="2289" t="e">
        <f t="shared" si="18"/>
        <v>#VALUE!</v>
      </c>
      <c r="P62" s="2073"/>
      <c r="Q62" s="2073"/>
      <c r="R62" s="2074"/>
      <c r="S62" s="2074"/>
      <c r="T62" s="2074"/>
      <c r="U62" s="2074"/>
      <c r="V62" s="2074"/>
      <c r="W62" s="2073"/>
      <c r="X62" s="2073"/>
      <c r="Y62" s="2073"/>
      <c r="Z62" s="2073"/>
      <c r="AA62" s="2073"/>
      <c r="AB62" s="2073"/>
      <c r="AC62" s="2073"/>
      <c r="AD62" s="2074"/>
      <c r="AE62" s="1349"/>
      <c r="AF62" s="1349"/>
      <c r="AG62" s="1349"/>
      <c r="AH62" s="1349"/>
      <c r="AI62" s="1349"/>
      <c r="AJ62" s="1349"/>
      <c r="AK62" s="1349"/>
      <c r="AL62" s="1349"/>
      <c r="AM62" s="1349"/>
      <c r="AN62" s="1349"/>
    </row>
    <row r="63" spans="1:40" s="1348" customFormat="1" ht="24" hidden="1">
      <c r="A63" s="1048" t="s">
        <v>1016</v>
      </c>
      <c r="B63" s="2778" t="s">
        <v>2900</v>
      </c>
      <c r="C63" s="1035" t="s">
        <v>3041</v>
      </c>
      <c r="D63" s="2268" t="e">
        <f t="shared" si="15"/>
        <v>#VALUE!</v>
      </c>
      <c r="E63" s="2290"/>
      <c r="F63" s="2288"/>
      <c r="G63" s="2266" t="str">
        <f t="shared" si="19"/>
        <v>——</v>
      </c>
      <c r="H63" s="2267" t="str">
        <f t="shared" si="20"/>
        <v>——</v>
      </c>
      <c r="I63" s="2286">
        <v>0.05</v>
      </c>
      <c r="J63" s="2289" t="e">
        <f t="shared" si="16"/>
        <v>#VALUE!</v>
      </c>
      <c r="K63" s="2289" t="e">
        <f t="shared" si="17"/>
        <v>#VALUE!</v>
      </c>
      <c r="L63" s="2289">
        <v>0</v>
      </c>
      <c r="M63" s="2289" t="e">
        <f t="shared" si="18"/>
        <v>#VALUE!</v>
      </c>
      <c r="N63" s="2289" t="e">
        <f t="shared" si="18"/>
        <v>#VALUE!</v>
      </c>
      <c r="P63" s="2073"/>
      <c r="Q63" s="2073"/>
      <c r="R63" s="2074"/>
      <c r="S63" s="2074"/>
      <c r="T63" s="2074"/>
      <c r="U63" s="2074"/>
      <c r="V63" s="2074"/>
      <c r="W63" s="2073"/>
      <c r="X63" s="2073"/>
      <c r="Y63" s="2073"/>
      <c r="Z63" s="2073"/>
      <c r="AA63" s="2073"/>
      <c r="AB63" s="2073"/>
      <c r="AC63" s="2073"/>
      <c r="AD63" s="2074"/>
      <c r="AE63" s="1349"/>
      <c r="AF63" s="1349"/>
      <c r="AG63" s="1349"/>
      <c r="AH63" s="1349"/>
      <c r="AI63" s="1349"/>
      <c r="AJ63" s="1349"/>
      <c r="AK63" s="1349"/>
      <c r="AL63" s="1349"/>
      <c r="AM63" s="1349"/>
      <c r="AN63" s="1349"/>
    </row>
    <row r="64" spans="1:40" s="1348" customFormat="1" ht="173.1" hidden="1" customHeight="1">
      <c r="A64" s="1048" t="s">
        <v>1017</v>
      </c>
      <c r="B64"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64" s="1035" t="s">
        <v>3042</v>
      </c>
      <c r="D64" s="2268" t="e">
        <f t="shared" si="15"/>
        <v>#VALUE!</v>
      </c>
      <c r="E64" s="2290"/>
      <c r="F64" s="2288"/>
      <c r="G64" s="2266" t="str">
        <f t="shared" si="19"/>
        <v>——</v>
      </c>
      <c r="H64" s="2267" t="str">
        <f t="shared" si="20"/>
        <v>——</v>
      </c>
      <c r="I64" s="2286">
        <v>0.06</v>
      </c>
      <c r="J64" s="2289" t="e">
        <f t="shared" si="16"/>
        <v>#VALUE!</v>
      </c>
      <c r="K64" s="2289" t="e">
        <f t="shared" si="17"/>
        <v>#VALUE!</v>
      </c>
      <c r="L64" s="2289">
        <v>0</v>
      </c>
      <c r="M64" s="2289" t="e">
        <f t="shared" si="18"/>
        <v>#VALUE!</v>
      </c>
      <c r="N64" s="2289" t="e">
        <f t="shared" si="18"/>
        <v>#VALUE!</v>
      </c>
      <c r="P64" s="2073"/>
      <c r="Q64" s="2073"/>
      <c r="R64" s="2074"/>
      <c r="S64" s="2074"/>
      <c r="T64" s="2074"/>
      <c r="U64" s="2074"/>
      <c r="V64" s="2074"/>
      <c r="W64" s="2073"/>
      <c r="X64" s="2073"/>
      <c r="Y64" s="2073"/>
      <c r="Z64" s="2073"/>
      <c r="AA64" s="2073"/>
      <c r="AB64" s="2073"/>
      <c r="AC64" s="2073"/>
      <c r="AD64" s="2074"/>
      <c r="AE64" s="1349"/>
      <c r="AF64" s="1349"/>
      <c r="AG64" s="1349"/>
      <c r="AH64" s="1349"/>
      <c r="AI64" s="1349"/>
      <c r="AJ64" s="1349"/>
      <c r="AK64" s="1349"/>
      <c r="AL64" s="1349"/>
      <c r="AM64" s="1349"/>
      <c r="AN64" s="1349"/>
    </row>
    <row r="65" spans="1:40" s="1348" customFormat="1" ht="24" hidden="1">
      <c r="A65" s="1048" t="s">
        <v>1018</v>
      </c>
      <c r="B65" s="2260" t="str">
        <f>估价对象房地状况!C22</f>
        <v>七通</v>
      </c>
      <c r="C65" s="1035" t="s">
        <v>3041</v>
      </c>
      <c r="D65" s="2268" t="e">
        <f t="shared" si="15"/>
        <v>#VALUE!</v>
      </c>
      <c r="E65" s="2290"/>
      <c r="F65" s="2288"/>
      <c r="G65" s="2266" t="str">
        <f t="shared" si="19"/>
        <v>——</v>
      </c>
      <c r="H65" s="2267" t="str">
        <f t="shared" si="20"/>
        <v>——</v>
      </c>
      <c r="I65" s="2286">
        <v>0.12</v>
      </c>
      <c r="J65" s="2289" t="e">
        <f t="shared" si="16"/>
        <v>#VALUE!</v>
      </c>
      <c r="K65" s="2289" t="e">
        <f t="shared" si="17"/>
        <v>#VALUE!</v>
      </c>
      <c r="L65" s="2289">
        <v>0</v>
      </c>
      <c r="M65" s="2289" t="e">
        <f t="shared" si="18"/>
        <v>#VALUE!</v>
      </c>
      <c r="N65" s="2289" t="e">
        <f t="shared" si="18"/>
        <v>#VALUE!</v>
      </c>
      <c r="P65" s="2073"/>
      <c r="Q65" s="2073"/>
      <c r="R65" s="2074"/>
      <c r="S65" s="2074"/>
      <c r="T65" s="2074"/>
      <c r="U65" s="2074"/>
      <c r="V65" s="2074"/>
      <c r="W65" s="2073"/>
      <c r="X65" s="2073"/>
      <c r="Y65" s="2073"/>
      <c r="Z65" s="2073"/>
      <c r="AA65" s="2073"/>
      <c r="AB65" s="2073"/>
      <c r="AC65" s="2073"/>
      <c r="AD65" s="2074"/>
      <c r="AE65" s="1349"/>
      <c r="AF65" s="1349"/>
      <c r="AG65" s="1349"/>
      <c r="AH65" s="1349"/>
      <c r="AI65" s="1349"/>
      <c r="AJ65" s="1349"/>
      <c r="AK65" s="1349"/>
      <c r="AL65" s="1349"/>
      <c r="AM65" s="1349"/>
      <c r="AN65" s="1349"/>
    </row>
    <row r="66" spans="1:40" s="1348" customFormat="1" ht="92.1" hidden="1" customHeight="1" thickBot="1">
      <c r="A66" s="2292" t="s">
        <v>1019</v>
      </c>
      <c r="B66" s="2264" t="str">
        <f>估价对象房地状况!C20</f>
        <v>区域自然环境：百望山、药用植物园、百旺公园、首师大附中口袋公园、中关村公园、小关村公园、京密引水渠等；人文环境：西北旺镇政府；综合评价环境状况较好</v>
      </c>
      <c r="C66" s="1035" t="s">
        <v>3042</v>
      </c>
      <c r="D66" s="2268" t="e">
        <f t="shared" si="15"/>
        <v>#VALUE!</v>
      </c>
      <c r="E66" s="2294"/>
      <c r="F66" s="2288"/>
      <c r="G66" s="2266" t="str">
        <f t="shared" si="19"/>
        <v>——</v>
      </c>
      <c r="H66" s="2267" t="str">
        <f t="shared" si="20"/>
        <v>——</v>
      </c>
      <c r="I66" s="2293">
        <v>0.06</v>
      </c>
      <c r="J66" s="2289" t="e">
        <f t="shared" si="16"/>
        <v>#VALUE!</v>
      </c>
      <c r="K66" s="2289" t="e">
        <f t="shared" si="17"/>
        <v>#VALUE!</v>
      </c>
      <c r="L66" s="2289">
        <v>0</v>
      </c>
      <c r="M66" s="2289" t="e">
        <f t="shared" si="18"/>
        <v>#VALUE!</v>
      </c>
      <c r="N66" s="2289" t="e">
        <f t="shared" si="18"/>
        <v>#VALUE!</v>
      </c>
      <c r="P66" s="2073"/>
      <c r="Q66" s="2073"/>
      <c r="R66" s="2074"/>
      <c r="S66" s="2074"/>
      <c r="T66" s="2074"/>
      <c r="U66" s="2074"/>
      <c r="V66" s="2074"/>
      <c r="W66" s="2073"/>
      <c r="X66" s="2073"/>
      <c r="Y66" s="2073"/>
      <c r="Z66" s="2073"/>
      <c r="AA66" s="2073"/>
      <c r="AB66" s="2073"/>
      <c r="AC66" s="2073"/>
      <c r="AD66" s="2074"/>
      <c r="AE66" s="1349"/>
      <c r="AF66" s="1349"/>
      <c r="AG66" s="1349"/>
      <c r="AH66" s="1349"/>
      <c r="AI66" s="1349"/>
      <c r="AJ66" s="1349"/>
      <c r="AK66" s="1349"/>
      <c r="AL66" s="1349"/>
      <c r="AM66" s="1349"/>
      <c r="AN66" s="1349"/>
    </row>
    <row r="67" spans="1:40" s="1348" customFormat="1" ht="15">
      <c r="A67" s="2275" t="s">
        <v>893</v>
      </c>
      <c r="B67" s="2276">
        <f>1+E69</f>
        <v>1.0572999999999999</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9"/>
      <c r="AF67" s="1349"/>
      <c r="AG67" s="1349"/>
      <c r="AH67" s="1349"/>
      <c r="AI67" s="1349"/>
      <c r="AJ67" s="1349"/>
      <c r="AK67" s="1349"/>
      <c r="AL67" s="1349"/>
      <c r="AM67" s="1349"/>
      <c r="AN67" s="1349"/>
    </row>
    <row r="68" spans="1:40" s="1348" customFormat="1" ht="24">
      <c r="A68" s="1048" t="s">
        <v>999</v>
      </c>
      <c r="B68" s="2259"/>
      <c r="C68" s="2281" t="s">
        <v>1001</v>
      </c>
      <c r="D68" s="2282" t="s">
        <v>1002</v>
      </c>
      <c r="E68" s="2283" t="s">
        <v>1004</v>
      </c>
      <c r="F68" s="2284" t="s">
        <v>2238</v>
      </c>
      <c r="G68" s="2282" t="s">
        <v>1005</v>
      </c>
      <c r="H68" s="2265" t="s">
        <v>2402</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9"/>
      <c r="AF68" s="1349"/>
      <c r="AG68" s="1349"/>
      <c r="AH68" s="1349"/>
      <c r="AI68" s="1349"/>
      <c r="AJ68" s="1349"/>
      <c r="AK68" s="1349"/>
      <c r="AL68" s="1349"/>
      <c r="AM68" s="1349"/>
      <c r="AN68" s="1349"/>
    </row>
    <row r="69" spans="1:40" s="1348" customFormat="1" ht="48">
      <c r="A69" s="1048" t="s">
        <v>1023</v>
      </c>
      <c r="B69" s="2262" t="str">
        <f>估价对象房地状况!C15</f>
        <v>估价对象周边居住用地比例、居住小区规模和社区发展完善程度，综合评价居住社区成熟度一般</v>
      </c>
      <c r="C69" s="1140" t="s">
        <v>3042</v>
      </c>
      <c r="D69" s="2268">
        <f t="shared" ref="D69:D77" si="21">SUMIF($J$68:$N$68,C69,J69:N69)</f>
        <v>6.3E-3</v>
      </c>
      <c r="E69" s="2287">
        <f>ROUND(SUM(D69:D77),4)</f>
        <v>5.7299999999999997E-2</v>
      </c>
      <c r="F69" s="2288">
        <f>IF(E2="住宅",SUMIF(L1:L12,G2,N1:N12),"——")</f>
        <v>9.0999999999999998E-2</v>
      </c>
      <c r="G69" s="2269">
        <f>H69</f>
        <v>6.3E-3</v>
      </c>
      <c r="H69" s="2312">
        <f t="shared" ref="H69:H77" si="22">IFERROR(ROUNDDOWN($F$69*I69/2,4),"——")</f>
        <v>6.3E-3</v>
      </c>
      <c r="I69" s="2268">
        <v>0.14000000000000001</v>
      </c>
      <c r="J69" s="2289">
        <f t="shared" ref="J69:J77" si="23">K69+$G69</f>
        <v>1.26E-2</v>
      </c>
      <c r="K69" s="2289">
        <f t="shared" ref="K69:K77" si="24">$L69+$G69</f>
        <v>6.3E-3</v>
      </c>
      <c r="L69" s="2289">
        <v>0</v>
      </c>
      <c r="M69" s="2289">
        <f t="shared" ref="M69:N77" si="25">L69-$G69</f>
        <v>-6.3E-3</v>
      </c>
      <c r="N69" s="2289">
        <f t="shared" si="25"/>
        <v>-1.26E-2</v>
      </c>
      <c r="P69" s="2073"/>
      <c r="Q69" s="2073"/>
      <c r="R69" s="2074"/>
      <c r="S69" s="2074"/>
      <c r="T69" s="2074"/>
      <c r="U69" s="2074"/>
      <c r="V69" s="2074"/>
      <c r="W69" s="2073"/>
      <c r="X69" s="2073"/>
      <c r="Y69" s="2073"/>
      <c r="Z69" s="2073"/>
      <c r="AA69" s="2073"/>
      <c r="AB69" s="2073"/>
      <c r="AC69" s="2073"/>
      <c r="AD69" s="2074"/>
      <c r="AE69" s="1349"/>
      <c r="AF69" s="1349"/>
      <c r="AG69" s="1349"/>
      <c r="AH69" s="1349"/>
      <c r="AI69" s="1349"/>
      <c r="AJ69" s="1349"/>
      <c r="AK69" s="1349"/>
      <c r="AL69" s="1349"/>
      <c r="AM69" s="1349"/>
      <c r="AN69" s="1349"/>
    </row>
    <row r="70" spans="1:40" s="1348" customFormat="1" ht="84">
      <c r="A70" s="1048" t="s">
        <v>1012</v>
      </c>
      <c r="B70" s="2259" t="str">
        <f>估价对象房地状况!C18</f>
        <v>紧邻地铁16号线（西北旺站），周边有333路、384路、438路、570路、575路、623路、902路、908路、909路、快速直达专线152路、专143路等多条公交线路，交通便捷度好</v>
      </c>
      <c r="C70" s="1140" t="s">
        <v>3042</v>
      </c>
      <c r="D70" s="2268">
        <f t="shared" si="21"/>
        <v>1.3599999999999999E-2</v>
      </c>
      <c r="E70" s="2296"/>
      <c r="F70" s="2297"/>
      <c r="G70" s="2269">
        <f t="shared" ref="G70:G77" si="26">H70</f>
        <v>1.3599999999999999E-2</v>
      </c>
      <c r="H70" s="2312">
        <f t="shared" si="22"/>
        <v>1.3599999999999999E-2</v>
      </c>
      <c r="I70" s="2268">
        <v>0.3</v>
      </c>
      <c r="J70" s="2289">
        <f t="shared" si="23"/>
        <v>2.7199999999999998E-2</v>
      </c>
      <c r="K70" s="2289">
        <f t="shared" si="24"/>
        <v>1.3599999999999999E-2</v>
      </c>
      <c r="L70" s="2289">
        <v>0</v>
      </c>
      <c r="M70" s="2289">
        <f t="shared" si="25"/>
        <v>-1.3599999999999999E-2</v>
      </c>
      <c r="N70" s="2289">
        <f t="shared" si="25"/>
        <v>-2.7199999999999998E-2</v>
      </c>
      <c r="P70" s="2073"/>
      <c r="Q70" s="2073"/>
      <c r="R70" s="2074"/>
      <c r="S70" s="2074"/>
      <c r="T70" s="2074"/>
      <c r="U70" s="2074"/>
      <c r="V70" s="2074"/>
      <c r="W70" s="2073"/>
      <c r="X70" s="2073"/>
      <c r="Y70" s="2073"/>
      <c r="Z70" s="2073"/>
      <c r="AA70" s="2073"/>
      <c r="AB70" s="2073"/>
      <c r="AC70" s="2073"/>
      <c r="AD70" s="2074"/>
      <c r="AE70" s="1349"/>
      <c r="AF70" s="1349"/>
      <c r="AG70" s="1349"/>
      <c r="AH70" s="1349"/>
      <c r="AI70" s="1349"/>
      <c r="AJ70" s="1349"/>
      <c r="AK70" s="1349"/>
      <c r="AL70" s="1349"/>
      <c r="AM70" s="1349"/>
      <c r="AN70" s="1349"/>
    </row>
    <row r="71" spans="1:40" s="1348" customFormat="1" ht="24">
      <c r="A71" s="1048" t="s">
        <v>1013</v>
      </c>
      <c r="B71" s="2259">
        <f>估价对象房地状况!C19</f>
        <v>0</v>
      </c>
      <c r="C71" s="1140" t="s">
        <v>3042</v>
      </c>
      <c r="D71" s="2268">
        <f t="shared" si="21"/>
        <v>3.5999999999999999E-3</v>
      </c>
      <c r="E71" s="2296"/>
      <c r="F71" s="2297"/>
      <c r="G71" s="2269">
        <f t="shared" si="26"/>
        <v>3.5999999999999999E-3</v>
      </c>
      <c r="H71" s="2312">
        <f t="shared" si="22"/>
        <v>3.5999999999999999E-3</v>
      </c>
      <c r="I71" s="2268">
        <v>0.08</v>
      </c>
      <c r="J71" s="2289">
        <f t="shared" si="23"/>
        <v>7.1999999999999998E-3</v>
      </c>
      <c r="K71" s="2289">
        <f t="shared" si="24"/>
        <v>3.5999999999999999E-3</v>
      </c>
      <c r="L71" s="2289">
        <v>0</v>
      </c>
      <c r="M71" s="2289">
        <f t="shared" si="25"/>
        <v>-3.5999999999999999E-3</v>
      </c>
      <c r="N71" s="2289">
        <f t="shared" si="25"/>
        <v>-7.1999999999999998E-3</v>
      </c>
      <c r="P71" s="2073"/>
      <c r="Q71" s="2073"/>
      <c r="R71" s="2074"/>
      <c r="S71" s="2074"/>
      <c r="T71" s="2074"/>
      <c r="U71" s="2074"/>
      <c r="V71" s="2074"/>
      <c r="W71" s="2073"/>
      <c r="X71" s="2073"/>
      <c r="Y71" s="2073"/>
      <c r="Z71" s="2073"/>
      <c r="AA71" s="2073"/>
      <c r="AB71" s="2073"/>
      <c r="AC71" s="2073"/>
      <c r="AD71" s="2074"/>
      <c r="AE71" s="1349"/>
      <c r="AF71" s="1349"/>
      <c r="AG71" s="1349"/>
      <c r="AH71" s="1349"/>
      <c r="AI71" s="1349"/>
      <c r="AJ71" s="1349"/>
      <c r="AK71" s="1349"/>
      <c r="AL71" s="1349"/>
      <c r="AM71" s="1349"/>
      <c r="AN71" s="1349"/>
    </row>
    <row r="72" spans="1:40" s="1348" customFormat="1" ht="14.25">
      <c r="A72" s="1048" t="s">
        <v>1025</v>
      </c>
      <c r="B72" s="2259">
        <f>估价对象房地状况!C24</f>
        <v>0</v>
      </c>
      <c r="C72" s="1140" t="s">
        <v>3042</v>
      </c>
      <c r="D72" s="2268">
        <f t="shared" si="21"/>
        <v>1.8E-3</v>
      </c>
      <c r="E72" s="2296"/>
      <c r="F72" s="2297"/>
      <c r="G72" s="2269">
        <f t="shared" si="26"/>
        <v>1.8E-3</v>
      </c>
      <c r="H72" s="2312">
        <f t="shared" si="22"/>
        <v>1.8E-3</v>
      </c>
      <c r="I72" s="2268">
        <v>0.04</v>
      </c>
      <c r="J72" s="2289">
        <f t="shared" si="23"/>
        <v>3.5999999999999999E-3</v>
      </c>
      <c r="K72" s="2289">
        <f t="shared" si="24"/>
        <v>1.8E-3</v>
      </c>
      <c r="L72" s="2289">
        <v>0</v>
      </c>
      <c r="M72" s="2289">
        <f t="shared" si="25"/>
        <v>-1.8E-3</v>
      </c>
      <c r="N72" s="2289">
        <f t="shared" si="25"/>
        <v>-3.5999999999999999E-3</v>
      </c>
      <c r="P72" s="2073"/>
      <c r="Q72" s="2073"/>
      <c r="R72" s="2074"/>
      <c r="S72" s="2074"/>
      <c r="T72" s="2074"/>
      <c r="U72" s="2074"/>
      <c r="V72" s="2074"/>
      <c r="W72" s="2073"/>
      <c r="X72" s="2073"/>
      <c r="Y72" s="2073"/>
      <c r="Z72" s="2073"/>
      <c r="AA72" s="2073"/>
      <c r="AB72" s="2073"/>
      <c r="AC72" s="2073"/>
      <c r="AD72" s="2074"/>
      <c r="AE72" s="1349"/>
      <c r="AF72" s="1349"/>
      <c r="AG72" s="1349"/>
      <c r="AH72" s="1349"/>
      <c r="AI72" s="1349"/>
      <c r="AJ72" s="1349"/>
      <c r="AK72" s="1349"/>
      <c r="AL72" s="1349"/>
      <c r="AM72" s="1349"/>
      <c r="AN72" s="1349"/>
    </row>
    <row r="73" spans="1:40" s="1348" customFormat="1" ht="144">
      <c r="A73" s="1048" t="s">
        <v>1017</v>
      </c>
      <c r="B7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73" s="1140" t="s">
        <v>3042</v>
      </c>
      <c r="D73" s="2268">
        <f t="shared" si="21"/>
        <v>3.5999999999999999E-3</v>
      </c>
      <c r="E73" s="2296"/>
      <c r="F73" s="2297"/>
      <c r="G73" s="2269">
        <f t="shared" si="26"/>
        <v>3.5999999999999999E-3</v>
      </c>
      <c r="H73" s="2312">
        <f t="shared" si="22"/>
        <v>3.5999999999999999E-3</v>
      </c>
      <c r="I73" s="2268">
        <v>0.08</v>
      </c>
      <c r="J73" s="2289">
        <f t="shared" si="23"/>
        <v>7.1999999999999998E-3</v>
      </c>
      <c r="K73" s="2289">
        <f t="shared" si="24"/>
        <v>3.5999999999999999E-3</v>
      </c>
      <c r="L73" s="2289">
        <v>0</v>
      </c>
      <c r="M73" s="2289">
        <f t="shared" si="25"/>
        <v>-3.5999999999999999E-3</v>
      </c>
      <c r="N73" s="2289">
        <f t="shared" si="25"/>
        <v>-7.1999999999999998E-3</v>
      </c>
      <c r="P73" s="2073"/>
      <c r="Q73" s="2073"/>
      <c r="R73" s="2074"/>
      <c r="S73" s="2074"/>
      <c r="T73" s="2074"/>
      <c r="U73" s="2074"/>
      <c r="V73" s="2074"/>
      <c r="W73" s="2073"/>
      <c r="X73" s="2073"/>
      <c r="Y73" s="2073"/>
      <c r="Z73" s="2073"/>
      <c r="AA73" s="2073"/>
      <c r="AB73" s="2073"/>
      <c r="AC73" s="2073"/>
      <c r="AD73" s="2074"/>
      <c r="AE73" s="1349"/>
      <c r="AF73" s="1349"/>
      <c r="AG73" s="1349"/>
      <c r="AH73" s="1349"/>
      <c r="AI73" s="1349"/>
      <c r="AJ73" s="1349"/>
      <c r="AK73" s="1349"/>
      <c r="AL73" s="1349"/>
      <c r="AM73" s="1349"/>
      <c r="AN73" s="1349"/>
    </row>
    <row r="74" spans="1:40" s="1348" customFormat="1" ht="24">
      <c r="A74" s="1048" t="s">
        <v>1018</v>
      </c>
      <c r="B74" s="2260" t="str">
        <f>估价对象房地状况!C22</f>
        <v>七通</v>
      </c>
      <c r="C74" s="1140" t="s">
        <v>3041</v>
      </c>
      <c r="D74" s="2268">
        <f t="shared" si="21"/>
        <v>1.0800000000000001E-2</v>
      </c>
      <c r="E74" s="2296"/>
      <c r="F74" s="2297"/>
      <c r="G74" s="2269">
        <f t="shared" si="26"/>
        <v>5.4000000000000003E-3</v>
      </c>
      <c r="H74" s="2312">
        <f t="shared" si="22"/>
        <v>5.4000000000000003E-3</v>
      </c>
      <c r="I74" s="2268">
        <v>0.12</v>
      </c>
      <c r="J74" s="2289">
        <f t="shared" si="23"/>
        <v>1.0800000000000001E-2</v>
      </c>
      <c r="K74" s="2289">
        <f t="shared" si="24"/>
        <v>5.4000000000000003E-3</v>
      </c>
      <c r="L74" s="2289">
        <v>0</v>
      </c>
      <c r="M74" s="2289">
        <f t="shared" si="25"/>
        <v>-5.4000000000000003E-3</v>
      </c>
      <c r="N74" s="2289">
        <f t="shared" si="25"/>
        <v>-1.0800000000000001E-2</v>
      </c>
      <c r="P74" s="2073"/>
      <c r="Q74" s="2073"/>
      <c r="R74" s="2074"/>
      <c r="S74" s="2074"/>
      <c r="T74" s="2074"/>
      <c r="U74" s="2074"/>
      <c r="V74" s="2074"/>
      <c r="W74" s="2073"/>
      <c r="X74" s="2073"/>
      <c r="Y74" s="2073"/>
      <c r="Z74" s="2073"/>
      <c r="AA74" s="2073"/>
      <c r="AB74" s="2073"/>
      <c r="AC74" s="2073"/>
      <c r="AD74" s="2074"/>
      <c r="AE74" s="1349"/>
      <c r="AF74" s="1349"/>
      <c r="AG74" s="1349"/>
      <c r="AH74" s="1349"/>
      <c r="AI74" s="1349"/>
      <c r="AJ74" s="1349"/>
      <c r="AK74" s="1349"/>
      <c r="AL74" s="1349"/>
      <c r="AM74" s="1349"/>
      <c r="AN74" s="1349"/>
    </row>
    <row r="75" spans="1:40" s="1348" customFormat="1" ht="24">
      <c r="A75" s="1048" t="s">
        <v>1016</v>
      </c>
      <c r="B75" s="2778" t="s">
        <v>2900</v>
      </c>
      <c r="C75" s="1140" t="s">
        <v>3042</v>
      </c>
      <c r="D75" s="2268">
        <f t="shared" si="21"/>
        <v>2.2000000000000001E-3</v>
      </c>
      <c r="E75" s="2296"/>
      <c r="F75" s="2297"/>
      <c r="G75" s="2269">
        <f t="shared" si="26"/>
        <v>2.2000000000000001E-3</v>
      </c>
      <c r="H75" s="2312">
        <f t="shared" si="22"/>
        <v>2.2000000000000001E-3</v>
      </c>
      <c r="I75" s="2268">
        <v>0.05</v>
      </c>
      <c r="J75" s="2289">
        <f t="shared" si="23"/>
        <v>4.4000000000000003E-3</v>
      </c>
      <c r="K75" s="2289">
        <f t="shared" si="24"/>
        <v>2.2000000000000001E-3</v>
      </c>
      <c r="L75" s="2289">
        <v>0</v>
      </c>
      <c r="M75" s="2289">
        <f t="shared" si="25"/>
        <v>-2.2000000000000001E-3</v>
      </c>
      <c r="N75" s="2289">
        <f t="shared" si="25"/>
        <v>-4.4000000000000003E-3</v>
      </c>
      <c r="P75" s="2073"/>
      <c r="Q75" s="2073"/>
      <c r="R75" s="2074"/>
      <c r="S75" s="2074"/>
      <c r="T75" s="2074"/>
      <c r="U75" s="2074"/>
      <c r="V75" s="2074"/>
      <c r="W75" s="2073"/>
      <c r="X75" s="2073"/>
      <c r="Y75" s="2073"/>
      <c r="Z75" s="2073"/>
      <c r="AA75" s="2073"/>
      <c r="AB75" s="2073"/>
      <c r="AC75" s="2073"/>
      <c r="AD75" s="2074"/>
      <c r="AE75" s="1349"/>
      <c r="AF75" s="1349"/>
      <c r="AG75" s="1349"/>
      <c r="AH75" s="1349"/>
      <c r="AI75" s="1349"/>
      <c r="AJ75" s="1349"/>
      <c r="AK75" s="1349"/>
      <c r="AL75" s="1349"/>
      <c r="AM75" s="1349"/>
      <c r="AN75" s="1349"/>
    </row>
    <row r="76" spans="1:40" ht="125.1" customHeight="1">
      <c r="A76" s="1048" t="s">
        <v>1019</v>
      </c>
      <c r="B76" s="2262" t="str">
        <f>估价对象房地状况!C20</f>
        <v>区域自然环境：百望山、药用植物园、百旺公园、首师大附中口袋公园、中关村公园、小关村公园、京密引水渠等；人文环境：西北旺镇政府；综合评价环境状况较好</v>
      </c>
      <c r="C76" s="1140" t="s">
        <v>3041</v>
      </c>
      <c r="D76" s="2268">
        <f t="shared" si="21"/>
        <v>1.3599999999999999E-2</v>
      </c>
      <c r="E76" s="2296"/>
      <c r="F76" s="2297"/>
      <c r="G76" s="2269">
        <f t="shared" si="26"/>
        <v>6.7999999999999996E-3</v>
      </c>
      <c r="H76" s="2312">
        <f t="shared" si="22"/>
        <v>6.7999999999999996E-3</v>
      </c>
      <c r="I76" s="2268">
        <v>0.15</v>
      </c>
      <c r="J76" s="2289">
        <f t="shared" si="23"/>
        <v>1.3599999999999999E-2</v>
      </c>
      <c r="K76" s="2289">
        <f t="shared" si="24"/>
        <v>6.7999999999999996E-3</v>
      </c>
      <c r="L76" s="2289">
        <v>0</v>
      </c>
      <c r="M76" s="2289">
        <f t="shared" si="25"/>
        <v>-6.7999999999999996E-3</v>
      </c>
      <c r="N76" s="2289">
        <f t="shared" si="25"/>
        <v>-1.3599999999999999E-2</v>
      </c>
      <c r="P76" s="2076"/>
      <c r="Q76" s="2076"/>
      <c r="R76" s="2077"/>
      <c r="S76" s="2077"/>
      <c r="T76" s="2077"/>
      <c r="U76" s="2077"/>
      <c r="V76" s="2077"/>
      <c r="W76" s="2076"/>
      <c r="X76" s="2076"/>
      <c r="Y76" s="2076"/>
      <c r="Z76" s="2076"/>
      <c r="AA76" s="2076"/>
      <c r="AB76" s="2076"/>
      <c r="AC76" s="2076"/>
      <c r="AD76" s="2077"/>
      <c r="AJ76" s="1349"/>
      <c r="AN76" s="1350"/>
    </row>
    <row r="77" spans="1:40" ht="24.75" thickBot="1">
      <c r="A77" s="2292" t="s">
        <v>1026</v>
      </c>
      <c r="B77" s="1760"/>
      <c r="C77" s="1140" t="s">
        <v>3042</v>
      </c>
      <c r="D77" s="2268">
        <f t="shared" si="21"/>
        <v>1.8E-3</v>
      </c>
      <c r="E77" s="2298"/>
      <c r="F77" s="2297"/>
      <c r="G77" s="2269">
        <f t="shared" si="26"/>
        <v>1.8E-3</v>
      </c>
      <c r="H77" s="2312">
        <f t="shared" si="22"/>
        <v>1.8E-3</v>
      </c>
      <c r="I77" s="3486">
        <v>0.04</v>
      </c>
      <c r="J77" s="2289">
        <f t="shared" si="23"/>
        <v>3.5999999999999999E-3</v>
      </c>
      <c r="K77" s="2289">
        <f t="shared" si="24"/>
        <v>1.8E-3</v>
      </c>
      <c r="L77" s="2289">
        <v>0</v>
      </c>
      <c r="M77" s="2289">
        <f t="shared" si="25"/>
        <v>-1.8E-3</v>
      </c>
      <c r="N77" s="2289">
        <f t="shared" si="25"/>
        <v>-3.5999999999999999E-3</v>
      </c>
      <c r="AC77" s="1351"/>
      <c r="AD77" s="1350"/>
      <c r="AJ77" s="1349"/>
      <c r="AN77" s="1350"/>
    </row>
    <row r="78" spans="1:40" ht="15">
      <c r="A78" s="2275" t="s">
        <v>976</v>
      </c>
      <c r="B78" s="2276">
        <f>1+E80</f>
        <v>1</v>
      </c>
      <c r="C78" s="2295"/>
      <c r="D78" s="2278"/>
      <c r="E78" s="2279"/>
      <c r="F78" s="2280"/>
      <c r="G78" s="2274"/>
      <c r="H78" s="2274"/>
      <c r="I78" s="2274"/>
      <c r="J78" s="1047"/>
      <c r="K78" s="1047"/>
      <c r="L78" s="1047"/>
      <c r="M78" s="1047"/>
      <c r="N78" s="1047"/>
      <c r="AC78" s="1351"/>
      <c r="AD78" s="1350"/>
      <c r="AJ78" s="1349"/>
      <c r="AN78" s="1350"/>
    </row>
    <row r="79" spans="1:40" ht="24">
      <c r="A79" s="1048" t="s">
        <v>999</v>
      </c>
      <c r="B79" s="2259"/>
      <c r="C79" s="2281" t="s">
        <v>1001</v>
      </c>
      <c r="D79" s="2282" t="s">
        <v>1002</v>
      </c>
      <c r="E79" s="2283" t="s">
        <v>1004</v>
      </c>
      <c r="F79" s="2284" t="s">
        <v>2238</v>
      </c>
      <c r="G79" s="2282" t="s">
        <v>1005</v>
      </c>
      <c r="H79" s="2265" t="s">
        <v>2402</v>
      </c>
      <c r="I79" s="2282" t="s">
        <v>1003</v>
      </c>
      <c r="J79" s="2285" t="s">
        <v>1006</v>
      </c>
      <c r="K79" s="2285" t="s">
        <v>1007</v>
      </c>
      <c r="L79" s="2285" t="s">
        <v>1008</v>
      </c>
      <c r="M79" s="2285" t="s">
        <v>1009</v>
      </c>
      <c r="N79" s="2285" t="s">
        <v>1010</v>
      </c>
      <c r="AC79" s="1351"/>
      <c r="AD79" s="1350"/>
      <c r="AJ79" s="1349"/>
      <c r="AN79" s="1350"/>
    </row>
    <row r="80" spans="1:40" ht="36">
      <c r="A80" s="1048" t="s">
        <v>1028</v>
      </c>
      <c r="B80" s="2259" t="str">
        <f>估价对象房地状况!G15</f>
        <v>估价对象位于XX开发区，园区建设成熟度XX，产业集聚程度XX</v>
      </c>
      <c r="C80" s="1035"/>
      <c r="D80" s="2268">
        <f t="shared" ref="D80:D87" si="27">SUMIF($J$79:$N$79,C80,J80:N80)</f>
        <v>0</v>
      </c>
      <c r="E80" s="2287">
        <f>ROUND(SUM(D80:D87),4)</f>
        <v>0</v>
      </c>
      <c r="F80" s="2288" t="str">
        <f>IF(E2="工业",SUMIF(L1:L12,G2,N1:N12),"——")</f>
        <v>——</v>
      </c>
      <c r="G80" s="2266"/>
      <c r="H80" s="2311" t="str">
        <f t="shared" ref="H80:H87" si="28">IFERROR(ROUNDDOWN($F$80*I80/2,4),"——")</f>
        <v>——</v>
      </c>
      <c r="I80" s="2286">
        <v>0.26</v>
      </c>
      <c r="J80" s="2289">
        <f t="shared" ref="J80:J87" si="29">K80+$G80</f>
        <v>0</v>
      </c>
      <c r="K80" s="2289">
        <f t="shared" ref="K80:K87" si="30">$L80+$G80</f>
        <v>0</v>
      </c>
      <c r="L80" s="2289">
        <v>0</v>
      </c>
      <c r="M80" s="2289">
        <f t="shared" ref="M80:N87" si="31">L80-$G80</f>
        <v>0</v>
      </c>
      <c r="N80" s="2289">
        <f t="shared" si="31"/>
        <v>0</v>
      </c>
      <c r="AC80" s="1351"/>
      <c r="AD80" s="1350"/>
      <c r="AJ80" s="1349"/>
      <c r="AN80" s="1350"/>
    </row>
    <row r="81" spans="1:40" ht="48">
      <c r="A81" s="1048" t="s">
        <v>1012</v>
      </c>
      <c r="B81" s="2259" t="str">
        <f>估价对象房地状况!G16</f>
        <v>估价对象周边道路状况、公共交通通达情况、停车便捷程度，综合评价交通便捷度较好</v>
      </c>
      <c r="C81" s="1035"/>
      <c r="D81" s="2268">
        <f t="shared" si="27"/>
        <v>0</v>
      </c>
      <c r="E81" s="2296"/>
      <c r="F81" s="2297"/>
      <c r="G81" s="2266"/>
      <c r="H81" s="2311" t="str">
        <f t="shared" si="28"/>
        <v>——</v>
      </c>
      <c r="I81" s="2286">
        <v>0.33</v>
      </c>
      <c r="J81" s="2289">
        <f t="shared" si="29"/>
        <v>0</v>
      </c>
      <c r="K81" s="2289">
        <f t="shared" si="30"/>
        <v>0</v>
      </c>
      <c r="L81" s="2289">
        <v>0</v>
      </c>
      <c r="M81" s="2289">
        <f t="shared" si="31"/>
        <v>0</v>
      </c>
      <c r="N81" s="2289">
        <f t="shared" si="31"/>
        <v>0</v>
      </c>
      <c r="AC81" s="1351"/>
      <c r="AD81" s="1350"/>
      <c r="AJ81" s="1349"/>
      <c r="AN81" s="1350"/>
    </row>
    <row r="82" spans="1:40" ht="24">
      <c r="A82" s="1048" t="s">
        <v>1013</v>
      </c>
      <c r="B82" s="2259">
        <f>估价对象房地状况!G17</f>
        <v>0</v>
      </c>
      <c r="C82" s="1035"/>
      <c r="D82" s="2268">
        <f t="shared" si="27"/>
        <v>0</v>
      </c>
      <c r="E82" s="2296"/>
      <c r="F82" s="2297"/>
      <c r="G82" s="2266"/>
      <c r="H82" s="2311" t="str">
        <f t="shared" si="28"/>
        <v>——</v>
      </c>
      <c r="I82" s="2286">
        <v>0.05</v>
      </c>
      <c r="J82" s="2289">
        <f t="shared" si="29"/>
        <v>0</v>
      </c>
      <c r="K82" s="2289">
        <f t="shared" si="30"/>
        <v>0</v>
      </c>
      <c r="L82" s="2289">
        <v>0</v>
      </c>
      <c r="M82" s="2289">
        <f t="shared" si="31"/>
        <v>0</v>
      </c>
      <c r="N82" s="2289">
        <f t="shared" si="31"/>
        <v>0</v>
      </c>
      <c r="AC82" s="1351"/>
      <c r="AD82" s="1350"/>
      <c r="AJ82" s="1349"/>
      <c r="AN82" s="1350"/>
    </row>
    <row r="83" spans="1:40" ht="14.25">
      <c r="A83" s="1048" t="s">
        <v>1025</v>
      </c>
      <c r="B83" s="2259">
        <f>估价对象房地状况!G22</f>
        <v>0</v>
      </c>
      <c r="C83" s="1035"/>
      <c r="D83" s="2268">
        <f t="shared" si="27"/>
        <v>0</v>
      </c>
      <c r="E83" s="2296"/>
      <c r="F83" s="2297"/>
      <c r="G83" s="2266"/>
      <c r="H83" s="2311" t="str">
        <f t="shared" si="28"/>
        <v>——</v>
      </c>
      <c r="I83" s="2286">
        <v>0.04</v>
      </c>
      <c r="J83" s="2289">
        <f t="shared" si="29"/>
        <v>0</v>
      </c>
      <c r="K83" s="2289">
        <f t="shared" si="30"/>
        <v>0</v>
      </c>
      <c r="L83" s="2289">
        <v>0</v>
      </c>
      <c r="M83" s="2289">
        <f t="shared" si="31"/>
        <v>0</v>
      </c>
      <c r="N83" s="2289">
        <f t="shared" si="31"/>
        <v>0</v>
      </c>
      <c r="AC83" s="1351"/>
      <c r="AD83" s="1350"/>
      <c r="AJ83" s="1349"/>
      <c r="AN83" s="1350"/>
    </row>
    <row r="84" spans="1:40" ht="24">
      <c r="A84" s="1048" t="s">
        <v>1017</v>
      </c>
      <c r="B84" s="2260" t="str">
        <f>估价对象房地状况!G19</f>
        <v>估价对象所在区域公共配套设施齐备情况</v>
      </c>
      <c r="C84" s="1035"/>
      <c r="D84" s="2268">
        <f t="shared" si="27"/>
        <v>0</v>
      </c>
      <c r="E84" s="2296"/>
      <c r="F84" s="2297"/>
      <c r="G84" s="2266"/>
      <c r="H84" s="2311" t="str">
        <f t="shared" si="28"/>
        <v>——</v>
      </c>
      <c r="I84" s="2286">
        <v>0.06</v>
      </c>
      <c r="J84" s="2289">
        <f t="shared" si="29"/>
        <v>0</v>
      </c>
      <c r="K84" s="2289">
        <f t="shared" si="30"/>
        <v>0</v>
      </c>
      <c r="L84" s="2289">
        <v>0</v>
      </c>
      <c r="M84" s="2289">
        <f t="shared" si="31"/>
        <v>0</v>
      </c>
      <c r="N84" s="2289">
        <f t="shared" si="31"/>
        <v>0</v>
      </c>
      <c r="AC84" s="1351"/>
      <c r="AD84" s="1350"/>
      <c r="AJ84" s="1349"/>
      <c r="AN84" s="1350"/>
    </row>
    <row r="85" spans="1:40" ht="24">
      <c r="A85" s="1048" t="s">
        <v>1018</v>
      </c>
      <c r="B85" s="2260" t="str">
        <f>估价对象房地状况!G20</f>
        <v>估价对象所在区域基础设施水平</v>
      </c>
      <c r="C85" s="1035"/>
      <c r="D85" s="2268">
        <f t="shared" si="27"/>
        <v>0</v>
      </c>
      <c r="E85" s="2296"/>
      <c r="F85" s="2297"/>
      <c r="G85" s="2266"/>
      <c r="H85" s="2311" t="str">
        <f t="shared" si="28"/>
        <v>——</v>
      </c>
      <c r="I85" s="2286">
        <v>0.15</v>
      </c>
      <c r="J85" s="2289">
        <f t="shared" si="29"/>
        <v>0</v>
      </c>
      <c r="K85" s="2289">
        <f t="shared" si="30"/>
        <v>0</v>
      </c>
      <c r="L85" s="2289">
        <v>0</v>
      </c>
      <c r="M85" s="2289">
        <f t="shared" si="31"/>
        <v>0</v>
      </c>
      <c r="N85" s="2289">
        <f t="shared" si="31"/>
        <v>0</v>
      </c>
      <c r="AC85" s="1351"/>
      <c r="AD85" s="1350"/>
      <c r="AJ85" s="1349"/>
      <c r="AN85" s="1350"/>
    </row>
    <row r="86" spans="1:40" ht="24">
      <c r="A86" s="1048" t="s">
        <v>1016</v>
      </c>
      <c r="B86" s="2778" t="s">
        <v>2900</v>
      </c>
      <c r="C86" s="1035"/>
      <c r="D86" s="2268">
        <f t="shared" si="27"/>
        <v>0</v>
      </c>
      <c r="E86" s="2296"/>
      <c r="F86" s="2297"/>
      <c r="G86" s="2266"/>
      <c r="H86" s="2311" t="str">
        <f t="shared" si="28"/>
        <v>——</v>
      </c>
      <c r="I86" s="2286">
        <v>0.05</v>
      </c>
      <c r="J86" s="2289">
        <f t="shared" si="29"/>
        <v>0</v>
      </c>
      <c r="K86" s="2289">
        <f t="shared" si="30"/>
        <v>0</v>
      </c>
      <c r="L86" s="2289">
        <v>0</v>
      </c>
      <c r="M86" s="2289">
        <f t="shared" si="31"/>
        <v>0</v>
      </c>
      <c r="N86" s="2289">
        <f t="shared" si="31"/>
        <v>0</v>
      </c>
      <c r="AC86" s="1351"/>
      <c r="AD86" s="1350"/>
      <c r="AJ86" s="1349"/>
      <c r="AN86" s="1350"/>
    </row>
    <row r="87" spans="1:40" ht="36.75" thickBot="1">
      <c r="A87" s="2292" t="s">
        <v>1029</v>
      </c>
      <c r="B87" s="2261" t="str">
        <f>估价对象房地状况!G18</f>
        <v>该园区内是否有污染型企业，绿化情况，卫生条件，整体环境状况判断</v>
      </c>
      <c r="C87" s="1035"/>
      <c r="D87" s="2268">
        <f t="shared" si="27"/>
        <v>0</v>
      </c>
      <c r="E87" s="2298"/>
      <c r="F87" s="2297"/>
      <c r="G87" s="2266"/>
      <c r="H87" s="2311" t="str">
        <f t="shared" si="28"/>
        <v>——</v>
      </c>
      <c r="I87" s="2293">
        <v>0.06</v>
      </c>
      <c r="J87" s="2289">
        <f t="shared" si="29"/>
        <v>0</v>
      </c>
      <c r="K87" s="2289">
        <f t="shared" si="30"/>
        <v>0</v>
      </c>
      <c r="L87" s="2289">
        <v>0</v>
      </c>
      <c r="M87" s="2289">
        <f t="shared" si="31"/>
        <v>0</v>
      </c>
      <c r="N87" s="2289">
        <f t="shared" si="31"/>
        <v>0</v>
      </c>
      <c r="AC87" s="1351"/>
      <c r="AD87" s="1350"/>
      <c r="AJ87" s="1349"/>
      <c r="AN87" s="1350"/>
    </row>
    <row r="90" spans="1:40">
      <c r="A90" s="3767" t="s">
        <v>1624</v>
      </c>
      <c r="B90" s="3767"/>
      <c r="C90" s="3767"/>
      <c r="D90" s="3767"/>
      <c r="E90" s="3767"/>
      <c r="F90" s="3767"/>
      <c r="G90" s="3767"/>
      <c r="H90" s="3767"/>
      <c r="I90" s="3767"/>
      <c r="J90" s="3767"/>
      <c r="K90" s="3428"/>
      <c r="L90" s="3428"/>
      <c r="M90" s="3428"/>
      <c r="N90" s="3428"/>
    </row>
    <row r="91" spans="1:40">
      <c r="A91" s="3768" t="s">
        <v>889</v>
      </c>
      <c r="B91" s="3768" t="s">
        <v>1625</v>
      </c>
      <c r="C91" s="1121" t="s">
        <v>1626</v>
      </c>
      <c r="D91" s="1122"/>
      <c r="E91" s="1122"/>
      <c r="F91" s="1122"/>
      <c r="G91" s="1122"/>
      <c r="H91" s="1122"/>
      <c r="I91" s="1122"/>
      <c r="J91" s="1123"/>
      <c r="K91" s="1115"/>
      <c r="L91" s="1115"/>
      <c r="M91" s="1115"/>
      <c r="N91" s="1115"/>
    </row>
    <row r="92" spans="1:40">
      <c r="A92" s="3768"/>
      <c r="B92" s="3768"/>
      <c r="C92" s="3429" t="s">
        <v>875</v>
      </c>
      <c r="D92" s="3429" t="s">
        <v>876</v>
      </c>
      <c r="E92" s="3429" t="s">
        <v>877</v>
      </c>
      <c r="F92" s="3429" t="s">
        <v>878</v>
      </c>
      <c r="G92" s="3429" t="s">
        <v>879</v>
      </c>
      <c r="H92" s="3429" t="s">
        <v>880</v>
      </c>
      <c r="I92" s="3429" t="s">
        <v>881</v>
      </c>
      <c r="J92" s="3429" t="s">
        <v>882</v>
      </c>
      <c r="K92" s="3429" t="s">
        <v>883</v>
      </c>
      <c r="L92" s="3429" t="s">
        <v>884</v>
      </c>
      <c r="M92" s="3429" t="s">
        <v>885</v>
      </c>
      <c r="N92" s="3429" t="s">
        <v>886</v>
      </c>
    </row>
    <row r="93" spans="1:40">
      <c r="A93" s="3758"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5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5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5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5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5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59"/>
      <c r="B99" s="1124" t="s">
        <v>1627</v>
      </c>
      <c r="C99" s="1126">
        <f>$I$3</f>
        <v>0</v>
      </c>
      <c r="D99" s="1126">
        <f t="shared" ref="D99:N99" si="32">$I$3</f>
        <v>0</v>
      </c>
      <c r="E99" s="1126">
        <f t="shared" si="32"/>
        <v>0</v>
      </c>
      <c r="F99" s="1126">
        <f t="shared" si="32"/>
        <v>0</v>
      </c>
      <c r="G99" s="1126">
        <f t="shared" si="32"/>
        <v>0</v>
      </c>
      <c r="H99" s="1126">
        <f t="shared" si="32"/>
        <v>0</v>
      </c>
      <c r="I99" s="1126">
        <f t="shared" si="32"/>
        <v>0</v>
      </c>
      <c r="J99" s="1126">
        <f t="shared" si="32"/>
        <v>0</v>
      </c>
      <c r="K99" s="1126">
        <f t="shared" si="32"/>
        <v>0</v>
      </c>
      <c r="L99" s="1126">
        <f t="shared" si="32"/>
        <v>0</v>
      </c>
      <c r="M99" s="1126">
        <f t="shared" si="32"/>
        <v>0</v>
      </c>
      <c r="N99" s="1126">
        <f t="shared" si="32"/>
        <v>0</v>
      </c>
    </row>
    <row r="100" spans="1:14">
      <c r="A100" s="3760"/>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758" t="s">
        <v>1628</v>
      </c>
      <c r="B101" s="1128" t="s">
        <v>874</v>
      </c>
      <c r="C101" s="1129">
        <f>$G$3</f>
        <v>1.1000000000000001</v>
      </c>
      <c r="D101" s="1129">
        <f t="shared" ref="D101:N101" si="33">$G$3</f>
        <v>1.1000000000000001</v>
      </c>
      <c r="E101" s="1129">
        <f t="shared" si="33"/>
        <v>1.1000000000000001</v>
      </c>
      <c r="F101" s="1129">
        <f t="shared" si="33"/>
        <v>1.1000000000000001</v>
      </c>
      <c r="G101" s="1129">
        <f t="shared" si="33"/>
        <v>1.1000000000000001</v>
      </c>
      <c r="H101" s="1129">
        <f t="shared" si="33"/>
        <v>1.1000000000000001</v>
      </c>
      <c r="I101" s="1129">
        <f t="shared" si="33"/>
        <v>1.1000000000000001</v>
      </c>
      <c r="J101" s="1129">
        <f t="shared" si="33"/>
        <v>1.1000000000000001</v>
      </c>
      <c r="K101" s="1129">
        <f t="shared" si="33"/>
        <v>1.1000000000000001</v>
      </c>
      <c r="L101" s="1129">
        <f t="shared" si="33"/>
        <v>1.1000000000000001</v>
      </c>
      <c r="M101" s="1129">
        <f t="shared" si="33"/>
        <v>1.1000000000000001</v>
      </c>
      <c r="N101" s="1129">
        <f t="shared" si="33"/>
        <v>1.1000000000000001</v>
      </c>
    </row>
    <row r="102" spans="1:14">
      <c r="A102" s="3759"/>
      <c r="B102" s="1124">
        <v>1</v>
      </c>
      <c r="C102" s="1125">
        <f>1.9362/C101</f>
        <v>1.7601818181818181</v>
      </c>
      <c r="D102" s="1125">
        <f>1.9362/D101</f>
        <v>1.7601818181818181</v>
      </c>
      <c r="E102" s="1125">
        <f>1.8629/E101</f>
        <v>1.6935454545454545</v>
      </c>
      <c r="F102" s="1125">
        <f>1.8629/F101</f>
        <v>1.6935454545454545</v>
      </c>
      <c r="G102" s="1125">
        <f>1.8629/G101</f>
        <v>1.6935454545454545</v>
      </c>
      <c r="H102" s="1125">
        <f>1.8629/H101</f>
        <v>1.6935454545454545</v>
      </c>
      <c r="I102" s="1125">
        <f>1.8629/I101</f>
        <v>1.6935454545454545</v>
      </c>
      <c r="J102" s="1125">
        <f>1.942/J101</f>
        <v>1.7654545454545452</v>
      </c>
      <c r="K102" s="1125">
        <f>1.942/K101</f>
        <v>1.7654545454545452</v>
      </c>
      <c r="L102" s="1125">
        <f>1.942/L101</f>
        <v>1.7654545454545452</v>
      </c>
      <c r="M102" s="1125">
        <f>1.942/M101</f>
        <v>1.7654545454545452</v>
      </c>
      <c r="N102" s="1125">
        <f>1.942/N101</f>
        <v>1.7654545454545452</v>
      </c>
    </row>
    <row r="103" spans="1:14">
      <c r="A103" s="3759"/>
      <c r="B103" s="1124">
        <v>2</v>
      </c>
      <c r="C103" s="1125">
        <f>1.4198/C101</f>
        <v>1.2907272727272725</v>
      </c>
      <c r="D103" s="1125">
        <f>1.4198/D101</f>
        <v>1.2907272727272725</v>
      </c>
      <c r="E103" s="1125">
        <f>1.3372/E101</f>
        <v>1.2156363636363634</v>
      </c>
      <c r="F103" s="1125">
        <f>1.3372/F101</f>
        <v>1.2156363636363634</v>
      </c>
      <c r="G103" s="1125">
        <f>1.3372/G101</f>
        <v>1.2156363636363634</v>
      </c>
      <c r="H103" s="1125">
        <f>1.3372/H101</f>
        <v>1.2156363636363634</v>
      </c>
      <c r="I103" s="1125">
        <f>1.3372/I101</f>
        <v>1.2156363636363634</v>
      </c>
      <c r="J103" s="1125">
        <f>1.2799/J101</f>
        <v>1.1635454545454544</v>
      </c>
      <c r="K103" s="1125">
        <f>1.2799/K101</f>
        <v>1.1635454545454544</v>
      </c>
      <c r="L103" s="1125">
        <f>1.2799/L101</f>
        <v>1.1635454545454544</v>
      </c>
      <c r="M103" s="1125">
        <f>1.2799/M101</f>
        <v>1.1635454545454544</v>
      </c>
      <c r="N103" s="1125">
        <f>1.2799/N101</f>
        <v>1.1635454545454544</v>
      </c>
    </row>
    <row r="104" spans="1:14">
      <c r="A104" s="3759"/>
      <c r="B104" s="1124">
        <v>3</v>
      </c>
      <c r="C104" s="1125">
        <f>1.1594/C101</f>
        <v>1.0539999999999998</v>
      </c>
      <c r="D104" s="1125">
        <f>1.1594/D101</f>
        <v>1.0539999999999998</v>
      </c>
      <c r="E104" s="1125">
        <f>1.0788/E101</f>
        <v>0.98072727272727267</v>
      </c>
      <c r="F104" s="1125">
        <f>1.0788/F101</f>
        <v>0.98072727272727267</v>
      </c>
      <c r="G104" s="1125">
        <f>1.0788/G101</f>
        <v>0.98072727272727267</v>
      </c>
      <c r="H104" s="1125">
        <f>1.0788/H101</f>
        <v>0.98072727272727267</v>
      </c>
      <c r="I104" s="1125">
        <f>1.0788/I101</f>
        <v>0.98072727272727267</v>
      </c>
      <c r="J104" s="1125">
        <f>1.0072/J101</f>
        <v>0.91563636363636369</v>
      </c>
      <c r="K104" s="1125">
        <f>1.0072/K101</f>
        <v>0.91563636363636369</v>
      </c>
      <c r="L104" s="1125">
        <f>1.0072/L101</f>
        <v>0.91563636363636369</v>
      </c>
      <c r="M104" s="1125">
        <f>1.0072/M101</f>
        <v>0.91563636363636369</v>
      </c>
      <c r="N104" s="1125">
        <f>1.0072/N101</f>
        <v>0.91563636363636369</v>
      </c>
    </row>
    <row r="105" spans="1:14">
      <c r="A105" s="3759"/>
      <c r="B105" s="1124">
        <v>4</v>
      </c>
      <c r="C105" s="1125">
        <f>0.9622/C101</f>
        <v>0.87472727272727269</v>
      </c>
      <c r="D105" s="1125">
        <f>0.9622/D101</f>
        <v>0.87472727272727269</v>
      </c>
      <c r="E105" s="1125">
        <f>0.8656/E101</f>
        <v>0.78690909090909089</v>
      </c>
      <c r="F105" s="1125">
        <f>0.8656/F101</f>
        <v>0.78690909090909089</v>
      </c>
      <c r="G105" s="1125">
        <f>0.8656/G101</f>
        <v>0.78690909090909089</v>
      </c>
      <c r="H105" s="1125">
        <f>0.8656/H101</f>
        <v>0.78690909090909089</v>
      </c>
      <c r="I105" s="1125">
        <f>0.8656/I101</f>
        <v>0.78690909090909089</v>
      </c>
      <c r="J105" s="1125">
        <f>0.7525/J101</f>
        <v>0.68409090909090897</v>
      </c>
      <c r="K105" s="1125">
        <f>0.7525/K101</f>
        <v>0.68409090909090897</v>
      </c>
      <c r="L105" s="1125">
        <f>0.7525/L101</f>
        <v>0.68409090909090897</v>
      </c>
      <c r="M105" s="1125">
        <f>0.7525/M101</f>
        <v>0.68409090909090897</v>
      </c>
      <c r="N105" s="1125">
        <f>0.7525/N101</f>
        <v>0.68409090909090897</v>
      </c>
    </row>
    <row r="106" spans="1:14">
      <c r="A106" s="3759"/>
      <c r="B106" s="1124">
        <v>5</v>
      </c>
      <c r="C106" s="1125">
        <f>0.8417/C101</f>
        <v>0.76518181818181807</v>
      </c>
      <c r="D106" s="1125">
        <f>0.8417/D101</f>
        <v>0.76518181818181807</v>
      </c>
      <c r="E106" s="1125">
        <f>0.7371/E101</f>
        <v>0.67009090909090907</v>
      </c>
      <c r="F106" s="1125">
        <f>0.7371/F101</f>
        <v>0.67009090909090907</v>
      </c>
      <c r="G106" s="1125">
        <f>0.7371/G101</f>
        <v>0.67009090909090907</v>
      </c>
      <c r="H106" s="1125">
        <f>0.7371/H101</f>
        <v>0.67009090909090907</v>
      </c>
      <c r="I106" s="1125">
        <f>0.7371/I101</f>
        <v>0.67009090909090907</v>
      </c>
      <c r="J106" s="1125">
        <f>0.5659/J101</f>
        <v>0.51445454545454539</v>
      </c>
      <c r="K106" s="1125">
        <f>0.5659/K101</f>
        <v>0.51445454545454539</v>
      </c>
      <c r="L106" s="1125">
        <f>0.5659/L101</f>
        <v>0.51445454545454539</v>
      </c>
      <c r="M106" s="1125">
        <f>0.5659/M101</f>
        <v>0.51445454545454539</v>
      </c>
      <c r="N106" s="1125">
        <f>0.5659/N101</f>
        <v>0.51445454545454539</v>
      </c>
    </row>
    <row r="107" spans="1:14">
      <c r="A107" s="3759"/>
      <c r="B107" s="1124">
        <v>6</v>
      </c>
      <c r="C107" s="1125">
        <f>0.7608/C101</f>
        <v>0.6916363636363636</v>
      </c>
      <c r="D107" s="1125">
        <f>0.7608/D101</f>
        <v>0.6916363636363636</v>
      </c>
      <c r="E107" s="1125">
        <f>0.6482/E101</f>
        <v>0.58927272727272717</v>
      </c>
      <c r="F107" s="1125">
        <f>0.6482/F101</f>
        <v>0.58927272727272717</v>
      </c>
      <c r="G107" s="1125">
        <f>0.6482/G101</f>
        <v>0.58927272727272717</v>
      </c>
      <c r="H107" s="1125">
        <f>0.6482/H101</f>
        <v>0.58927272727272717</v>
      </c>
      <c r="I107" s="1125">
        <f>0.6482/I101</f>
        <v>0.58927272727272717</v>
      </c>
      <c r="J107" s="1125">
        <f>0.4525/J101</f>
        <v>0.41136363636363632</v>
      </c>
      <c r="K107" s="1125">
        <f>0.4525/K101</f>
        <v>0.41136363636363632</v>
      </c>
      <c r="L107" s="1125">
        <f>0.4525/L101</f>
        <v>0.41136363636363632</v>
      </c>
      <c r="M107" s="1125">
        <f>0.4525/M101</f>
        <v>0.41136363636363632</v>
      </c>
      <c r="N107" s="1125">
        <f>0.4525/N101</f>
        <v>0.41136363636363632</v>
      </c>
    </row>
    <row r="108" spans="1:14">
      <c r="A108" s="3759"/>
      <c r="B108" s="3761" t="s">
        <v>1629</v>
      </c>
      <c r="C108" s="1126">
        <f>C99</f>
        <v>0</v>
      </c>
      <c r="D108" s="1126">
        <f t="shared" ref="D108:N108" si="34">D99</f>
        <v>0</v>
      </c>
      <c r="E108" s="1126">
        <f t="shared" si="34"/>
        <v>0</v>
      </c>
      <c r="F108" s="1126">
        <f t="shared" si="34"/>
        <v>0</v>
      </c>
      <c r="G108" s="1126">
        <f t="shared" si="34"/>
        <v>0</v>
      </c>
      <c r="H108" s="1126">
        <f t="shared" si="34"/>
        <v>0</v>
      </c>
      <c r="I108" s="1126">
        <f t="shared" si="34"/>
        <v>0</v>
      </c>
      <c r="J108" s="1126">
        <f t="shared" si="34"/>
        <v>0</v>
      </c>
      <c r="K108" s="1126">
        <f t="shared" si="34"/>
        <v>0</v>
      </c>
      <c r="L108" s="1126">
        <f t="shared" si="34"/>
        <v>0</v>
      </c>
      <c r="M108" s="1126">
        <f t="shared" si="34"/>
        <v>0</v>
      </c>
      <c r="N108" s="1126">
        <f t="shared" si="34"/>
        <v>0</v>
      </c>
    </row>
    <row r="109" spans="1:14">
      <c r="A109" s="3760"/>
      <c r="B109" s="3762"/>
      <c r="C109" s="1127">
        <f>(-0.163*(C108^2)-0.59*C108+7617)*(10^(-4))/C101</f>
        <v>0.69245454545454543</v>
      </c>
      <c r="D109" s="1127">
        <f>(-0.163*(D108^2)-0.59*D108+7617)*(10^(-4))/D101</f>
        <v>0.69245454545454543</v>
      </c>
      <c r="E109" s="1127">
        <f>(-0.161*(E108^2)-7.509*E108+6533)*(10^(-4))/E101</f>
        <v>0.59390909090909083</v>
      </c>
      <c r="F109" s="1127">
        <f>(-0.161*(F108^2)-7.509*F108+6533)*(10^(-4))/F101</f>
        <v>0.59390909090909083</v>
      </c>
      <c r="G109" s="1127">
        <f>(-0.161*(G108^2)-7.509*G108+6533)*(10^(-4))/G101</f>
        <v>0.59390909090909083</v>
      </c>
      <c r="H109" s="1127">
        <f>(-0.161*(H108^2)-7.509*H108+6533)*(10^(-4))/H101</f>
        <v>0.59390909090909083</v>
      </c>
      <c r="I109" s="1127">
        <f>(-0.161*(I108^2)-7.509*I108+6533)*(10^(-4))/I101</f>
        <v>0.59390909090909083</v>
      </c>
      <c r="J109" s="1127">
        <f>(-0.214*(J108^2)-21.991*J108+4665)*(10^(-4))/J101</f>
        <v>0.42409090909090907</v>
      </c>
      <c r="K109" s="1127">
        <f>(-0.214*(K108^2)-21.991*K108+4665)*(10^(-4))/K101</f>
        <v>0.42409090909090907</v>
      </c>
      <c r="L109" s="1127">
        <f>(-0.214*(L108^2)-21.991*L108+4665)*(10^(-4))/L101</f>
        <v>0.42409090909090907</v>
      </c>
      <c r="M109" s="1127">
        <f>(-0.214*(M108^2)-21.991*M108+4665)*(10^(-4))/M101</f>
        <v>0.42409090909090907</v>
      </c>
      <c r="N109" s="1127">
        <f>(-0.214*(N108^2)-21.991*N108+4665)*(10^(-4))/N101</f>
        <v>0.42409090909090907</v>
      </c>
    </row>
    <row r="110" spans="1:14">
      <c r="A110" s="3763" t="s">
        <v>1630</v>
      </c>
      <c r="B110" s="3763"/>
      <c r="C110" s="3763"/>
      <c r="D110" s="3763"/>
      <c r="E110" s="3763"/>
      <c r="F110" s="3763"/>
      <c r="G110" s="3763"/>
      <c r="H110" s="3763"/>
      <c r="I110" s="3763"/>
      <c r="J110" s="3763"/>
      <c r="K110" s="3427"/>
      <c r="L110" s="3427"/>
      <c r="M110" s="3427"/>
      <c r="N110" s="3427"/>
    </row>
    <row r="112" spans="1:14" ht="12.75" thickBot="1"/>
    <row r="113" spans="1:13" ht="15" thickBot="1">
      <c r="A113" s="1001" t="s">
        <v>887</v>
      </c>
      <c r="B113" s="2302">
        <f>G3</f>
        <v>1.1000000000000001</v>
      </c>
      <c r="C113" s="1002" t="s">
        <v>888</v>
      </c>
      <c r="D113" s="1003">
        <f>SUMPRODUCT((A115:A118=F113)*(B114:M114=H113)*B115:M118)</f>
        <v>0.86599999999999999</v>
      </c>
      <c r="E113" s="1004" t="s">
        <v>889</v>
      </c>
      <c r="F113" s="1005" t="str">
        <f>E2</f>
        <v>住宅</v>
      </c>
      <c r="G113" s="1004" t="s">
        <v>890</v>
      </c>
      <c r="H113" s="1005" t="str">
        <f>G2</f>
        <v>五级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0.92320000000000002</v>
      </c>
      <c r="C115" s="1015">
        <f>B115</f>
        <v>0.92320000000000002</v>
      </c>
      <c r="D115" s="1015">
        <f>ROUND(0.8331-0.0109*B113,4)</f>
        <v>0.82110000000000005</v>
      </c>
      <c r="E115" s="1015">
        <f>D115</f>
        <v>0.82110000000000005</v>
      </c>
      <c r="F115" s="1015">
        <f>E115</f>
        <v>0.82110000000000005</v>
      </c>
      <c r="G115" s="1015">
        <f>F115</f>
        <v>0.82110000000000005</v>
      </c>
      <c r="H115" s="1015">
        <f>G115</f>
        <v>0.82110000000000005</v>
      </c>
      <c r="I115" s="1015">
        <f>ROUND(0.689-0.0155*B113,4)</f>
        <v>0.67200000000000004</v>
      </c>
      <c r="J115" s="1015">
        <f t="shared" ref="J115:M118" si="35">I115</f>
        <v>0.67200000000000004</v>
      </c>
      <c r="K115" s="1015">
        <f t="shared" si="35"/>
        <v>0.67200000000000004</v>
      </c>
      <c r="L115" s="1015">
        <f t="shared" si="35"/>
        <v>0.67200000000000004</v>
      </c>
      <c r="M115" s="1016">
        <f t="shared" si="35"/>
        <v>0.67200000000000004</v>
      </c>
    </row>
    <row r="116" spans="1:13" ht="12.75">
      <c r="A116" s="1014" t="s">
        <v>892</v>
      </c>
      <c r="B116" s="1015">
        <f>ROUND(0.949-0.012*B113,4)</f>
        <v>0.93579999999999997</v>
      </c>
      <c r="C116" s="1015">
        <f>B116</f>
        <v>0.93579999999999997</v>
      </c>
      <c r="D116" s="1015">
        <f>ROUND(0.8567-0.013*B113,4)</f>
        <v>0.84240000000000004</v>
      </c>
      <c r="E116" s="1015">
        <f t="shared" ref="E116:H117" si="36">D116</f>
        <v>0.84240000000000004</v>
      </c>
      <c r="F116" s="1015">
        <f t="shared" si="36"/>
        <v>0.84240000000000004</v>
      </c>
      <c r="G116" s="1015">
        <f t="shared" si="36"/>
        <v>0.84240000000000004</v>
      </c>
      <c r="H116" s="1015">
        <f t="shared" si="36"/>
        <v>0.84240000000000004</v>
      </c>
      <c r="I116" s="1015">
        <f>ROUND(0.7694-0.014*B113,4)</f>
        <v>0.754</v>
      </c>
      <c r="J116" s="1015">
        <f t="shared" si="35"/>
        <v>0.754</v>
      </c>
      <c r="K116" s="1015">
        <f t="shared" si="35"/>
        <v>0.754</v>
      </c>
      <c r="L116" s="1015">
        <f t="shared" si="35"/>
        <v>0.754</v>
      </c>
      <c r="M116" s="1016">
        <f t="shared" si="35"/>
        <v>0.754</v>
      </c>
    </row>
    <row r="117" spans="1:13" ht="12.75">
      <c r="A117" s="1017" t="s">
        <v>893</v>
      </c>
      <c r="B117" s="1015">
        <f>ROUND(0.8808-0.006*B113,4)</f>
        <v>0.87419999999999998</v>
      </c>
      <c r="C117" s="1015">
        <f>B117</f>
        <v>0.87419999999999998</v>
      </c>
      <c r="D117" s="1015">
        <f>ROUND(0.8748-0.008*B113,4)</f>
        <v>0.86599999999999999</v>
      </c>
      <c r="E117" s="1015">
        <f t="shared" si="36"/>
        <v>0.86599999999999999</v>
      </c>
      <c r="F117" s="1015">
        <f t="shared" si="36"/>
        <v>0.86599999999999999</v>
      </c>
      <c r="G117" s="1015">
        <f t="shared" si="36"/>
        <v>0.86599999999999999</v>
      </c>
      <c r="H117" s="1015">
        <f t="shared" si="36"/>
        <v>0.86599999999999999</v>
      </c>
      <c r="I117" s="1015">
        <f>ROUND(0.7412-0.0095*B113,4)</f>
        <v>0.73080000000000001</v>
      </c>
      <c r="J117" s="1015">
        <f t="shared" si="35"/>
        <v>0.73080000000000001</v>
      </c>
      <c r="K117" s="1015">
        <f t="shared" si="35"/>
        <v>0.73080000000000001</v>
      </c>
      <c r="L117" s="1015">
        <f t="shared" si="35"/>
        <v>0.73080000000000001</v>
      </c>
      <c r="M117" s="1016">
        <f t="shared" si="35"/>
        <v>0.73080000000000001</v>
      </c>
    </row>
    <row r="118" spans="1:13" ht="13.5" thickBot="1">
      <c r="A118" s="1018" t="s">
        <v>894</v>
      </c>
      <c r="B118" s="1019">
        <f>ROUND(0.7275-0.01*B113,4)</f>
        <v>0.71650000000000003</v>
      </c>
      <c r="C118" s="1019">
        <f>B118</f>
        <v>0.71650000000000003</v>
      </c>
      <c r="D118" s="1019">
        <f>ROUND(0.7043-0.012*B113,4)</f>
        <v>0.69110000000000005</v>
      </c>
      <c r="E118" s="1019">
        <f>D118</f>
        <v>0.69110000000000005</v>
      </c>
      <c r="F118" s="1019">
        <f>E118</f>
        <v>0.69110000000000005</v>
      </c>
      <c r="G118" s="1019">
        <f>ROUND(0.6299-0.0122*B113,4)</f>
        <v>0.61650000000000005</v>
      </c>
      <c r="H118" s="1019">
        <f>G118</f>
        <v>0.61650000000000005</v>
      </c>
      <c r="I118" s="1019">
        <f>ROUND(0.5667-0.0136*B113,4)</f>
        <v>0.55169999999999997</v>
      </c>
      <c r="J118" s="1019">
        <f t="shared" si="35"/>
        <v>0.55169999999999997</v>
      </c>
      <c r="K118" s="1019">
        <f t="shared" si="35"/>
        <v>0.55169999999999997</v>
      </c>
      <c r="L118" s="1019">
        <f t="shared" si="35"/>
        <v>0.55169999999999997</v>
      </c>
      <c r="M118" s="1020">
        <f t="shared" si="35"/>
        <v>0.55169999999999997</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43" priority="5" stopIfTrue="1" operator="notEqual">
      <formula>"——"</formula>
    </cfRule>
  </conditionalFormatting>
  <conditionalFormatting sqref="F58">
    <cfRule type="cellIs" dxfId="242" priority="4" stopIfTrue="1" operator="notEqual">
      <formula>"——"</formula>
    </cfRule>
  </conditionalFormatting>
  <conditionalFormatting sqref="F69">
    <cfRule type="cellIs" dxfId="241" priority="3" stopIfTrue="1" operator="notEqual">
      <formula>"——"</formula>
    </cfRule>
  </conditionalFormatting>
  <conditionalFormatting sqref="F80">
    <cfRule type="cellIs" dxfId="240" priority="2" stopIfTrue="1" operator="notEqual">
      <formula>"——"</formula>
    </cfRule>
  </conditionalFormatting>
  <conditionalFormatting sqref="H58:H66 H47:H55 H69:H77 H80:H87">
    <cfRule type="cellIs" dxfId="23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sheetPr>
    <tabColor rgb="FF00B0F0"/>
    <pageSetUpPr fitToPage="1"/>
  </sheetPr>
  <dimension ref="A1:AE490"/>
  <sheetViews>
    <sheetView view="pageBreakPreview" topLeftCell="A10" zoomScale="80" zoomScaleNormal="80" zoomScaleSheetLayoutView="80" workbookViewId="0">
      <selection activeCell="C18" sqref="C18:C20"/>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3644</v>
      </c>
      <c r="C1" s="1982"/>
      <c r="D1" s="1982"/>
      <c r="E1" s="1982"/>
      <c r="F1" s="1982"/>
      <c r="G1" s="1982"/>
      <c r="H1" s="1982"/>
      <c r="I1" s="1982"/>
      <c r="J1" s="1982"/>
      <c r="K1" s="414">
        <f>MATCH(B1,'数据-取费表'!A6:A16,0)+5</f>
        <v>6</v>
      </c>
      <c r="L1" s="288"/>
      <c r="M1" s="288"/>
      <c r="N1" s="288"/>
      <c r="O1" s="288"/>
      <c r="P1" s="288"/>
      <c r="Q1" s="288"/>
      <c r="R1" s="288"/>
      <c r="S1" s="288"/>
      <c r="T1" s="288"/>
      <c r="U1" s="288"/>
      <c r="V1" s="288"/>
      <c r="W1" s="288"/>
      <c r="X1" s="288"/>
      <c r="Y1" s="288"/>
      <c r="Z1" s="288"/>
    </row>
    <row r="2" spans="1:31" s="1920" customFormat="1" ht="18" customHeight="1">
      <c r="A2" s="1979" t="s">
        <v>461</v>
      </c>
      <c r="B2" s="1983">
        <f ca="1">C36</f>
        <v>239683</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46443</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87228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5815</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429567</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3644</v>
      </c>
      <c r="D7" s="428"/>
      <c r="E7" s="428"/>
      <c r="F7" s="428"/>
      <c r="G7" s="428"/>
      <c r="H7" s="428"/>
      <c r="I7" s="428"/>
      <c r="J7" s="428"/>
      <c r="K7" s="429"/>
      <c r="AA7" s="1990"/>
      <c r="AB7" s="1990"/>
      <c r="AC7" s="1990"/>
      <c r="AD7" s="1990"/>
      <c r="AE7" s="1990"/>
    </row>
    <row r="8" spans="1:31" s="1993" customFormat="1" ht="13.5" customHeight="1">
      <c r="A8" s="791" t="s">
        <v>1835</v>
      </c>
      <c r="B8" s="257" t="s">
        <v>466</v>
      </c>
      <c r="C8" s="2547">
        <f>'不动产比较法-住宅'!C48</f>
        <v>83237</v>
      </c>
      <c r="D8" s="2547"/>
      <c r="E8" s="2547"/>
      <c r="F8" s="2547"/>
      <c r="G8" s="2547"/>
      <c r="H8" s="2547"/>
      <c r="I8" s="2547"/>
      <c r="J8" s="2547"/>
      <c r="K8" s="2548"/>
      <c r="AA8" s="1992"/>
      <c r="AB8" s="1992"/>
      <c r="AC8" s="1992"/>
      <c r="AD8" s="1992"/>
      <c r="AE8" s="1992"/>
    </row>
    <row r="9" spans="1:31" s="1993" customFormat="1" ht="13.5" customHeight="1">
      <c r="A9" s="791" t="s">
        <v>1836</v>
      </c>
      <c r="B9" s="257" t="s">
        <v>467</v>
      </c>
      <c r="C9" s="433">
        <f>SUMIF('数据-汇总表'!$C19:$C33,剩余法住宅!C7,'数据-汇总表'!$E19:$E33)</f>
        <v>51607.64</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2"/>
      <c r="AB9" s="1992"/>
      <c r="AC9" s="1992"/>
      <c r="AD9" s="1992"/>
      <c r="AE9" s="1992"/>
    </row>
    <row r="10" spans="1:31" s="1993" customFormat="1" ht="13.5" customHeight="1" thickBot="1">
      <c r="A10" s="2549" t="s">
        <v>1837</v>
      </c>
      <c r="B10" s="2535" t="s">
        <v>468</v>
      </c>
      <c r="C10" s="2736">
        <f>ROUND(C8*C9/10000,0)</f>
        <v>429567</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3425" t="s">
        <v>470</v>
      </c>
      <c r="E12" s="3425" t="s">
        <v>471</v>
      </c>
      <c r="F12" s="3425"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'数据-取费表'!M6</f>
        <v>28384</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ROUND(C13*F14,0)</f>
        <v>852</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2271</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1032</v>
      </c>
      <c r="D16" s="2557">
        <f>C9</f>
        <v>51607.64</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ROUND(C13*F17,0)</f>
        <v>426</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32965</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3425">
        <f>ROUND(D19*E19/10000,0)</f>
        <v>0</v>
      </c>
      <c r="D19" s="2567">
        <f>D16</f>
        <v>51607.64</v>
      </c>
      <c r="E19" s="3425">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3425">
        <f ca="1">C21+C22-IF(B1="",'数据-取费表'!B29,IF(G20="已全部缴纳",C21+C22,H20))</f>
        <v>826</v>
      </c>
      <c r="D20" s="2567"/>
      <c r="E20" s="3425"/>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826</v>
      </c>
      <c r="D21" s="2557">
        <f ca="1">IF(B1="",'数据-汇总表'!E5,IF(INDIRECT("'数据-取费表'!c"&amp;$K$1)="住宅",INDIRECT("'数据-取费表'!k"&amp;$K$1),0))</f>
        <v>51607.64</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0</v>
      </c>
      <c r="D22" s="2557">
        <v>0</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1690</v>
      </c>
      <c r="D23" s="460"/>
      <c r="E23" s="460"/>
      <c r="F23" s="3459">
        <v>0.05</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21478</v>
      </c>
      <c r="D24" s="467"/>
      <c r="E24" s="465"/>
      <c r="F24" s="3459">
        <v>0.05</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489</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2706</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2706</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22910</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82575</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82575</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14240</v>
      </c>
      <c r="D33" s="459">
        <f ca="1">C34</f>
        <v>0.2576</v>
      </c>
      <c r="E33" s="461" t="s">
        <v>489</v>
      </c>
      <c r="F33" s="471">
        <f ca="1">IF(B1="",'数据-取费表'!Q16,INDIRECT("'数据-取费表'!q"&amp;$K$1))</f>
        <v>0.25</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0.2576</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14240</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239683</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46443.317307282414</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7.xml><?xml version="1.0" encoding="utf-8"?>
<worksheet xmlns="http://schemas.openxmlformats.org/spreadsheetml/2006/main" xmlns:r="http://schemas.openxmlformats.org/officeDocument/2006/relationships">
  <sheetPr>
    <tabColor rgb="FF00B0F0"/>
  </sheetPr>
  <dimension ref="I3:I51"/>
  <sheetViews>
    <sheetView topLeftCell="B1" workbookViewId="0">
      <selection activeCell="G64" sqref="G64"/>
    </sheetView>
  </sheetViews>
  <sheetFormatPr defaultRowHeight="13.5"/>
  <cols>
    <col min="9" max="9" width="10.875" customWidth="1"/>
  </cols>
  <sheetData>
    <row r="3" spans="9:9">
      <c r="I3" s="3241" t="s">
        <v>3706</v>
      </c>
    </row>
    <row r="5" spans="9:9">
      <c r="I5">
        <v>82341</v>
      </c>
    </row>
    <row r="25" spans="9:9">
      <c r="I25" s="3241" t="s">
        <v>3707</v>
      </c>
    </row>
    <row r="27" spans="9:9">
      <c r="I27">
        <v>77092</v>
      </c>
    </row>
    <row r="49" spans="9:9">
      <c r="I49" s="3241" t="s">
        <v>3708</v>
      </c>
    </row>
    <row r="51" spans="9:9">
      <c r="I51">
        <v>80731</v>
      </c>
    </row>
  </sheetData>
  <phoneticPr fontId="228"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Sheet13">
    <tabColor rgb="FF00B0F0"/>
    <pageSetUpPr fitToPage="1"/>
  </sheetPr>
  <dimension ref="A1:AC268"/>
  <sheetViews>
    <sheetView view="pageBreakPreview" topLeftCell="A18" zoomScale="80" zoomScaleNormal="60" zoomScaleSheetLayoutView="80" workbookViewId="0">
      <selection activeCell="A18" sqref="A18:XFD18"/>
    </sheetView>
  </sheetViews>
  <sheetFormatPr defaultColWidth="9" defaultRowHeight="14.25"/>
  <cols>
    <col min="1" max="1" width="10.5" style="1289" customWidth="1"/>
    <col min="2" max="2" width="15.87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2463" t="s">
        <v>713</v>
      </c>
      <c r="C1" s="2464" t="s">
        <v>714</v>
      </c>
      <c r="D1" s="2465" t="s">
        <v>3644</v>
      </c>
      <c r="E1" s="2005"/>
      <c r="F1" s="2520"/>
      <c r="G1" s="1528" t="s">
        <v>715</v>
      </c>
      <c r="H1" s="498"/>
      <c r="I1" s="498"/>
      <c r="J1" s="498"/>
      <c r="K1" s="499"/>
      <c r="L1" s="3203"/>
      <c r="M1" s="3204"/>
      <c r="N1" s="3204"/>
      <c r="O1" s="3204"/>
      <c r="P1" s="1496"/>
      <c r="Q1" s="1496"/>
      <c r="R1" s="1496"/>
      <c r="S1" s="1496"/>
      <c r="T1" s="1496"/>
      <c r="U1" s="1496"/>
      <c r="V1" s="1496"/>
      <c r="W1" s="1496"/>
      <c r="X1" s="1496"/>
      <c r="Y1" s="1496"/>
      <c r="Z1" s="1496"/>
      <c r="AA1" s="1496"/>
      <c r="AB1" s="1496"/>
      <c r="AC1" s="1497"/>
    </row>
    <row r="2" spans="1:29" s="1313" customFormat="1" ht="28.5" customHeight="1">
      <c r="A2" s="415" t="s">
        <v>461</v>
      </c>
      <c r="B2" s="2462">
        <f>ROUND(B3*D3/10000,0)</f>
        <v>429567</v>
      </c>
      <c r="C2" s="2005"/>
      <c r="D2" s="2005"/>
      <c r="E2" s="2005"/>
      <c r="F2" s="2078"/>
      <c r="G2" s="2005"/>
      <c r="H2" s="2005"/>
      <c r="I2" s="2005"/>
      <c r="J2" s="2005"/>
      <c r="K2" s="2079"/>
      <c r="L2" s="2080"/>
      <c r="M2" s="2081"/>
      <c r="N2" s="2081"/>
      <c r="O2" s="2081"/>
      <c r="P2" s="1529"/>
      <c r="Q2" s="1529"/>
      <c r="R2" s="1529"/>
      <c r="S2" s="1529"/>
      <c r="T2" s="1529"/>
      <c r="U2" s="1529"/>
      <c r="V2" s="1529"/>
      <c r="W2" s="1529"/>
      <c r="X2" s="1529"/>
      <c r="Y2" s="1529"/>
      <c r="Z2" s="1529"/>
      <c r="AA2" s="1529"/>
      <c r="AB2" s="1529"/>
      <c r="AC2" s="1530"/>
    </row>
    <row r="3" spans="1:29" s="1313" customFormat="1" ht="28.5" customHeight="1" thickBot="1">
      <c r="A3" s="501" t="s">
        <v>513</v>
      </c>
      <c r="B3" s="838">
        <f>C49</f>
        <v>83237</v>
      </c>
      <c r="C3" s="839" t="s">
        <v>716</v>
      </c>
      <c r="D3" s="838">
        <f>SUMIF('数据-汇总表'!$C19:$C33,D1,'数据-汇总表'!$E19:$E33)</f>
        <v>51607.64</v>
      </c>
      <c r="E3" s="2005"/>
      <c r="F3" s="2078"/>
      <c r="G3" s="2005"/>
      <c r="H3" s="2005"/>
      <c r="I3" s="2005"/>
      <c r="J3" s="2005"/>
      <c r="K3" s="2079"/>
      <c r="L3" s="2080"/>
      <c r="M3" s="2081"/>
      <c r="N3" s="2081"/>
      <c r="O3" s="2081"/>
      <c r="P3" s="1529"/>
      <c r="Q3" s="1529"/>
      <c r="R3" s="1529"/>
      <c r="S3" s="1529"/>
      <c r="T3" s="1529"/>
      <c r="U3" s="1529"/>
      <c r="V3" s="1529"/>
      <c r="W3" s="1529"/>
      <c r="X3" s="1529"/>
      <c r="Y3" s="1529"/>
      <c r="Z3" s="1529"/>
      <c r="AA3" s="1529"/>
      <c r="AB3" s="1529"/>
      <c r="AC3" s="1531"/>
    </row>
    <row r="4" spans="1:29" ht="15">
      <c r="A4" s="504" t="s">
        <v>515</v>
      </c>
      <c r="B4" s="505"/>
      <c r="C4" s="3782" t="s">
        <v>516</v>
      </c>
      <c r="D4" s="3783"/>
      <c r="E4" s="3784" t="s">
        <v>517</v>
      </c>
      <c r="F4" s="3785"/>
      <c r="G4" s="3782" t="s">
        <v>518</v>
      </c>
      <c r="H4" s="3783"/>
      <c r="I4" s="3782" t="s">
        <v>519</v>
      </c>
      <c r="J4" s="3783"/>
      <c r="K4" s="840" t="s">
        <v>520</v>
      </c>
      <c r="L4" s="2011"/>
      <c r="M4" s="2012"/>
      <c r="N4" s="2012"/>
      <c r="O4" s="2012"/>
      <c r="P4" s="3786" t="s">
        <v>521</v>
      </c>
      <c r="Q4" s="3787"/>
      <c r="R4" s="3792" t="s">
        <v>517</v>
      </c>
      <c r="S4" s="3793"/>
      <c r="T4" s="3792" t="s">
        <v>518</v>
      </c>
      <c r="U4" s="3793"/>
      <c r="V4" s="3798" t="s">
        <v>519</v>
      </c>
      <c r="W4" s="3798"/>
      <c r="X4" s="1498"/>
      <c r="Y4" s="3792" t="s">
        <v>521</v>
      </c>
      <c r="Z4" s="3793"/>
      <c r="AA4" s="3779" t="s">
        <v>517</v>
      </c>
      <c r="AB4" s="3779" t="s">
        <v>518</v>
      </c>
      <c r="AC4" s="3779" t="s">
        <v>519</v>
      </c>
    </row>
    <row r="5" spans="1:29" ht="15">
      <c r="A5" s="507"/>
      <c r="B5" s="508"/>
      <c r="C5" s="3801" t="s">
        <v>2893</v>
      </c>
      <c r="D5" s="3802"/>
      <c r="E5" s="3809" t="s">
        <v>3716</v>
      </c>
      <c r="F5" s="3810"/>
      <c r="G5" s="3801" t="str">
        <f>住宅销售案例!$I$25</f>
        <v>强佑清河新城</v>
      </c>
      <c r="H5" s="3802"/>
      <c r="I5" s="3801" t="str">
        <f>住宅销售案例!$I$49</f>
        <v>橡林郡</v>
      </c>
      <c r="J5" s="3802"/>
      <c r="K5" s="841"/>
      <c r="L5" s="2011"/>
      <c r="M5" s="2012"/>
      <c r="N5" s="2012"/>
      <c r="O5" s="2012"/>
      <c r="P5" s="3788"/>
      <c r="Q5" s="3789"/>
      <c r="R5" s="3794"/>
      <c r="S5" s="3795"/>
      <c r="T5" s="3794"/>
      <c r="U5" s="3795"/>
      <c r="V5" s="3798"/>
      <c r="W5" s="3798"/>
      <c r="X5" s="1498"/>
      <c r="Y5" s="3794"/>
      <c r="Z5" s="3795"/>
      <c r="AA5" s="3780"/>
      <c r="AB5" s="3780"/>
      <c r="AC5" s="3780"/>
    </row>
    <row r="6" spans="1:29" ht="15.75" thickBot="1">
      <c r="A6" s="509"/>
      <c r="B6" s="510"/>
      <c r="C6" s="3806" t="s">
        <v>2897</v>
      </c>
      <c r="D6" s="3800"/>
      <c r="E6" s="3807" t="s">
        <v>3717</v>
      </c>
      <c r="F6" s="3808"/>
      <c r="G6" s="3799" t="s">
        <v>3743</v>
      </c>
      <c r="H6" s="3800"/>
      <c r="I6" s="3799" t="s">
        <v>3743</v>
      </c>
      <c r="J6" s="3800"/>
      <c r="K6" s="841" t="s">
        <v>522</v>
      </c>
      <c r="L6" s="2011"/>
      <c r="M6" s="2012"/>
      <c r="N6" s="2012"/>
      <c r="O6" s="2012"/>
      <c r="P6" s="3790"/>
      <c r="Q6" s="3791"/>
      <c r="R6" s="3794"/>
      <c r="S6" s="3795"/>
      <c r="T6" s="3796"/>
      <c r="U6" s="3797"/>
      <c r="V6" s="3798"/>
      <c r="W6" s="3798"/>
      <c r="X6" s="1498"/>
      <c r="Y6" s="3796"/>
      <c r="Z6" s="3797"/>
      <c r="AA6" s="3781"/>
      <c r="AB6" s="3781"/>
      <c r="AC6" s="3781"/>
    </row>
    <row r="7" spans="1:29" s="1201" customFormat="1" ht="15.75" thickBot="1">
      <c r="A7" s="2625"/>
      <c r="B7" s="2632" t="s">
        <v>523</v>
      </c>
      <c r="C7" s="511">
        <f>'数据-取费表'!B2</f>
        <v>44412</v>
      </c>
      <c r="D7" s="512">
        <v>100</v>
      </c>
      <c r="E7" s="513">
        <v>44378</v>
      </c>
      <c r="F7" s="514">
        <f>SUMIF(58:58,YEAR(E7)&amp;"-"&amp;MONTH(E7),59:59)</f>
        <v>100</v>
      </c>
      <c r="G7" s="515">
        <v>44378</v>
      </c>
      <c r="H7" s="512">
        <f>SUMIF(58:58,YEAR(G7)&amp;"-"&amp;MONTH(G7),59:59)</f>
        <v>100</v>
      </c>
      <c r="I7" s="515">
        <v>44378</v>
      </c>
      <c r="J7" s="512">
        <f>SUMIF(58:58,YEAR(I7)&amp;"-"&amp;MONTH(I7),59:59)</f>
        <v>100</v>
      </c>
      <c r="K7" s="842"/>
      <c r="L7" s="2013"/>
      <c r="M7" s="2014"/>
      <c r="N7" s="2014"/>
      <c r="O7" s="2014"/>
      <c r="P7" s="3803" t="s">
        <v>524</v>
      </c>
      <c r="Q7" s="3805"/>
      <c r="R7" s="1499" t="s">
        <v>13</v>
      </c>
      <c r="S7" s="1500">
        <f t="shared" ref="S7:S15" si="0">F7</f>
        <v>100</v>
      </c>
      <c r="T7" s="1499" t="s">
        <v>13</v>
      </c>
      <c r="U7" s="1500">
        <f t="shared" ref="U7:U15" si="1">H7</f>
        <v>100</v>
      </c>
      <c r="V7" s="1499" t="s">
        <v>13</v>
      </c>
      <c r="W7" s="1500">
        <f t="shared" ref="W7:W15" si="2">J7</f>
        <v>100</v>
      </c>
      <c r="X7" s="1501"/>
      <c r="Y7" s="3803" t="s">
        <v>524</v>
      </c>
      <c r="Z7" s="3804"/>
      <c r="AA7" s="1502">
        <f>D7/F7</f>
        <v>1</v>
      </c>
      <c r="AB7" s="1502">
        <f>D7/H7</f>
        <v>1</v>
      </c>
      <c r="AC7" s="1502">
        <f>D7/J7</f>
        <v>1</v>
      </c>
    </row>
    <row r="8" spans="1:29" s="1201" customFormat="1" ht="15.75" thickBot="1">
      <c r="A8" s="2626"/>
      <c r="B8" s="2633" t="s">
        <v>525</v>
      </c>
      <c r="C8" s="517" t="s">
        <v>570</v>
      </c>
      <c r="D8" s="512">
        <v>100</v>
      </c>
      <c r="E8" s="843" t="s">
        <v>3053</v>
      </c>
      <c r="F8" s="514">
        <f>SUMIF(61:61,E8,62:62)-SUMIF(61:61,C8,62:62)+100</f>
        <v>100</v>
      </c>
      <c r="G8" s="517" t="s">
        <v>3053</v>
      </c>
      <c r="H8" s="512">
        <f>SUMIF(61:61,G8,62:62)-SUMIF(61:61,C8,62:62)+100</f>
        <v>100</v>
      </c>
      <c r="I8" s="843" t="s">
        <v>3053</v>
      </c>
      <c r="J8" s="512">
        <f>SUMIF(61:61,I8,62:62)-SUMIF(61:61,C8,62:62)+100</f>
        <v>100</v>
      </c>
      <c r="K8" s="842"/>
      <c r="L8" s="2013"/>
      <c r="M8" s="2014"/>
      <c r="N8" s="2014"/>
      <c r="O8" s="2014"/>
      <c r="P8" s="3803" t="s">
        <v>527</v>
      </c>
      <c r="Q8" s="3804"/>
      <c r="R8" s="1499" t="s">
        <v>13</v>
      </c>
      <c r="S8" s="1500">
        <f t="shared" si="0"/>
        <v>100</v>
      </c>
      <c r="T8" s="1499" t="s">
        <v>13</v>
      </c>
      <c r="U8" s="1500">
        <f t="shared" si="1"/>
        <v>100</v>
      </c>
      <c r="V8" s="1499" t="s">
        <v>13</v>
      </c>
      <c r="W8" s="1500">
        <f t="shared" si="2"/>
        <v>100</v>
      </c>
      <c r="X8" s="1501"/>
      <c r="Y8" s="3803" t="s">
        <v>527</v>
      </c>
      <c r="Z8" s="3804"/>
      <c r="AA8" s="1502">
        <f t="shared" ref="AA8:AA46" si="3">D8/F8</f>
        <v>1</v>
      </c>
      <c r="AB8" s="1502">
        <f t="shared" ref="AB8:AB46" si="4">D8/H8</f>
        <v>1</v>
      </c>
      <c r="AC8" s="1502">
        <f t="shared" ref="AC8:AC46" si="5">D8/J8</f>
        <v>1</v>
      </c>
    </row>
    <row r="9" spans="1:29" s="1201" customFormat="1" ht="15">
      <c r="A9" s="2627"/>
      <c r="B9" s="2634" t="s">
        <v>2735</v>
      </c>
      <c r="C9" s="3457" t="s">
        <v>3714</v>
      </c>
      <c r="D9" s="250">
        <v>100</v>
      </c>
      <c r="E9" s="845" t="s">
        <v>914</v>
      </c>
      <c r="F9" s="846">
        <f>SUMIF(63:63,E9,64:64)-SUMIF(63:63,C9,64:64)+100</f>
        <v>100</v>
      </c>
      <c r="G9" s="847" t="s">
        <v>914</v>
      </c>
      <c r="H9" s="250">
        <f>SUMIF(63:63,G9,64:64)-SUMIF(63:63,C9,64:64)+100</f>
        <v>100</v>
      </c>
      <c r="I9" s="847" t="s">
        <v>914</v>
      </c>
      <c r="J9" s="250">
        <f>SUMIF(63:63,I9,64:64)-SUMIF(63:63,C9,64:64)+100</f>
        <v>100</v>
      </c>
      <c r="K9" s="842"/>
      <c r="L9" s="2013"/>
      <c r="M9" s="2014"/>
      <c r="N9" s="2014"/>
      <c r="O9" s="2015"/>
      <c r="P9" s="3772" t="s">
        <v>529</v>
      </c>
      <c r="Q9" s="1132" t="str">
        <f t="shared" ref="Q9:Q15" si="6">B9</f>
        <v>用途</v>
      </c>
      <c r="R9" s="1499" t="s">
        <v>8</v>
      </c>
      <c r="S9" s="1500">
        <f t="shared" si="0"/>
        <v>100</v>
      </c>
      <c r="T9" s="1499" t="s">
        <v>8</v>
      </c>
      <c r="U9" s="1500">
        <f t="shared" si="1"/>
        <v>100</v>
      </c>
      <c r="V9" s="1499" t="s">
        <v>8</v>
      </c>
      <c r="W9" s="1500">
        <f t="shared" si="2"/>
        <v>100</v>
      </c>
      <c r="X9" s="1501"/>
      <c r="Y9" s="3675" t="s">
        <v>530</v>
      </c>
      <c r="Z9" s="1131" t="str">
        <f t="shared" ref="Z9:Z15" si="7">Q9</f>
        <v>用途</v>
      </c>
      <c r="AA9" s="1502">
        <f t="shared" si="3"/>
        <v>1</v>
      </c>
      <c r="AB9" s="1502">
        <f t="shared" si="4"/>
        <v>1</v>
      </c>
      <c r="AC9" s="1502">
        <f t="shared" si="5"/>
        <v>1</v>
      </c>
    </row>
    <row r="10" spans="1:29" s="1290" customFormat="1" ht="27">
      <c r="A10" s="2628"/>
      <c r="B10" s="2633" t="s">
        <v>2736</v>
      </c>
      <c r="C10" s="848" t="s">
        <v>3744</v>
      </c>
      <c r="D10" s="251">
        <v>100</v>
      </c>
      <c r="E10" s="849" t="s">
        <v>3715</v>
      </c>
      <c r="F10" s="850">
        <f>SUMIF(65:65,E10,66:66)-SUMIF(65:65,C10,66:66)+100</f>
        <v>102</v>
      </c>
      <c r="G10" s="848" t="s">
        <v>3744</v>
      </c>
      <c r="H10" s="251">
        <f>SUMIF(65:65,G10,66:66)-SUMIF(65:65,C10,66:66)+100</f>
        <v>100</v>
      </c>
      <c r="I10" s="848" t="s">
        <v>3715</v>
      </c>
      <c r="J10" s="251">
        <f>SUMIF(65:65,I10,66:66)-SUMIF(65:65,C10,66:66)+100</f>
        <v>102</v>
      </c>
      <c r="K10" s="851">
        <v>2</v>
      </c>
      <c r="L10" s="2016"/>
      <c r="M10" s="2055"/>
      <c r="N10" s="2055"/>
      <c r="O10" s="2017"/>
      <c r="P10" s="3772"/>
      <c r="Q10" s="1132" t="str">
        <f t="shared" si="6"/>
        <v>土地使用年限（年）</v>
      </c>
      <c r="R10" s="1499" t="s">
        <v>8</v>
      </c>
      <c r="S10" s="1500">
        <f t="shared" si="0"/>
        <v>102</v>
      </c>
      <c r="T10" s="1499" t="s">
        <v>8</v>
      </c>
      <c r="U10" s="1500">
        <f t="shared" si="1"/>
        <v>100</v>
      </c>
      <c r="V10" s="1499" t="s">
        <v>8</v>
      </c>
      <c r="W10" s="1500">
        <f t="shared" si="2"/>
        <v>102</v>
      </c>
      <c r="X10" s="1501"/>
      <c r="Y10" s="3675"/>
      <c r="Z10" s="1131" t="str">
        <f t="shared" si="7"/>
        <v>土地使用年限（年）</v>
      </c>
      <c r="AA10" s="1502">
        <f t="shared" si="3"/>
        <v>0.98039215686274506</v>
      </c>
      <c r="AB10" s="1502">
        <f t="shared" si="4"/>
        <v>1</v>
      </c>
      <c r="AC10" s="1502">
        <f t="shared" si="5"/>
        <v>0.98039215686274506</v>
      </c>
    </row>
    <row r="11" spans="1:29" ht="15">
      <c r="A11" s="2629"/>
      <c r="B11" s="2633" t="s">
        <v>2737</v>
      </c>
      <c r="C11" s="525">
        <f>'数据-汇总表'!I6</f>
        <v>1.1000000000000001</v>
      </c>
      <c r="D11" s="251">
        <v>100</v>
      </c>
      <c r="E11" s="526">
        <v>2.5</v>
      </c>
      <c r="F11" s="850">
        <f>LOOKUP(E11,68:68,69:69)-LOOKUP(C11,68:68,69:69)+100</f>
        <v>97</v>
      </c>
      <c r="G11" s="525">
        <v>2.87</v>
      </c>
      <c r="H11" s="251">
        <f>LOOKUP(G11,68:68,69:69)-LOOKUP(C11,68:68,69:69)+100</f>
        <v>97</v>
      </c>
      <c r="I11" s="525">
        <v>3.13</v>
      </c>
      <c r="J11" s="251">
        <f>LOOKUP(I11,68:68,69:69)-LOOKUP(C11,68:68,69:69)+100</f>
        <v>96</v>
      </c>
      <c r="K11" s="851">
        <v>1</v>
      </c>
      <c r="L11" s="2018"/>
      <c r="M11" s="2012"/>
      <c r="N11" s="2012"/>
      <c r="O11" s="2019"/>
      <c r="P11" s="3772"/>
      <c r="Q11" s="1132" t="str">
        <f t="shared" si="6"/>
        <v>容积率</v>
      </c>
      <c r="R11" s="1499" t="s">
        <v>11</v>
      </c>
      <c r="S11" s="1500">
        <f t="shared" si="0"/>
        <v>97</v>
      </c>
      <c r="T11" s="1499" t="s">
        <v>11</v>
      </c>
      <c r="U11" s="1500">
        <f t="shared" si="1"/>
        <v>97</v>
      </c>
      <c r="V11" s="1499" t="s">
        <v>11</v>
      </c>
      <c r="W11" s="1500">
        <f t="shared" si="2"/>
        <v>96</v>
      </c>
      <c r="X11" s="1501"/>
      <c r="Y11" s="3675"/>
      <c r="Z11" s="1131" t="str">
        <f t="shared" si="7"/>
        <v>容积率</v>
      </c>
      <c r="AA11" s="1502">
        <f t="shared" si="3"/>
        <v>1.0309278350515463</v>
      </c>
      <c r="AB11" s="1502">
        <f t="shared" si="4"/>
        <v>1.0309278350515463</v>
      </c>
      <c r="AC11" s="1502">
        <f t="shared" si="5"/>
        <v>1.0416666666666667</v>
      </c>
    </row>
    <row r="12" spans="1:29" s="1201" customFormat="1" ht="15">
      <c r="A12" s="2630"/>
      <c r="B12" s="2636">
        <v>111</v>
      </c>
      <c r="C12" s="520"/>
      <c r="D12" s="530">
        <v>100</v>
      </c>
      <c r="E12" s="520"/>
      <c r="F12" s="850">
        <f>SUMIF(70:70,E12,71:71)-SUMIF(70:70,C12,71:71)+100</f>
        <v>100</v>
      </c>
      <c r="G12" s="520"/>
      <c r="H12" s="251">
        <f>SUMIF(70:70,G12,71:71)-SUMIF(70:70,C12,71:71)+100</f>
        <v>100</v>
      </c>
      <c r="I12" s="520"/>
      <c r="J12" s="251">
        <f>SUMIF(70:70,I12,71:71)-SUMIF(70:70,C12,71:71)+100</f>
        <v>100</v>
      </c>
      <c r="K12" s="852"/>
      <c r="L12" s="2013"/>
      <c r="M12" s="2014"/>
      <c r="N12" s="2014"/>
      <c r="O12" s="2015"/>
      <c r="P12" s="3772"/>
      <c r="Q12" s="1132">
        <f t="shared" si="6"/>
        <v>111</v>
      </c>
      <c r="R12" s="1499" t="s">
        <v>11</v>
      </c>
      <c r="S12" s="1500">
        <f t="shared" si="0"/>
        <v>100</v>
      </c>
      <c r="T12" s="1499" t="s">
        <v>11</v>
      </c>
      <c r="U12" s="1500">
        <f t="shared" si="1"/>
        <v>100</v>
      </c>
      <c r="V12" s="1499" t="s">
        <v>11</v>
      </c>
      <c r="W12" s="1500">
        <f t="shared" si="2"/>
        <v>100</v>
      </c>
      <c r="X12" s="1501"/>
      <c r="Y12" s="3675"/>
      <c r="Z12" s="1131">
        <f t="shared" si="7"/>
        <v>111</v>
      </c>
      <c r="AA12" s="1502">
        <f>D12/F12</f>
        <v>1</v>
      </c>
      <c r="AB12" s="1502">
        <f>D12/H12</f>
        <v>1</v>
      </c>
      <c r="AC12" s="1502">
        <f>D12/J12</f>
        <v>1</v>
      </c>
    </row>
    <row r="13" spans="1:29" ht="15">
      <c r="A13" s="2630"/>
      <c r="B13" s="2636">
        <v>111</v>
      </c>
      <c r="C13" s="531"/>
      <c r="D13" s="532">
        <v>100</v>
      </c>
      <c r="E13" s="531"/>
      <c r="F13" s="850">
        <f>SUMIF(72:72,E13,73:73)-SUMIF(72:72,C13,73:73)+100</f>
        <v>100</v>
      </c>
      <c r="G13" s="531"/>
      <c r="H13" s="532">
        <f>SUMIF(72:72,G13,73:73)-SUMIF(72:72,C13,73:73)+100</f>
        <v>100</v>
      </c>
      <c r="I13" s="531"/>
      <c r="J13" s="532">
        <f>SUMIF(72:72,I13,73:73)-SUMIF(72:72,C13,73:73)+100</f>
        <v>100</v>
      </c>
      <c r="K13" s="852"/>
      <c r="L13" s="2020"/>
      <c r="M13" s="2012"/>
      <c r="N13" s="2012"/>
      <c r="O13" s="2019"/>
      <c r="P13" s="3772"/>
      <c r="Q13" s="1132">
        <f t="shared" si="6"/>
        <v>111</v>
      </c>
      <c r="R13" s="1499" t="s">
        <v>11</v>
      </c>
      <c r="S13" s="1500">
        <f t="shared" si="0"/>
        <v>100</v>
      </c>
      <c r="T13" s="1499" t="s">
        <v>11</v>
      </c>
      <c r="U13" s="1500">
        <f t="shared" si="1"/>
        <v>100</v>
      </c>
      <c r="V13" s="1499" t="s">
        <v>11</v>
      </c>
      <c r="W13" s="1500">
        <f t="shared" si="2"/>
        <v>100</v>
      </c>
      <c r="X13" s="1501"/>
      <c r="Y13" s="3675"/>
      <c r="Z13" s="1131">
        <f t="shared" si="7"/>
        <v>111</v>
      </c>
      <c r="AA13" s="1502">
        <f t="shared" si="3"/>
        <v>1</v>
      </c>
      <c r="AB13" s="1502">
        <f t="shared" si="4"/>
        <v>1</v>
      </c>
      <c r="AC13" s="1502">
        <f t="shared" si="5"/>
        <v>1</v>
      </c>
    </row>
    <row r="14" spans="1:29" ht="15.75" thickBot="1">
      <c r="A14" s="2631"/>
      <c r="B14" s="2637">
        <v>111</v>
      </c>
      <c r="C14" s="537"/>
      <c r="D14" s="538">
        <v>100</v>
      </c>
      <c r="E14" s="537"/>
      <c r="F14" s="853">
        <f>SUMIF(74:74,E14,75:75)-SUMIF(74:74,C14,75:75)+100</f>
        <v>100</v>
      </c>
      <c r="G14" s="537"/>
      <c r="H14" s="538">
        <f>SUMIF(74:74,G14,75:75)-SUMIF(74:74,C14,75:75)+100</f>
        <v>100</v>
      </c>
      <c r="I14" s="537"/>
      <c r="J14" s="538">
        <f>SUMIF(74:74,I14,75:75)-SUMIF(74:74,C14,75:75)+100</f>
        <v>100</v>
      </c>
      <c r="K14" s="852"/>
      <c r="L14" s="2020"/>
      <c r="M14" s="2012"/>
      <c r="N14" s="2012"/>
      <c r="O14" s="2019"/>
      <c r="P14" s="3772"/>
      <c r="Q14" s="1132">
        <f t="shared" si="6"/>
        <v>111</v>
      </c>
      <c r="R14" s="1499" t="s">
        <v>11</v>
      </c>
      <c r="S14" s="1500">
        <f t="shared" si="0"/>
        <v>100</v>
      </c>
      <c r="T14" s="1499" t="s">
        <v>11</v>
      </c>
      <c r="U14" s="1500">
        <f t="shared" si="1"/>
        <v>100</v>
      </c>
      <c r="V14" s="1499" t="s">
        <v>11</v>
      </c>
      <c r="W14" s="1500">
        <f t="shared" si="2"/>
        <v>100</v>
      </c>
      <c r="X14" s="1501"/>
      <c r="Y14" s="3675"/>
      <c r="Z14" s="1131">
        <f t="shared" si="7"/>
        <v>111</v>
      </c>
      <c r="AA14" s="1502">
        <f t="shared" si="3"/>
        <v>1</v>
      </c>
      <c r="AB14" s="1502">
        <f t="shared" si="4"/>
        <v>1</v>
      </c>
      <c r="AC14" s="1502">
        <f t="shared" si="5"/>
        <v>1</v>
      </c>
    </row>
    <row r="15" spans="1:29" ht="99.75">
      <c r="A15" s="2623" t="s">
        <v>2733</v>
      </c>
      <c r="B15" s="162" t="s">
        <v>295</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105</v>
      </c>
      <c r="I15" s="542"/>
      <c r="J15" s="541">
        <f>SUMIF(76:76,I16,77:77)-SUMIF(76:76,C16,77:77)+100</f>
        <v>105</v>
      </c>
      <c r="K15" s="855">
        <v>5</v>
      </c>
      <c r="L15" s="2020"/>
      <c r="M15" s="2012"/>
      <c r="N15" s="2012"/>
      <c r="O15" s="2019"/>
      <c r="P15" s="3774" t="s">
        <v>534</v>
      </c>
      <c r="Q15" s="1503" t="str">
        <f t="shared" si="6"/>
        <v>居住社区成熟度</v>
      </c>
      <c r="R15" s="1504" t="s">
        <v>11</v>
      </c>
      <c r="S15" s="1505">
        <f t="shared" si="0"/>
        <v>100</v>
      </c>
      <c r="T15" s="1504" t="s">
        <v>11</v>
      </c>
      <c r="U15" s="1505">
        <f t="shared" si="1"/>
        <v>105</v>
      </c>
      <c r="V15" s="1504" t="s">
        <v>11</v>
      </c>
      <c r="W15" s="1505">
        <f t="shared" si="2"/>
        <v>105</v>
      </c>
      <c r="X15" s="1498"/>
      <c r="Y15" s="3774" t="s">
        <v>534</v>
      </c>
      <c r="Z15" s="1506" t="str">
        <f t="shared" si="7"/>
        <v>居住社区成熟度</v>
      </c>
      <c r="AA15" s="1507">
        <f t="shared" si="3"/>
        <v>1</v>
      </c>
      <c r="AB15" s="1507">
        <f t="shared" si="4"/>
        <v>0.95238095238095233</v>
      </c>
      <c r="AC15" s="1507">
        <f t="shared" si="5"/>
        <v>0.95238095238095233</v>
      </c>
    </row>
    <row r="16" spans="1:29" ht="15">
      <c r="A16" s="524"/>
      <c r="B16" s="856"/>
      <c r="C16" s="568" t="s">
        <v>3042</v>
      </c>
      <c r="D16" s="547"/>
      <c r="E16" s="548" t="s">
        <v>3042</v>
      </c>
      <c r="F16" s="549"/>
      <c r="G16" s="550" t="s">
        <v>3041</v>
      </c>
      <c r="H16" s="551"/>
      <c r="I16" s="548" t="s">
        <v>3041</v>
      </c>
      <c r="J16" s="547"/>
      <c r="K16" s="857"/>
      <c r="L16" s="2020"/>
      <c r="M16" s="2012"/>
      <c r="N16" s="2012"/>
      <c r="O16" s="2019"/>
      <c r="P16" s="3775"/>
      <c r="Q16" s="1503"/>
      <c r="R16" s="1504"/>
      <c r="S16" s="1505"/>
      <c r="T16" s="1504"/>
      <c r="U16" s="1505"/>
      <c r="V16" s="1504"/>
      <c r="W16" s="1505"/>
      <c r="X16" s="1498"/>
      <c r="Y16" s="3775"/>
      <c r="Z16" s="1506"/>
      <c r="AA16" s="1507">
        <v>1</v>
      </c>
      <c r="AB16" s="1507">
        <v>1</v>
      </c>
      <c r="AC16" s="1507">
        <v>1</v>
      </c>
    </row>
    <row r="17" spans="1:29" ht="156.75">
      <c r="A17" s="524"/>
      <c r="B17" s="858" t="s">
        <v>296</v>
      </c>
      <c r="C17" s="859" t="str">
        <f>估价对象房地状况!C6</f>
        <v>紧邻地铁16号线（西北旺站），周边有333路、384路、438路、570路、575路、623路、902路、908路、909路、快速直达专线152路、专143路等多条公交线路，交通便捷度好</v>
      </c>
      <c r="D17" s="551">
        <v>100</v>
      </c>
      <c r="E17" s="554"/>
      <c r="F17" s="555">
        <f>SUMIF(78:78,E18,79:79)-SUMIF(78:78,C18,79:79)+100</f>
        <v>100</v>
      </c>
      <c r="G17" s="556"/>
      <c r="H17" s="557">
        <f>SUMIF(78:78,G18,79:79)-SUMIF(78:78,C18,79:79)+100</f>
        <v>100</v>
      </c>
      <c r="I17" s="554"/>
      <c r="J17" s="557">
        <f>SUMIF(78:78,I18,79:79)-SUMIF(78:78,C18,79:79)+100</f>
        <v>100</v>
      </c>
      <c r="K17" s="855">
        <v>2</v>
      </c>
      <c r="L17" s="2020"/>
      <c r="M17" s="2012"/>
      <c r="N17" s="2012"/>
      <c r="O17" s="2019"/>
      <c r="P17" s="3775"/>
      <c r="Q17" s="1503" t="str">
        <f>B17</f>
        <v>交通便捷度</v>
      </c>
      <c r="R17" s="1504" t="s">
        <v>11</v>
      </c>
      <c r="S17" s="1505">
        <f>F17</f>
        <v>100</v>
      </c>
      <c r="T17" s="1504" t="s">
        <v>11</v>
      </c>
      <c r="U17" s="1505">
        <f>H17</f>
        <v>100</v>
      </c>
      <c r="V17" s="1504" t="s">
        <v>11</v>
      </c>
      <c r="W17" s="1505">
        <f>J17</f>
        <v>100</v>
      </c>
      <c r="X17" s="1498"/>
      <c r="Y17" s="3775"/>
      <c r="Z17" s="1506" t="str">
        <f>Q17</f>
        <v>交通便捷度</v>
      </c>
      <c r="AA17" s="1507">
        <f t="shared" si="3"/>
        <v>1</v>
      </c>
      <c r="AB17" s="1507">
        <f t="shared" si="4"/>
        <v>1</v>
      </c>
      <c r="AC17" s="1507">
        <f t="shared" si="5"/>
        <v>1</v>
      </c>
    </row>
    <row r="18" spans="1:29" ht="15">
      <c r="A18" s="524"/>
      <c r="B18" s="587"/>
      <c r="C18" s="860" t="s">
        <v>3042</v>
      </c>
      <c r="D18" s="551"/>
      <c r="E18" s="560" t="s">
        <v>3042</v>
      </c>
      <c r="F18" s="555"/>
      <c r="G18" s="561" t="s">
        <v>3042</v>
      </c>
      <c r="H18" s="547"/>
      <c r="I18" s="560" t="s">
        <v>3042</v>
      </c>
      <c r="J18" s="547"/>
      <c r="K18" s="857"/>
      <c r="L18" s="2020"/>
      <c r="M18" s="2012"/>
      <c r="N18" s="2012"/>
      <c r="O18" s="2019"/>
      <c r="P18" s="3775"/>
      <c r="Q18" s="1503"/>
      <c r="R18" s="1504"/>
      <c r="S18" s="1505"/>
      <c r="T18" s="1504"/>
      <c r="U18" s="1505"/>
      <c r="V18" s="1504"/>
      <c r="W18" s="1505"/>
      <c r="X18" s="1498"/>
      <c r="Y18" s="3775"/>
      <c r="Z18" s="1506"/>
      <c r="AA18" s="1507">
        <v>1</v>
      </c>
      <c r="AB18" s="1507">
        <v>1</v>
      </c>
      <c r="AC18" s="1507">
        <v>1</v>
      </c>
    </row>
    <row r="19" spans="1:29" ht="299.25">
      <c r="A19" s="524"/>
      <c r="B19" s="2440" t="s">
        <v>2527</v>
      </c>
      <c r="C19" s="859"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562"/>
      <c r="F19" s="563">
        <f>SUMIF(80:80,E20,81:81)-SUMIF(80:80,C20,81:81)+100</f>
        <v>98</v>
      </c>
      <c r="G19" s="564"/>
      <c r="H19" s="551">
        <f>SUMIF(80:80,G20,81:81)-SUMIF(80:80,C20,81:81)+100</f>
        <v>100</v>
      </c>
      <c r="I19" s="562"/>
      <c r="J19" s="551">
        <f>SUMIF(80:80,I20,81:81)-SUMIF(80:80,C20,81:81)+100</f>
        <v>100</v>
      </c>
      <c r="K19" s="855">
        <v>2</v>
      </c>
      <c r="L19" s="2020"/>
      <c r="M19" s="2012"/>
      <c r="N19" s="2012"/>
      <c r="O19" s="2019"/>
      <c r="P19" s="3775"/>
      <c r="Q19" s="1503" t="str">
        <f>B19</f>
        <v>公共配套设施</v>
      </c>
      <c r="R19" s="1504" t="s">
        <v>11</v>
      </c>
      <c r="S19" s="1505">
        <f>F19</f>
        <v>98</v>
      </c>
      <c r="T19" s="1504" t="s">
        <v>11</v>
      </c>
      <c r="U19" s="1505">
        <f>H19</f>
        <v>100</v>
      </c>
      <c r="V19" s="1504" t="s">
        <v>11</v>
      </c>
      <c r="W19" s="1505">
        <f>J19</f>
        <v>100</v>
      </c>
      <c r="X19" s="1498"/>
      <c r="Y19" s="3775"/>
      <c r="Z19" s="1506" t="str">
        <f>Q19</f>
        <v>公共配套设施</v>
      </c>
      <c r="AA19" s="1507">
        <f t="shared" si="3"/>
        <v>1.0204081632653061</v>
      </c>
      <c r="AB19" s="1507">
        <f t="shared" si="4"/>
        <v>1</v>
      </c>
      <c r="AC19" s="1507">
        <f t="shared" si="5"/>
        <v>1</v>
      </c>
    </row>
    <row r="20" spans="1:29" ht="15">
      <c r="A20" s="524"/>
      <c r="B20" s="587"/>
      <c r="C20" s="568" t="s">
        <v>3042</v>
      </c>
      <c r="D20" s="547"/>
      <c r="E20" s="548" t="s">
        <v>3040</v>
      </c>
      <c r="F20" s="549"/>
      <c r="G20" s="550" t="s">
        <v>3042</v>
      </c>
      <c r="H20" s="547"/>
      <c r="I20" s="548" t="s">
        <v>3042</v>
      </c>
      <c r="J20" s="547"/>
      <c r="K20" s="857"/>
      <c r="L20" s="2020"/>
      <c r="M20" s="2012"/>
      <c r="N20" s="2012"/>
      <c r="O20" s="2019"/>
      <c r="P20" s="3775"/>
      <c r="Q20" s="1503"/>
      <c r="R20" s="1504"/>
      <c r="S20" s="1505"/>
      <c r="T20" s="1504"/>
      <c r="U20" s="1505"/>
      <c r="V20" s="1504"/>
      <c r="W20" s="1505"/>
      <c r="X20" s="1498"/>
      <c r="Y20" s="3775"/>
      <c r="Z20" s="1506"/>
      <c r="AA20" s="1507">
        <v>1</v>
      </c>
      <c r="AB20" s="1507">
        <v>1</v>
      </c>
      <c r="AC20" s="1507">
        <v>1</v>
      </c>
    </row>
    <row r="21" spans="1:29" ht="15">
      <c r="A21" s="524"/>
      <c r="B21" s="2433" t="s">
        <v>2539</v>
      </c>
      <c r="C21" s="859" t="str">
        <f>估价对象房地状况!C8</f>
        <v>七通</v>
      </c>
      <c r="D21" s="557">
        <v>100</v>
      </c>
      <c r="E21" s="564"/>
      <c r="F21" s="563">
        <f>SUMIF(82:82,E22,83:83)-SUMIF(82:82,C22,83:83)+100</f>
        <v>100</v>
      </c>
      <c r="G21" s="564"/>
      <c r="H21" s="557">
        <f>SUMIF(82:82,G22,83:83)-SUMIF(82:82,C22,83:83)+100</f>
        <v>100</v>
      </c>
      <c r="I21" s="562"/>
      <c r="J21" s="557">
        <f>SUMIF(82:82,I22,83:83)-SUMIF(82:82,C22,83:83)+100</f>
        <v>100</v>
      </c>
      <c r="K21" s="855"/>
      <c r="L21" s="2020"/>
      <c r="M21" s="2012"/>
      <c r="N21" s="2012"/>
      <c r="O21" s="2019"/>
      <c r="P21" s="3775"/>
      <c r="Q21" s="2425" t="str">
        <f>B21</f>
        <v>基础设施水平</v>
      </c>
      <c r="R21" s="1504" t="s">
        <v>11</v>
      </c>
      <c r="S21" s="1505">
        <f>F21</f>
        <v>100</v>
      </c>
      <c r="T21" s="1504" t="s">
        <v>11</v>
      </c>
      <c r="U21" s="1505">
        <f>H21</f>
        <v>100</v>
      </c>
      <c r="V21" s="1504" t="s">
        <v>11</v>
      </c>
      <c r="W21" s="1505">
        <f>J21</f>
        <v>100</v>
      </c>
      <c r="X21" s="2427"/>
      <c r="Y21" s="3775"/>
      <c r="Z21" s="2426" t="str">
        <f>Q21</f>
        <v>基础设施水平</v>
      </c>
      <c r="AA21" s="1507">
        <f t="shared" ref="AA21" si="8">D21/F21</f>
        <v>1</v>
      </c>
      <c r="AB21" s="1507">
        <f t="shared" ref="AB21" si="9">D21/H21</f>
        <v>1</v>
      </c>
      <c r="AC21" s="1507">
        <f t="shared" ref="AC21" si="10">D21/J21</f>
        <v>1</v>
      </c>
    </row>
    <row r="22" spans="1:29" ht="15">
      <c r="A22" s="524"/>
      <c r="B22" s="909"/>
      <c r="C22" s="860" t="s">
        <v>3027</v>
      </c>
      <c r="D22" s="547"/>
      <c r="E22" s="568" t="s">
        <v>3027</v>
      </c>
      <c r="F22" s="549"/>
      <c r="G22" s="568" t="s">
        <v>3027</v>
      </c>
      <c r="H22" s="547"/>
      <c r="I22" s="568" t="s">
        <v>3027</v>
      </c>
      <c r="J22" s="547"/>
      <c r="K22" s="2439"/>
      <c r="L22" s="2020"/>
      <c r="M22" s="2012"/>
      <c r="N22" s="2012"/>
      <c r="O22" s="2019"/>
      <c r="P22" s="3775"/>
      <c r="Q22" s="2425"/>
      <c r="R22" s="1504"/>
      <c r="S22" s="1505"/>
      <c r="T22" s="1504"/>
      <c r="U22" s="1505"/>
      <c r="V22" s="1504"/>
      <c r="W22" s="1505"/>
      <c r="X22" s="2427"/>
      <c r="Y22" s="3775"/>
      <c r="Z22" s="2426"/>
      <c r="AA22" s="1507">
        <v>1</v>
      </c>
      <c r="AB22" s="1507">
        <v>1</v>
      </c>
      <c r="AC22" s="1507">
        <v>1</v>
      </c>
    </row>
    <row r="23" spans="1:29" ht="156.75">
      <c r="A23" s="524"/>
      <c r="B23" s="858" t="s">
        <v>297</v>
      </c>
      <c r="C23" s="859" t="str">
        <f>估价对象房地状况!C9</f>
        <v>区域自然环境：百望山、药用植物园、百旺公园、首师大附中口袋公园、中关村公园、小关村公园、京密引水渠等；人文环境：西北旺镇政府；综合评价环境状况较好</v>
      </c>
      <c r="D23" s="551">
        <v>100</v>
      </c>
      <c r="E23" s="554"/>
      <c r="F23" s="555">
        <f>SUMIF(84:84,E24,85:85)-SUMIF(84:84,C24,85:85)+100</f>
        <v>99</v>
      </c>
      <c r="G23" s="556"/>
      <c r="H23" s="551">
        <f>SUMIF(84:84,G24,85:85)-SUMIF(84:84,C24,85:85)+100</f>
        <v>98</v>
      </c>
      <c r="I23" s="554"/>
      <c r="J23" s="551">
        <f>SUMIF(84:84,I24,85:85)-SUMIF(84:84,C24,85:85)+100</f>
        <v>98</v>
      </c>
      <c r="K23" s="855">
        <v>1</v>
      </c>
      <c r="L23" s="2020"/>
      <c r="M23" s="2012"/>
      <c r="N23" s="2012"/>
      <c r="O23" s="2019"/>
      <c r="P23" s="3775"/>
      <c r="Q23" s="1503" t="str">
        <f>B23</f>
        <v>自然及人文环境</v>
      </c>
      <c r="R23" s="1504" t="s">
        <v>11</v>
      </c>
      <c r="S23" s="1505">
        <f>F23</f>
        <v>99</v>
      </c>
      <c r="T23" s="1504" t="s">
        <v>11</v>
      </c>
      <c r="U23" s="1505">
        <f>H23</f>
        <v>98</v>
      </c>
      <c r="V23" s="1504" t="s">
        <v>11</v>
      </c>
      <c r="W23" s="1505">
        <f>J23</f>
        <v>98</v>
      </c>
      <c r="X23" s="1498"/>
      <c r="Y23" s="3775"/>
      <c r="Z23" s="1506" t="str">
        <f>Q23</f>
        <v>自然及人文环境</v>
      </c>
      <c r="AA23" s="1507">
        <f t="shared" si="3"/>
        <v>1.0101010101010102</v>
      </c>
      <c r="AB23" s="1507">
        <f t="shared" si="4"/>
        <v>1.0204081632653061</v>
      </c>
      <c r="AC23" s="1507">
        <f t="shared" si="5"/>
        <v>1.0204081632653061</v>
      </c>
    </row>
    <row r="24" spans="1:29" ht="15">
      <c r="A24" s="524"/>
      <c r="B24" s="587"/>
      <c r="C24" s="568" t="s">
        <v>3041</v>
      </c>
      <c r="D24" s="547"/>
      <c r="E24" s="548" t="s">
        <v>3042</v>
      </c>
      <c r="F24" s="549"/>
      <c r="G24" s="550" t="s">
        <v>3040</v>
      </c>
      <c r="H24" s="547"/>
      <c r="I24" s="548" t="s">
        <v>3040</v>
      </c>
      <c r="J24" s="547"/>
      <c r="K24" s="857"/>
      <c r="L24" s="2020"/>
      <c r="M24" s="2012"/>
      <c r="N24" s="2012"/>
      <c r="O24" s="2019"/>
      <c r="P24" s="3775"/>
      <c r="Q24" s="1503"/>
      <c r="R24" s="1504"/>
      <c r="S24" s="1505"/>
      <c r="T24" s="1504"/>
      <c r="U24" s="1505"/>
      <c r="V24" s="1504"/>
      <c r="W24" s="1505"/>
      <c r="X24" s="1498"/>
      <c r="Y24" s="3775"/>
      <c r="Z24" s="1506"/>
      <c r="AA24" s="1507">
        <v>1</v>
      </c>
      <c r="AB24" s="1507">
        <v>1</v>
      </c>
      <c r="AC24" s="1507">
        <v>1</v>
      </c>
    </row>
    <row r="25" spans="1:29" ht="15">
      <c r="A25" s="524"/>
      <c r="B25" s="1805" t="s">
        <v>2244</v>
      </c>
      <c r="C25" s="566" t="s">
        <v>3718</v>
      </c>
      <c r="D25" s="532">
        <v>100</v>
      </c>
      <c r="E25" s="861" t="s">
        <v>3718</v>
      </c>
      <c r="F25" s="567">
        <f>SUMIF(86:86,E25,87:87)-SUMIF(86:86,C25,87:87)+100</f>
        <v>100</v>
      </c>
      <c r="G25" s="591" t="s">
        <v>3718</v>
      </c>
      <c r="H25" s="532">
        <f>SUMIF(86:86,G25,87:87)-SUMIF(86:86,C25,87:87)+100</f>
        <v>100</v>
      </c>
      <c r="I25" s="861" t="s">
        <v>3718</v>
      </c>
      <c r="J25" s="532">
        <f>SUMIF(86:86,I25,87:87)-SUMIF(86:86,C25,87:87)+100</f>
        <v>100</v>
      </c>
      <c r="K25" s="851"/>
      <c r="L25" s="2020"/>
      <c r="M25" s="2012"/>
      <c r="N25" s="2012"/>
      <c r="O25" s="2019"/>
      <c r="P25" s="3775"/>
      <c r="Q25" s="1503" t="str">
        <f t="shared" ref="Q25:Q46" si="11">B25</f>
        <v>楼层-1</v>
      </c>
      <c r="R25" s="1504" t="s">
        <v>11</v>
      </c>
      <c r="S25" s="1505">
        <f>F25</f>
        <v>100</v>
      </c>
      <c r="T25" s="1504" t="s">
        <v>11</v>
      </c>
      <c r="U25" s="1505">
        <f>H25</f>
        <v>100</v>
      </c>
      <c r="V25" s="1504" t="s">
        <v>11</v>
      </c>
      <c r="W25" s="1505">
        <f>J25</f>
        <v>100</v>
      </c>
      <c r="X25" s="1498"/>
      <c r="Y25" s="3775"/>
      <c r="Z25" s="1506" t="str">
        <f>Q25</f>
        <v>楼层-1</v>
      </c>
      <c r="AA25" s="1507">
        <f t="shared" si="3"/>
        <v>1</v>
      </c>
      <c r="AB25" s="1507">
        <f t="shared" si="4"/>
        <v>1</v>
      </c>
      <c r="AC25" s="1507">
        <f t="shared" si="5"/>
        <v>1</v>
      </c>
    </row>
    <row r="26" spans="1:29" ht="15">
      <c r="A26" s="524"/>
      <c r="B26" s="519" t="s">
        <v>717</v>
      </c>
      <c r="C26" s="566" t="s">
        <v>3720</v>
      </c>
      <c r="D26" s="532">
        <v>100</v>
      </c>
      <c r="E26" s="861" t="s">
        <v>3720</v>
      </c>
      <c r="F26" s="567">
        <f>SUMIF(88:88,E26,89:89)-SUMIF(88:88,C26,89:89)+100</f>
        <v>100</v>
      </c>
      <c r="G26" s="591" t="s">
        <v>3720</v>
      </c>
      <c r="H26" s="532">
        <f>SUMIF(88:88,G26,89:89)-SUMIF(88:88,C26,89:89)+100</f>
        <v>100</v>
      </c>
      <c r="I26" s="861" t="s">
        <v>3720</v>
      </c>
      <c r="J26" s="532">
        <f>SUMIF(88:88,I26,89:89)-SUMIF(88:88,C26,89:89)+100</f>
        <v>100</v>
      </c>
      <c r="K26" s="851"/>
      <c r="L26" s="2020"/>
      <c r="M26" s="2012"/>
      <c r="N26" s="2012"/>
      <c r="O26" s="2019"/>
      <c r="P26" s="3775"/>
      <c r="Q26" s="1503" t="str">
        <f t="shared" si="11"/>
        <v>朝向</v>
      </c>
      <c r="R26" s="1504" t="s">
        <v>11</v>
      </c>
      <c r="S26" s="1505">
        <f>F26</f>
        <v>100</v>
      </c>
      <c r="T26" s="1504" t="s">
        <v>11</v>
      </c>
      <c r="U26" s="1505">
        <f>H26</f>
        <v>100</v>
      </c>
      <c r="V26" s="1504" t="s">
        <v>11</v>
      </c>
      <c r="W26" s="1505">
        <f>J26</f>
        <v>100</v>
      </c>
      <c r="X26" s="1498"/>
      <c r="Y26" s="3775"/>
      <c r="Z26" s="1506" t="str">
        <f>Q26</f>
        <v>朝向</v>
      </c>
      <c r="AA26" s="1507">
        <f t="shared" si="3"/>
        <v>1</v>
      </c>
      <c r="AB26" s="1507">
        <f t="shared" si="4"/>
        <v>1</v>
      </c>
      <c r="AC26" s="1507">
        <f t="shared" si="5"/>
        <v>1</v>
      </c>
    </row>
    <row r="27" spans="1:29" s="1201" customFormat="1" ht="27.75">
      <c r="A27" s="528"/>
      <c r="B27" s="529" t="s">
        <v>718</v>
      </c>
      <c r="C27" s="520" t="s">
        <v>3745</v>
      </c>
      <c r="D27" s="862">
        <v>100</v>
      </c>
      <c r="E27" s="522" t="s">
        <v>3746</v>
      </c>
      <c r="F27" s="863">
        <f>SUMIF(90:90,E27,91:91)-SUMIF(90:90,C27,91:91)+100</f>
        <v>100</v>
      </c>
      <c r="G27" s="521" t="s">
        <v>3748</v>
      </c>
      <c r="H27" s="862">
        <f>SUMIF(90:90,G27,91:91)-SUMIF(90:90,C27,91:91)+100</f>
        <v>102</v>
      </c>
      <c r="I27" s="521" t="s">
        <v>3748</v>
      </c>
      <c r="J27" s="862">
        <f>SUMIF(90:90,I27,91:91)-SUMIF(90:90,C27,91:91)+100</f>
        <v>102</v>
      </c>
      <c r="K27" s="852"/>
      <c r="L27" s="2013"/>
      <c r="M27" s="2014"/>
      <c r="N27" s="2014"/>
      <c r="O27" s="2015"/>
      <c r="P27" s="3775"/>
      <c r="Q27" s="1132" t="str">
        <f t="shared" si="11"/>
        <v>道路级别</v>
      </c>
      <c r="R27" s="1499" t="s">
        <v>11</v>
      </c>
      <c r="S27" s="1500">
        <f>F27</f>
        <v>100</v>
      </c>
      <c r="T27" s="1499" t="s">
        <v>11</v>
      </c>
      <c r="U27" s="1500">
        <f>H27</f>
        <v>102</v>
      </c>
      <c r="V27" s="1499" t="s">
        <v>11</v>
      </c>
      <c r="W27" s="1500">
        <f>J27</f>
        <v>102</v>
      </c>
      <c r="X27" s="1501"/>
      <c r="Y27" s="3775"/>
      <c r="Z27" s="1131" t="str">
        <f>Q27</f>
        <v>道路级别</v>
      </c>
      <c r="AA27" s="1507">
        <f>D27/F27</f>
        <v>1</v>
      </c>
      <c r="AB27" s="1507">
        <f>D27/H27</f>
        <v>0.98039215686274506</v>
      </c>
      <c r="AC27" s="1507">
        <f>D27/J27</f>
        <v>0.98039215686274506</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0"/>
      <c r="M28" s="2012"/>
      <c r="N28" s="2012"/>
      <c r="O28" s="2019"/>
      <c r="P28" s="3775"/>
      <c r="Q28" s="1503">
        <f t="shared" si="11"/>
        <v>111</v>
      </c>
      <c r="R28" s="1504" t="s">
        <v>11</v>
      </c>
      <c r="S28" s="1505">
        <f t="shared" ref="S28:S46" si="12">F28</f>
        <v>100</v>
      </c>
      <c r="T28" s="1504" t="s">
        <v>11</v>
      </c>
      <c r="U28" s="1505">
        <f t="shared" ref="U28:U46" si="13">H28</f>
        <v>100</v>
      </c>
      <c r="V28" s="1504" t="s">
        <v>11</v>
      </c>
      <c r="W28" s="1505">
        <f t="shared" ref="W28:W46" si="14">J28</f>
        <v>100</v>
      </c>
      <c r="X28" s="1498"/>
      <c r="Y28" s="3775"/>
      <c r="Z28" s="1506">
        <f t="shared" ref="Z28:Z46" si="15">Q28</f>
        <v>111</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0"/>
      <c r="M29" s="2012"/>
      <c r="N29" s="2012"/>
      <c r="O29" s="2019"/>
      <c r="P29" s="3775"/>
      <c r="Q29" s="1503">
        <f t="shared" si="11"/>
        <v>111</v>
      </c>
      <c r="R29" s="1504" t="s">
        <v>11</v>
      </c>
      <c r="S29" s="1505">
        <f t="shared" si="12"/>
        <v>100</v>
      </c>
      <c r="T29" s="1504" t="s">
        <v>11</v>
      </c>
      <c r="U29" s="1505">
        <f t="shared" si="13"/>
        <v>100</v>
      </c>
      <c r="V29" s="1504" t="s">
        <v>11</v>
      </c>
      <c r="W29" s="1505">
        <f t="shared" si="14"/>
        <v>100</v>
      </c>
      <c r="X29" s="1498"/>
      <c r="Y29" s="3775"/>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0"/>
      <c r="M30" s="2012"/>
      <c r="N30" s="2012"/>
      <c r="O30" s="2019"/>
      <c r="P30" s="3775"/>
      <c r="Q30" s="1503">
        <f t="shared" si="11"/>
        <v>111</v>
      </c>
      <c r="R30" s="1504" t="s">
        <v>11</v>
      </c>
      <c r="S30" s="1505">
        <f t="shared" si="12"/>
        <v>100</v>
      </c>
      <c r="T30" s="1504" t="s">
        <v>11</v>
      </c>
      <c r="U30" s="1505">
        <f t="shared" si="13"/>
        <v>100</v>
      </c>
      <c r="V30" s="1504" t="s">
        <v>11</v>
      </c>
      <c r="W30" s="1505">
        <f t="shared" si="14"/>
        <v>100</v>
      </c>
      <c r="X30" s="1498"/>
      <c r="Y30" s="3775"/>
      <c r="Z30" s="1506">
        <f t="shared" si="15"/>
        <v>111</v>
      </c>
      <c r="AA30" s="1507">
        <f t="shared" si="3"/>
        <v>1</v>
      </c>
      <c r="AB30" s="1507">
        <f t="shared" si="4"/>
        <v>1</v>
      </c>
      <c r="AC30" s="1507">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0"/>
      <c r="M31" s="2012"/>
      <c r="N31" s="2012"/>
      <c r="O31" s="2019"/>
      <c r="P31" s="3775"/>
      <c r="Q31" s="1503">
        <f t="shared" si="11"/>
        <v>111</v>
      </c>
      <c r="R31" s="1504" t="s">
        <v>11</v>
      </c>
      <c r="S31" s="1505">
        <f t="shared" si="12"/>
        <v>100</v>
      </c>
      <c r="T31" s="1504" t="s">
        <v>11</v>
      </c>
      <c r="U31" s="1505">
        <f t="shared" si="13"/>
        <v>100</v>
      </c>
      <c r="V31" s="1504" t="s">
        <v>11</v>
      </c>
      <c r="W31" s="1505">
        <f t="shared" si="14"/>
        <v>100</v>
      </c>
      <c r="X31" s="1498"/>
      <c r="Y31" s="3775"/>
      <c r="Z31" s="1506">
        <f t="shared" si="15"/>
        <v>111</v>
      </c>
      <c r="AA31" s="1507">
        <f t="shared" si="3"/>
        <v>1</v>
      </c>
      <c r="AB31" s="1507">
        <f t="shared" si="4"/>
        <v>1</v>
      </c>
      <c r="AC31" s="1507">
        <f t="shared" si="5"/>
        <v>1</v>
      </c>
    </row>
    <row r="32" spans="1:29" ht="15">
      <c r="A32" s="2620" t="s">
        <v>2734</v>
      </c>
      <c r="B32" s="168" t="s">
        <v>719</v>
      </c>
      <c r="C32" s="865" t="s">
        <v>3724</v>
      </c>
      <c r="D32" s="589">
        <v>100</v>
      </c>
      <c r="E32" s="866" t="s">
        <v>3726</v>
      </c>
      <c r="F32" s="567">
        <f>SUMIF(100:100,E32,101:101)-SUMIF(100:100,C32,101:101)+100</f>
        <v>98.5</v>
      </c>
      <c r="G32" s="865" t="s">
        <v>3728</v>
      </c>
      <c r="H32" s="589">
        <f>SUMIF(100:100,G32,101:101)-SUMIF(100:100,C32,101:101)+100</f>
        <v>97</v>
      </c>
      <c r="I32" s="866" t="s">
        <v>3728</v>
      </c>
      <c r="J32" s="532">
        <f>SUMIF(100:100,I32,101:101)-SUMIF(100:100,C32,101:101)+100</f>
        <v>97</v>
      </c>
      <c r="K32" s="851">
        <v>1.5</v>
      </c>
      <c r="L32" s="2020"/>
      <c r="M32" s="2012"/>
      <c r="N32" s="2012"/>
      <c r="O32" s="2019"/>
      <c r="P32" s="3776" t="s">
        <v>544</v>
      </c>
      <c r="Q32" s="1503" t="str">
        <f t="shared" si="11"/>
        <v>建筑类型</v>
      </c>
      <c r="R32" s="1504" t="s">
        <v>11</v>
      </c>
      <c r="S32" s="1505">
        <f t="shared" si="12"/>
        <v>98.5</v>
      </c>
      <c r="T32" s="1504" t="s">
        <v>11</v>
      </c>
      <c r="U32" s="1505">
        <f t="shared" si="13"/>
        <v>97</v>
      </c>
      <c r="V32" s="1504" t="s">
        <v>11</v>
      </c>
      <c r="W32" s="1505">
        <f t="shared" si="14"/>
        <v>97</v>
      </c>
      <c r="X32" s="1498"/>
      <c r="Y32" s="3777" t="s">
        <v>544</v>
      </c>
      <c r="Z32" s="1506" t="str">
        <f t="shared" si="15"/>
        <v>建筑类型</v>
      </c>
      <c r="AA32" s="1507">
        <f t="shared" si="3"/>
        <v>1.015228426395939</v>
      </c>
      <c r="AB32" s="1507">
        <f t="shared" si="4"/>
        <v>1.0309278350515463</v>
      </c>
      <c r="AC32" s="1507">
        <f t="shared" si="5"/>
        <v>1.0309278350515463</v>
      </c>
    </row>
    <row r="33" spans="1:29" s="1291" customFormat="1" ht="15">
      <c r="A33" s="595"/>
      <c r="B33" s="519" t="s">
        <v>720</v>
      </c>
      <c r="C33" s="867">
        <f>面积信息!F19</f>
        <v>121547.96999999999</v>
      </c>
      <c r="D33" s="251">
        <v>100</v>
      </c>
      <c r="E33" s="526">
        <v>230000</v>
      </c>
      <c r="F33" s="850">
        <f>LOOKUP(E33,103:103,104:104)-LOOKUP(C33,103:103,104:104)+100</f>
        <v>101</v>
      </c>
      <c r="G33" s="525">
        <v>800000</v>
      </c>
      <c r="H33" s="251">
        <f>LOOKUP(G33,103:103,104:104)-LOOKUP(C33,103:103,104:104)+100</f>
        <v>103</v>
      </c>
      <c r="I33" s="526">
        <v>52735</v>
      </c>
      <c r="J33" s="251">
        <f>LOOKUP(I33,103:103,104:104)-LOOKUP(C33,103:103,104:104)+100</f>
        <v>100</v>
      </c>
      <c r="K33" s="852"/>
      <c r="L33" s="2018"/>
      <c r="M33" s="2048"/>
      <c r="N33" s="2048"/>
      <c r="O33" s="2021"/>
      <c r="P33" s="3777"/>
      <c r="Q33" s="1532" t="str">
        <f t="shared" si="11"/>
        <v>项目建筑规模</v>
      </c>
      <c r="R33" s="1508" t="s">
        <v>11</v>
      </c>
      <c r="S33" s="1509">
        <f t="shared" si="12"/>
        <v>101</v>
      </c>
      <c r="T33" s="1508" t="s">
        <v>11</v>
      </c>
      <c r="U33" s="1509">
        <f t="shared" si="13"/>
        <v>103</v>
      </c>
      <c r="V33" s="1508" t="s">
        <v>11</v>
      </c>
      <c r="W33" s="1509">
        <f t="shared" si="14"/>
        <v>100</v>
      </c>
      <c r="X33" s="1510"/>
      <c r="Y33" s="3777"/>
      <c r="Z33" s="1511" t="str">
        <f t="shared" si="15"/>
        <v>项目建筑规模</v>
      </c>
      <c r="AA33" s="1507">
        <f t="shared" si="3"/>
        <v>0.99009900990099009</v>
      </c>
      <c r="AB33" s="1507">
        <f t="shared" si="4"/>
        <v>0.970873786407767</v>
      </c>
      <c r="AC33" s="1507">
        <f t="shared" si="5"/>
        <v>1</v>
      </c>
    </row>
    <row r="34" spans="1:29" ht="15">
      <c r="A34" s="586"/>
      <c r="B34" s="519" t="s">
        <v>721</v>
      </c>
      <c r="C34" s="868" t="s">
        <v>3072</v>
      </c>
      <c r="D34" s="532">
        <v>100</v>
      </c>
      <c r="E34" s="869" t="s">
        <v>3072</v>
      </c>
      <c r="F34" s="567">
        <f>SUMIF(105:105,E34,106:106)-SUMIF(105:105,C34,106:106)+100</f>
        <v>100</v>
      </c>
      <c r="G34" s="868" t="s">
        <v>3072</v>
      </c>
      <c r="H34" s="532">
        <f>SUMIF(105:105,G34,106:106)-SUMIF(105:105,C34,106:106)+100</f>
        <v>100</v>
      </c>
      <c r="I34" s="869" t="s">
        <v>3072</v>
      </c>
      <c r="J34" s="532">
        <f>SUMIF(105:105,I34,106:106)-SUMIF(105:105,C34,106:106)+100</f>
        <v>100</v>
      </c>
      <c r="K34" s="851"/>
      <c r="L34" s="2020"/>
      <c r="M34" s="2012"/>
      <c r="N34" s="2012"/>
      <c r="O34" s="2019"/>
      <c r="P34" s="3777"/>
      <c r="Q34" s="1503" t="str">
        <f t="shared" si="11"/>
        <v>建筑结构</v>
      </c>
      <c r="R34" s="1504" t="s">
        <v>11</v>
      </c>
      <c r="S34" s="1505">
        <f t="shared" si="12"/>
        <v>100</v>
      </c>
      <c r="T34" s="1504" t="s">
        <v>11</v>
      </c>
      <c r="U34" s="1505">
        <f t="shared" si="13"/>
        <v>100</v>
      </c>
      <c r="V34" s="1504" t="s">
        <v>11</v>
      </c>
      <c r="W34" s="1505">
        <f t="shared" si="14"/>
        <v>100</v>
      </c>
      <c r="X34" s="1498"/>
      <c r="Y34" s="3777"/>
      <c r="Z34" s="1506" t="str">
        <f t="shared" si="15"/>
        <v>建筑结构</v>
      </c>
      <c r="AA34" s="1507">
        <f t="shared" si="3"/>
        <v>1</v>
      </c>
      <c r="AB34" s="1507">
        <f t="shared" si="4"/>
        <v>1</v>
      </c>
      <c r="AC34" s="1507">
        <f t="shared" si="5"/>
        <v>1</v>
      </c>
    </row>
    <row r="35" spans="1:29" ht="15">
      <c r="A35" s="586"/>
      <c r="B35" s="519" t="s">
        <v>722</v>
      </c>
      <c r="C35" s="591" t="s">
        <v>3732</v>
      </c>
      <c r="D35" s="532">
        <v>100</v>
      </c>
      <c r="E35" s="861" t="s">
        <v>3732</v>
      </c>
      <c r="F35" s="567">
        <f>SUMIF(107:107,E35,108:108)-SUMIF(107:107,C35,108:108)+100</f>
        <v>100</v>
      </c>
      <c r="G35" s="591" t="s">
        <v>3732</v>
      </c>
      <c r="H35" s="532">
        <f>SUMIF(107:107,G35,108:108)-SUMIF(107:107,C35,108:108)+100</f>
        <v>100</v>
      </c>
      <c r="I35" s="861" t="s">
        <v>3732</v>
      </c>
      <c r="J35" s="532">
        <f>SUMIF(107:107,I35,108:108)-SUMIF(107:107,C35,108:108)+100</f>
        <v>100</v>
      </c>
      <c r="K35" s="851"/>
      <c r="L35" s="2020"/>
      <c r="M35" s="2012"/>
      <c r="N35" s="2012"/>
      <c r="O35" s="2019"/>
      <c r="P35" s="3777"/>
      <c r="Q35" s="1503" t="str">
        <f t="shared" si="11"/>
        <v>建筑品质</v>
      </c>
      <c r="R35" s="1504" t="s">
        <v>11</v>
      </c>
      <c r="S35" s="1505">
        <f t="shared" si="12"/>
        <v>100</v>
      </c>
      <c r="T35" s="1504" t="s">
        <v>11</v>
      </c>
      <c r="U35" s="1505">
        <f t="shared" si="13"/>
        <v>100</v>
      </c>
      <c r="V35" s="1504" t="s">
        <v>11</v>
      </c>
      <c r="W35" s="1505">
        <f t="shared" si="14"/>
        <v>100</v>
      </c>
      <c r="X35" s="1498"/>
      <c r="Y35" s="3777"/>
      <c r="Z35" s="1506" t="str">
        <f t="shared" si="15"/>
        <v>建筑品质</v>
      </c>
      <c r="AA35" s="1507">
        <f t="shared" si="3"/>
        <v>1</v>
      </c>
      <c r="AB35" s="1507">
        <f t="shared" si="4"/>
        <v>1</v>
      </c>
      <c r="AC35" s="1507">
        <f t="shared" si="5"/>
        <v>1</v>
      </c>
    </row>
    <row r="36" spans="1:29" ht="15">
      <c r="A36" s="586"/>
      <c r="B36" s="519" t="s">
        <v>723</v>
      </c>
      <c r="C36" s="591" t="s">
        <v>3083</v>
      </c>
      <c r="D36" s="532">
        <v>100</v>
      </c>
      <c r="E36" s="861" t="s">
        <v>3083</v>
      </c>
      <c r="F36" s="567">
        <f>SUMIF(109:109,E36,110:110)-SUMIF(109:109,C36,110:110)+100</f>
        <v>100</v>
      </c>
      <c r="G36" s="591" t="s">
        <v>3083</v>
      </c>
      <c r="H36" s="532">
        <f>SUMIF(109:109,G36,110:110)-SUMIF(109:109,C36,110:110)+100</f>
        <v>100</v>
      </c>
      <c r="I36" s="861" t="s">
        <v>3083</v>
      </c>
      <c r="J36" s="532">
        <f>SUMIF(109:109,I36,110:110)-SUMIF(109:109,C36,110:110)+100</f>
        <v>100</v>
      </c>
      <c r="K36" s="851"/>
      <c r="L36" s="2020"/>
      <c r="M36" s="2012"/>
      <c r="N36" s="2012"/>
      <c r="O36" s="2019"/>
      <c r="P36" s="3777"/>
      <c r="Q36" s="1503" t="str">
        <f t="shared" si="11"/>
        <v>公共部分装修</v>
      </c>
      <c r="R36" s="1504" t="s">
        <v>11</v>
      </c>
      <c r="S36" s="1505">
        <f t="shared" si="12"/>
        <v>100</v>
      </c>
      <c r="T36" s="1504" t="s">
        <v>11</v>
      </c>
      <c r="U36" s="1505">
        <f t="shared" si="13"/>
        <v>100</v>
      </c>
      <c r="V36" s="1504" t="s">
        <v>11</v>
      </c>
      <c r="W36" s="1505">
        <f t="shared" si="14"/>
        <v>100</v>
      </c>
      <c r="X36" s="1498"/>
      <c r="Y36" s="3777"/>
      <c r="Z36" s="1506" t="str">
        <f t="shared" si="15"/>
        <v>公共部分装修</v>
      </c>
      <c r="AA36" s="1507">
        <f t="shared" si="3"/>
        <v>1</v>
      </c>
      <c r="AB36" s="1507">
        <f t="shared" si="4"/>
        <v>1</v>
      </c>
      <c r="AC36" s="1507">
        <f t="shared" si="5"/>
        <v>1</v>
      </c>
    </row>
    <row r="37" spans="1:29" s="1201" customFormat="1" ht="15">
      <c r="A37" s="592"/>
      <c r="B37" s="519" t="s">
        <v>724</v>
      </c>
      <c r="C37" s="870">
        <v>1</v>
      </c>
      <c r="D37" s="251">
        <v>100</v>
      </c>
      <c r="E37" s="871">
        <v>1</v>
      </c>
      <c r="F37" s="850">
        <f>LOOKUP(E37,112:112,113:113)-LOOKUP(C37,112:112,113:113)+100</f>
        <v>100</v>
      </c>
      <c r="G37" s="872">
        <v>0.9</v>
      </c>
      <c r="H37" s="251">
        <f>LOOKUP(G37,112:112,113:113)-LOOKUP(C37,112:112,113:113)+100</f>
        <v>100</v>
      </c>
      <c r="I37" s="871">
        <v>0.98</v>
      </c>
      <c r="J37" s="251">
        <f>LOOKUP(I37,112:112,113:113)-LOOKUP(C37,112:112,113:113)+100</f>
        <v>100</v>
      </c>
      <c r="K37" s="851">
        <v>2</v>
      </c>
      <c r="L37" s="2013"/>
      <c r="M37" s="2014"/>
      <c r="N37" s="2014"/>
      <c r="O37" s="2015"/>
      <c r="P37" s="3777"/>
      <c r="Q37" s="1132" t="str">
        <f t="shared" si="11"/>
        <v>成新度</v>
      </c>
      <c r="R37" s="1499" t="s">
        <v>11</v>
      </c>
      <c r="S37" s="1500">
        <f t="shared" si="12"/>
        <v>100</v>
      </c>
      <c r="T37" s="1499" t="s">
        <v>11</v>
      </c>
      <c r="U37" s="1500">
        <f t="shared" si="13"/>
        <v>100</v>
      </c>
      <c r="V37" s="1499" t="s">
        <v>11</v>
      </c>
      <c r="W37" s="1500">
        <f t="shared" si="14"/>
        <v>100</v>
      </c>
      <c r="X37" s="1501"/>
      <c r="Y37" s="3777"/>
      <c r="Z37" s="1131" t="str">
        <f t="shared" si="15"/>
        <v>成新度</v>
      </c>
      <c r="AA37" s="1502">
        <f t="shared" si="3"/>
        <v>1</v>
      </c>
      <c r="AB37" s="1502">
        <f t="shared" si="4"/>
        <v>1</v>
      </c>
      <c r="AC37" s="1502">
        <f t="shared" si="5"/>
        <v>1</v>
      </c>
    </row>
    <row r="38" spans="1:29" ht="15">
      <c r="A38" s="586"/>
      <c r="B38" s="519" t="s">
        <v>725</v>
      </c>
      <c r="C38" s="591" t="s">
        <v>3735</v>
      </c>
      <c r="D38" s="532">
        <v>100</v>
      </c>
      <c r="E38" s="861" t="s">
        <v>3735</v>
      </c>
      <c r="F38" s="567">
        <f>SUMIF(114:114,E38,115:115)-SUMIF(114:114,C38,115:115)+100</f>
        <v>100</v>
      </c>
      <c r="G38" s="591" t="s">
        <v>3735</v>
      </c>
      <c r="H38" s="532">
        <f>SUMIF(114:114,G38,115:115)-SUMIF(114:114,C38,115:115)+100</f>
        <v>100</v>
      </c>
      <c r="I38" s="861" t="s">
        <v>3735</v>
      </c>
      <c r="J38" s="532">
        <f>SUMIF(114:114,I38,115:115)-SUMIF(114:114,C38,115:115)+100</f>
        <v>100</v>
      </c>
      <c r="K38" s="851"/>
      <c r="L38" s="2020"/>
      <c r="M38" s="2012"/>
      <c r="N38" s="2012"/>
      <c r="O38" s="2019"/>
      <c r="P38" s="3777" t="s">
        <v>544</v>
      </c>
      <c r="Q38" s="1503" t="str">
        <f t="shared" si="11"/>
        <v>物业管理</v>
      </c>
      <c r="R38" s="1504" t="s">
        <v>11</v>
      </c>
      <c r="S38" s="1505">
        <f t="shared" si="12"/>
        <v>100</v>
      </c>
      <c r="T38" s="1504" t="s">
        <v>11</v>
      </c>
      <c r="U38" s="1505">
        <f t="shared" si="13"/>
        <v>100</v>
      </c>
      <c r="V38" s="1504" t="s">
        <v>11</v>
      </c>
      <c r="W38" s="1505">
        <f t="shared" si="14"/>
        <v>100</v>
      </c>
      <c r="X38" s="1498"/>
      <c r="Y38" s="3777" t="s">
        <v>544</v>
      </c>
      <c r="Z38" s="1506" t="str">
        <f t="shared" si="15"/>
        <v>物业管理</v>
      </c>
      <c r="AA38" s="1507">
        <f t="shared" si="3"/>
        <v>1</v>
      </c>
      <c r="AB38" s="1507">
        <f t="shared" si="4"/>
        <v>1</v>
      </c>
      <c r="AC38" s="1507">
        <f t="shared" si="5"/>
        <v>1</v>
      </c>
    </row>
    <row r="39" spans="1:29" ht="15">
      <c r="A39" s="586"/>
      <c r="B39" s="1805" t="s">
        <v>2545</v>
      </c>
      <c r="C39" s="591" t="s">
        <v>3027</v>
      </c>
      <c r="D39" s="532">
        <v>100</v>
      </c>
      <c r="E39" s="861" t="s">
        <v>3027</v>
      </c>
      <c r="F39" s="567">
        <f>SUMIF(116:116,E39,117:117)-SUMIF(116:116,C39,117:117)+100</f>
        <v>100</v>
      </c>
      <c r="G39" s="591" t="s">
        <v>3027</v>
      </c>
      <c r="H39" s="532">
        <f>SUMIF(116:116,G39,117:117)-SUMIF(116:116,C39,117:117)+100</f>
        <v>100</v>
      </c>
      <c r="I39" s="861" t="s">
        <v>3027</v>
      </c>
      <c r="J39" s="532">
        <f>SUMIF(116:116,I39,117:117)-SUMIF(116:116,C39,117:117)+100</f>
        <v>100</v>
      </c>
      <c r="K39" s="851"/>
      <c r="L39" s="2020"/>
      <c r="M39" s="2012"/>
      <c r="N39" s="2012"/>
      <c r="O39" s="2019"/>
      <c r="P39" s="3777"/>
      <c r="Q39" s="1503" t="str">
        <f t="shared" si="11"/>
        <v>市政基础设施</v>
      </c>
      <c r="R39" s="1504" t="s">
        <v>11</v>
      </c>
      <c r="S39" s="1505">
        <f t="shared" si="12"/>
        <v>100</v>
      </c>
      <c r="T39" s="1504" t="s">
        <v>11</v>
      </c>
      <c r="U39" s="1505">
        <f t="shared" si="13"/>
        <v>100</v>
      </c>
      <c r="V39" s="1504" t="s">
        <v>11</v>
      </c>
      <c r="W39" s="1505">
        <f t="shared" si="14"/>
        <v>100</v>
      </c>
      <c r="X39" s="1498"/>
      <c r="Y39" s="3777"/>
      <c r="Z39" s="1506" t="str">
        <f t="shared" si="15"/>
        <v>市政基础设施</v>
      </c>
      <c r="AA39" s="1507">
        <f t="shared" si="3"/>
        <v>1</v>
      </c>
      <c r="AB39" s="1507">
        <f t="shared" si="4"/>
        <v>1</v>
      </c>
      <c r="AC39" s="1507">
        <f t="shared" si="5"/>
        <v>1</v>
      </c>
    </row>
    <row r="40" spans="1:29" ht="15">
      <c r="A40" s="586"/>
      <c r="B40" s="519" t="s">
        <v>726</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0"/>
      <c r="M40" s="2012"/>
      <c r="N40" s="2012"/>
      <c r="O40" s="2019"/>
      <c r="P40" s="3777"/>
      <c r="Q40" s="1503" t="str">
        <f t="shared" si="11"/>
        <v>房型</v>
      </c>
      <c r="R40" s="1504" t="s">
        <v>11</v>
      </c>
      <c r="S40" s="1505">
        <f t="shared" si="12"/>
        <v>100</v>
      </c>
      <c r="T40" s="1504" t="s">
        <v>11</v>
      </c>
      <c r="U40" s="1505">
        <f t="shared" si="13"/>
        <v>100</v>
      </c>
      <c r="V40" s="1504" t="s">
        <v>11</v>
      </c>
      <c r="W40" s="1505">
        <f t="shared" si="14"/>
        <v>100</v>
      </c>
      <c r="X40" s="1498"/>
      <c r="Y40" s="3777"/>
      <c r="Z40" s="1506" t="str">
        <f t="shared" si="15"/>
        <v>房型</v>
      </c>
      <c r="AA40" s="1507">
        <f t="shared" si="3"/>
        <v>1</v>
      </c>
      <c r="AB40" s="1507">
        <f t="shared" si="4"/>
        <v>1</v>
      </c>
      <c r="AC40" s="1507">
        <f t="shared" si="5"/>
        <v>1</v>
      </c>
    </row>
    <row r="41" spans="1:29" s="1291" customFormat="1" ht="28.5">
      <c r="A41" s="595"/>
      <c r="B41" s="519" t="s">
        <v>727</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18"/>
      <c r="M41" s="2048"/>
      <c r="N41" s="2048"/>
      <c r="O41" s="2021"/>
      <c r="P41" s="3777"/>
      <c r="Q41" s="1532" t="str">
        <f t="shared" si="11"/>
        <v>单套/主力户型建筑面积</v>
      </c>
      <c r="R41" s="1508" t="s">
        <v>11</v>
      </c>
      <c r="S41" s="1509">
        <f t="shared" si="12"/>
        <v>100</v>
      </c>
      <c r="T41" s="1508" t="s">
        <v>11</v>
      </c>
      <c r="U41" s="1509">
        <f t="shared" si="13"/>
        <v>100</v>
      </c>
      <c r="V41" s="1508" t="s">
        <v>11</v>
      </c>
      <c r="W41" s="1509">
        <f t="shared" si="14"/>
        <v>100</v>
      </c>
      <c r="X41" s="1510"/>
      <c r="Y41" s="3777"/>
      <c r="Z41" s="1511" t="str">
        <f t="shared" si="15"/>
        <v>单套/主力户型建筑面积</v>
      </c>
      <c r="AA41" s="1507">
        <f t="shared" si="3"/>
        <v>1</v>
      </c>
      <c r="AB41" s="1507">
        <f t="shared" si="4"/>
        <v>1</v>
      </c>
      <c r="AC41" s="1507">
        <f t="shared" si="5"/>
        <v>1</v>
      </c>
    </row>
    <row r="42" spans="1:29" ht="15">
      <c r="A42" s="586"/>
      <c r="B42" s="519" t="s">
        <v>728</v>
      </c>
      <c r="C42" s="591" t="s">
        <v>3083</v>
      </c>
      <c r="D42" s="532">
        <v>100</v>
      </c>
      <c r="E42" s="861" t="s">
        <v>3083</v>
      </c>
      <c r="F42" s="567">
        <f>SUMIF(122:122,E42,123:123)-SUMIF(122:122,C42,123:123)+100</f>
        <v>100</v>
      </c>
      <c r="G42" s="591" t="s">
        <v>3074</v>
      </c>
      <c r="H42" s="532">
        <f>SUMIF(122:122,G42,123:123)-SUMIF(122:122,C42,123:123)+100</f>
        <v>98</v>
      </c>
      <c r="I42" s="861" t="s">
        <v>3091</v>
      </c>
      <c r="J42" s="532">
        <f>SUMIF(122:122,I42,123:123)-SUMIF(122:122,C42,123:123)+100</f>
        <v>94</v>
      </c>
      <c r="K42" s="851">
        <v>2</v>
      </c>
      <c r="L42" s="2020"/>
      <c r="M42" s="2012"/>
      <c r="N42" s="2012"/>
      <c r="O42" s="2019"/>
      <c r="P42" s="3777"/>
      <c r="Q42" s="1503" t="str">
        <f t="shared" si="11"/>
        <v>内部装修</v>
      </c>
      <c r="R42" s="1504" t="s">
        <v>11</v>
      </c>
      <c r="S42" s="1505">
        <f t="shared" si="12"/>
        <v>100</v>
      </c>
      <c r="T42" s="1504" t="s">
        <v>11</v>
      </c>
      <c r="U42" s="1505">
        <f t="shared" si="13"/>
        <v>98</v>
      </c>
      <c r="V42" s="1504" t="s">
        <v>11</v>
      </c>
      <c r="W42" s="1505">
        <f t="shared" si="14"/>
        <v>94</v>
      </c>
      <c r="X42" s="1498"/>
      <c r="Y42" s="3777"/>
      <c r="Z42" s="1506" t="str">
        <f t="shared" si="15"/>
        <v>内部装修</v>
      </c>
      <c r="AA42" s="1507">
        <f t="shared" si="3"/>
        <v>1</v>
      </c>
      <c r="AB42" s="1507">
        <f t="shared" si="4"/>
        <v>1.0204081632653061</v>
      </c>
      <c r="AC42" s="1507">
        <f t="shared" si="5"/>
        <v>1.0638297872340425</v>
      </c>
    </row>
    <row r="43" spans="1:29" ht="27">
      <c r="A43" s="586"/>
      <c r="B43" s="519" t="s">
        <v>729</v>
      </c>
      <c r="C43" s="591" t="s">
        <v>3041</v>
      </c>
      <c r="D43" s="532">
        <v>100</v>
      </c>
      <c r="E43" s="861" t="s">
        <v>3041</v>
      </c>
      <c r="F43" s="567">
        <f>SUMIF(124:124,E43,125:125)-SUMIF(124:124,C43,125:125)+100</f>
        <v>100</v>
      </c>
      <c r="G43" s="591" t="s">
        <v>3041</v>
      </c>
      <c r="H43" s="532">
        <f>SUMIF(124:124,G43,125:125)-SUMIF(124:124,C43,125:125)+100</f>
        <v>100</v>
      </c>
      <c r="I43" s="861" t="s">
        <v>3041</v>
      </c>
      <c r="J43" s="532">
        <f>SUMIF(124:124,I43,125:125)-SUMIF(124:124,C43,125:125)+100</f>
        <v>100</v>
      </c>
      <c r="K43" s="851"/>
      <c r="L43" s="2020"/>
      <c r="M43" s="2012"/>
      <c r="N43" s="2012"/>
      <c r="O43" s="2019"/>
      <c r="P43" s="3777"/>
      <c r="Q43" s="1503" t="str">
        <f t="shared" si="11"/>
        <v>内部装修维护情况</v>
      </c>
      <c r="R43" s="1504" t="s">
        <v>11</v>
      </c>
      <c r="S43" s="1505">
        <f t="shared" si="12"/>
        <v>100</v>
      </c>
      <c r="T43" s="1504" t="s">
        <v>11</v>
      </c>
      <c r="U43" s="1505">
        <f t="shared" si="13"/>
        <v>100</v>
      </c>
      <c r="V43" s="1504" t="s">
        <v>11</v>
      </c>
      <c r="W43" s="1505">
        <f t="shared" si="14"/>
        <v>100</v>
      </c>
      <c r="X43" s="1498"/>
      <c r="Y43" s="3777"/>
      <c r="Z43" s="1506" t="str">
        <f t="shared" si="15"/>
        <v>内部装修维护情况</v>
      </c>
      <c r="AA43" s="1507">
        <f t="shared" si="3"/>
        <v>1</v>
      </c>
      <c r="AB43" s="1507">
        <f t="shared" si="4"/>
        <v>1</v>
      </c>
      <c r="AC43" s="1507">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3"/>
      <c r="M44" s="2014"/>
      <c r="N44" s="2014"/>
      <c r="O44" s="2015"/>
      <c r="P44" s="3777"/>
      <c r="Q44" s="1132">
        <f t="shared" si="11"/>
        <v>111</v>
      </c>
      <c r="R44" s="1499" t="s">
        <v>11</v>
      </c>
      <c r="S44" s="1500">
        <f t="shared" si="12"/>
        <v>100</v>
      </c>
      <c r="T44" s="1499" t="s">
        <v>11</v>
      </c>
      <c r="U44" s="1500">
        <f t="shared" si="13"/>
        <v>100</v>
      </c>
      <c r="V44" s="1499" t="s">
        <v>11</v>
      </c>
      <c r="W44" s="1500">
        <f t="shared" si="14"/>
        <v>100</v>
      </c>
      <c r="X44" s="1501"/>
      <c r="Y44" s="3777"/>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0"/>
      <c r="M45" s="2012"/>
      <c r="N45" s="2012"/>
      <c r="O45" s="2019"/>
      <c r="P45" s="3777"/>
      <c r="Q45" s="1503">
        <f t="shared" si="11"/>
        <v>111</v>
      </c>
      <c r="R45" s="1504" t="s">
        <v>11</v>
      </c>
      <c r="S45" s="1505">
        <f t="shared" si="12"/>
        <v>100</v>
      </c>
      <c r="T45" s="1504" t="s">
        <v>11</v>
      </c>
      <c r="U45" s="1505">
        <f t="shared" si="13"/>
        <v>100</v>
      </c>
      <c r="V45" s="1504" t="s">
        <v>11</v>
      </c>
      <c r="W45" s="1505">
        <f t="shared" si="14"/>
        <v>100</v>
      </c>
      <c r="X45" s="1498"/>
      <c r="Y45" s="3777"/>
      <c r="Z45" s="1506">
        <f t="shared" si="15"/>
        <v>111</v>
      </c>
      <c r="AA45" s="1507">
        <f t="shared" si="3"/>
        <v>1</v>
      </c>
      <c r="AB45" s="1507">
        <f t="shared" si="4"/>
        <v>1</v>
      </c>
      <c r="AC45" s="1507">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0"/>
      <c r="M46" s="2012"/>
      <c r="N46" s="2012"/>
      <c r="O46" s="2019"/>
      <c r="P46" s="3778"/>
      <c r="Q46" s="1503">
        <f t="shared" si="11"/>
        <v>111</v>
      </c>
      <c r="R46" s="1504" t="s">
        <v>10</v>
      </c>
      <c r="S46" s="1505">
        <f t="shared" si="12"/>
        <v>100</v>
      </c>
      <c r="T46" s="1504" t="s">
        <v>10</v>
      </c>
      <c r="U46" s="1505">
        <f t="shared" si="13"/>
        <v>100</v>
      </c>
      <c r="V46" s="1504" t="s">
        <v>10</v>
      </c>
      <c r="W46" s="1505">
        <f t="shared" si="14"/>
        <v>100</v>
      </c>
      <c r="X46" s="1498"/>
      <c r="Y46" s="3778"/>
      <c r="Z46" s="1506">
        <f t="shared" si="15"/>
        <v>111</v>
      </c>
      <c r="AA46" s="1507">
        <f t="shared" si="3"/>
        <v>1</v>
      </c>
      <c r="AB46" s="1507">
        <f t="shared" si="4"/>
        <v>1</v>
      </c>
      <c r="AC46" s="1507">
        <f t="shared" si="5"/>
        <v>1</v>
      </c>
    </row>
    <row r="47" spans="1:29" ht="15">
      <c r="A47" s="599" t="s">
        <v>730</v>
      </c>
      <c r="B47" s="874"/>
      <c r="C47" s="2466" t="s">
        <v>9</v>
      </c>
      <c r="D47" s="2467"/>
      <c r="E47" s="2468">
        <f>住宅销售案例!$I$5</f>
        <v>82341</v>
      </c>
      <c r="F47" s="2469"/>
      <c r="G47" s="2470">
        <f>住宅销售案例!$I$27</f>
        <v>77092</v>
      </c>
      <c r="H47" s="2471"/>
      <c r="I47" s="2468">
        <f>住宅销售案例!$I$51</f>
        <v>80731</v>
      </c>
      <c r="J47" s="2471"/>
      <c r="K47" s="1533"/>
      <c r="L47" s="2022"/>
      <c r="M47" s="2023"/>
      <c r="N47" s="2012"/>
      <c r="O47" s="2023"/>
      <c r="P47" s="3772" t="str">
        <f>A47</f>
        <v>成交单价（元/平方米）</v>
      </c>
      <c r="Q47" s="3772"/>
      <c r="R47" s="3773">
        <f>E47</f>
        <v>82341</v>
      </c>
      <c r="S47" s="3773"/>
      <c r="T47" s="3773">
        <f>G47</f>
        <v>77092</v>
      </c>
      <c r="U47" s="3773"/>
      <c r="V47" s="3773">
        <f>I47</f>
        <v>80731</v>
      </c>
      <c r="W47" s="3773"/>
      <c r="X47" s="1493"/>
      <c r="Y47" s="1512"/>
      <c r="Z47" s="1493"/>
      <c r="AA47" s="1493"/>
      <c r="AB47" s="1493"/>
      <c r="AC47" s="1493"/>
    </row>
    <row r="48" spans="1:29" ht="15.75" thickBot="1">
      <c r="A48" s="607" t="s">
        <v>2739</v>
      </c>
      <c r="B48" s="875"/>
      <c r="C48" s="2472">
        <f>R49</f>
        <v>83237</v>
      </c>
      <c r="D48" s="3008" t="s">
        <v>2964</v>
      </c>
      <c r="E48" s="2473">
        <f>R48</f>
        <v>86223</v>
      </c>
      <c r="F48" s="3009"/>
      <c r="G48" s="2472">
        <f>T48</f>
        <v>77337</v>
      </c>
      <c r="H48" s="3009"/>
      <c r="I48" s="2473">
        <f>V48</f>
        <v>86150</v>
      </c>
      <c r="J48" s="3009"/>
      <c r="K48" s="3017">
        <f>F48+H48+J48</f>
        <v>0</v>
      </c>
      <c r="L48" s="2022"/>
      <c r="M48" s="2023"/>
      <c r="N48" s="2023"/>
      <c r="O48" s="2023"/>
      <c r="P48" s="3772" t="str">
        <f>A48</f>
        <v>比较价格（元/平方米）</v>
      </c>
      <c r="Q48" s="3772"/>
      <c r="R48" s="3773">
        <f>IF(F1="售价",ROUND(PRODUCT(R47,AA7:AA46),0),ROUND(PRODUCT(R47,AA7:AA46),0))</f>
        <v>86223</v>
      </c>
      <c r="S48" s="3773"/>
      <c r="T48" s="3773">
        <f>IF(F1="售价",ROUND(PRODUCT(T47,AB7:AB46),0),ROUND(PRODUCT(T47,AB7:AB46),0))</f>
        <v>77337</v>
      </c>
      <c r="U48" s="3773"/>
      <c r="V48" s="3773">
        <f>IF(F1="售价",ROUND(PRODUCT(V47,AC7:AC46),0),ROUND(PRODUCT(V47,AC7:AC46),0))</f>
        <v>86150</v>
      </c>
      <c r="W48" s="3773"/>
      <c r="X48" s="1493"/>
      <c r="Y48" s="1493"/>
      <c r="Z48" s="1493"/>
      <c r="AA48" s="1493"/>
      <c r="AB48" s="1493"/>
      <c r="AC48" s="1493"/>
    </row>
    <row r="49" spans="1:29" ht="15.75" thickBot="1">
      <c r="A49" s="611" t="s">
        <v>2899</v>
      </c>
      <c r="B49" s="612"/>
      <c r="C49" s="2474">
        <f>R49</f>
        <v>83237</v>
      </c>
      <c r="D49" s="2474"/>
      <c r="E49" s="2474"/>
      <c r="F49" s="2474"/>
      <c r="G49" s="2474"/>
      <c r="H49" s="2474"/>
      <c r="I49" s="2474"/>
      <c r="J49" s="2474"/>
      <c r="K49" s="1534"/>
      <c r="L49" s="2022"/>
      <c r="M49" s="2023"/>
      <c r="N49" s="2023"/>
      <c r="O49" s="2023"/>
      <c r="P49" s="3769" t="str">
        <f>A49</f>
        <v>估价对象XX用房的比较价格（楼面单价，元/平方米）</v>
      </c>
      <c r="Q49" s="3770"/>
      <c r="R49" s="3771">
        <f>IF(F1="售价",ROUND(IF(D48="简单平均",AVERAGE(R48:V48),R48*F48+T48*H48+V48*J48),0),ROUND(IF(D48="简单平均",AVERAGE(R48:V48),R48*F48+T48*H48+V48*J48),0))</f>
        <v>83237</v>
      </c>
      <c r="S49" s="3771"/>
      <c r="T49" s="3771"/>
      <c r="U49" s="3771"/>
      <c r="V49" s="3771"/>
      <c r="W49" s="3771"/>
      <c r="X49" s="1493"/>
      <c r="Y49" s="1493"/>
      <c r="Z49" s="1493"/>
      <c r="AA49" s="1493"/>
      <c r="AB49" s="1493"/>
      <c r="AC49" s="1493"/>
    </row>
    <row r="50" spans="1:29">
      <c r="A50" s="3207"/>
      <c r="B50" s="3207"/>
      <c r="C50" s="3207"/>
      <c r="D50" s="3207"/>
      <c r="E50" s="3207"/>
      <c r="F50" s="3207"/>
      <c r="G50" s="3209"/>
      <c r="H50" s="3207"/>
      <c r="I50" s="3207"/>
      <c r="J50" s="3207"/>
      <c r="K50" s="3210"/>
      <c r="L50" s="2027"/>
      <c r="M50" s="2023"/>
      <c r="N50" s="2023"/>
      <c r="O50" s="2023"/>
      <c r="P50" s="2023"/>
      <c r="Q50" s="2023"/>
      <c r="R50" s="2023"/>
      <c r="S50" s="2023"/>
      <c r="T50" s="2023"/>
      <c r="U50" s="2023"/>
      <c r="V50" s="2023"/>
      <c r="W50" s="2023"/>
      <c r="X50" s="2023"/>
      <c r="Y50" s="2023"/>
      <c r="Z50" s="2023"/>
      <c r="AA50" s="2023"/>
      <c r="AB50" s="2023"/>
      <c r="AC50" s="2023"/>
    </row>
    <row r="51" spans="1:29">
      <c r="A51" s="3207"/>
      <c r="B51" s="3207"/>
      <c r="C51" s="3207"/>
      <c r="D51" s="3207"/>
      <c r="E51" s="3207"/>
      <c r="F51" s="3207"/>
      <c r="G51" s="3207"/>
      <c r="H51" s="3207"/>
      <c r="I51" s="3207"/>
      <c r="J51" s="3207"/>
      <c r="K51" s="3210"/>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7"/>
      <c r="B52" s="3207"/>
      <c r="C52" s="614" t="s">
        <v>551</v>
      </c>
      <c r="D52" s="615"/>
      <c r="E52" s="616">
        <f>IF(E47&lt;E48,E48/E47-1,E47/E48-1)</f>
        <v>4.714540751266072E-2</v>
      </c>
      <c r="F52" s="617" t="str">
        <f>IF(OR(E52&gt;=0.3,E52&lt;=-0.3),"超过30%","")</f>
        <v/>
      </c>
      <c r="G52" s="616">
        <f>IF(G47&lt;G48,G48/G47-1,G47/G48-1)</f>
        <v>3.1780210657397223E-3</v>
      </c>
      <c r="H52" s="617" t="str">
        <f>IF(OR(G52&gt;=0.3,G52&lt;=-0.3),"超过30%","")</f>
        <v/>
      </c>
      <c r="I52" s="616">
        <f>IF(I47&lt;I48,I48/I47-1,I47/I48-1)</f>
        <v>6.7124153051491886E-2</v>
      </c>
      <c r="J52" s="617" t="str">
        <f>IF(OR(I52&gt;=0.3,I52&lt;=-0.3),"超过30%","")</f>
        <v/>
      </c>
      <c r="K52" s="3210"/>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7"/>
      <c r="B53" s="3207"/>
      <c r="C53" s="614" t="s">
        <v>552</v>
      </c>
      <c r="D53" s="618"/>
      <c r="E53" s="616">
        <f>IF(E48&lt;G48,G48/E48-1,E48/G48-1)</f>
        <v>0.11489972458202402</v>
      </c>
      <c r="F53" s="617" t="str">
        <f>IF(OR(E53&gt;=0.2,E53&lt;=-0.2),"超过20%","")</f>
        <v/>
      </c>
      <c r="G53" s="616">
        <f>IF(G48&lt;I48,I48/G48-1,G48/I48-1)</f>
        <v>0.11395580381964643</v>
      </c>
      <c r="H53" s="617" t="str">
        <f>IF(OR(G53&gt;=0.2,G53&lt;=-0.2),"超过20%","")</f>
        <v/>
      </c>
      <c r="I53" s="616">
        <f>IF(I48&lt;E48,E48/I48-1,I48/E48-1)</f>
        <v>8.4735925710965887E-4</v>
      </c>
      <c r="J53" s="617" t="str">
        <f>IF(OR(I53&gt;=0.2,I53&lt;=-0.2),"超过20%","")</f>
        <v/>
      </c>
      <c r="K53" s="3210"/>
      <c r="L53" s="2027"/>
      <c r="M53" s="2023"/>
      <c r="N53" s="2023"/>
      <c r="O53" s="2023"/>
      <c r="P53" s="2023"/>
      <c r="Q53" s="2023"/>
      <c r="R53" s="2023"/>
      <c r="S53" s="2023"/>
      <c r="T53" s="2023"/>
      <c r="U53" s="2023"/>
      <c r="V53" s="2023"/>
      <c r="W53" s="2023"/>
      <c r="X53" s="2023"/>
      <c r="Y53" s="2023"/>
      <c r="Z53" s="2023"/>
      <c r="AA53" s="2023"/>
      <c r="AB53" s="2023"/>
      <c r="AC53" s="2023"/>
    </row>
    <row r="54" spans="1:29" s="1296" customFormat="1" ht="13.5" customHeight="1">
      <c r="A54" s="3208"/>
      <c r="B54" s="3208"/>
      <c r="C54" s="614" t="s">
        <v>553</v>
      </c>
      <c r="D54" s="618"/>
      <c r="E54" s="616">
        <f>IF(E47&lt;G47,G47/E47-1,E47/G47-1)</f>
        <v>6.8087479894152425E-2</v>
      </c>
      <c r="F54" s="617" t="str">
        <f>IF(OR(E54&gt;=0.3,E54&lt;=-0.3),"超过30%","")</f>
        <v/>
      </c>
      <c r="G54" s="616">
        <f>IF(G47&lt;I47,I47/G47-1,G47/I47-1)</f>
        <v>4.7203341462149107E-2</v>
      </c>
      <c r="H54" s="617" t="str">
        <f>IF(OR(G54&gt;=0.3,G54&lt;=-0.3),"超过30%","")</f>
        <v/>
      </c>
      <c r="I54" s="616">
        <f>IF(I47&lt;E47,E47/I47-1,I47/E47-1)</f>
        <v>1.9942772912511897E-2</v>
      </c>
      <c r="J54" s="617" t="str">
        <f>IF(OR(I54&gt;=0.3,I54&lt;=-0.3),"超过30%","")</f>
        <v/>
      </c>
      <c r="K54" s="3211"/>
      <c r="L54" s="2030"/>
      <c r="M54" s="2024"/>
      <c r="N54" s="2024"/>
      <c r="O54" s="2024"/>
      <c r="P54" s="2024"/>
      <c r="Q54" s="2024"/>
      <c r="R54" s="2024"/>
      <c r="S54" s="2024"/>
      <c r="T54" s="2024"/>
      <c r="U54" s="2024"/>
      <c r="V54" s="2024"/>
      <c r="W54" s="2024"/>
      <c r="X54" s="2024"/>
      <c r="Y54" s="2024"/>
      <c r="Z54" s="2024"/>
      <c r="AA54" s="2024"/>
      <c r="AB54" s="2024"/>
      <c r="AC54" s="2024"/>
    </row>
    <row r="55" spans="1:29" s="1296"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8" customFormat="1" ht="15">
      <c r="A58" s="635" t="s">
        <v>523</v>
      </c>
      <c r="B58" s="636"/>
      <c r="C58" s="2517" t="str">
        <f>YEAR(C7)&amp;"-"&amp;MONTH(C7)</f>
        <v>2021-8</v>
      </c>
      <c r="D58" s="2517">
        <f>EDATE(C58,-1)</f>
        <v>44378</v>
      </c>
      <c r="E58" s="2517">
        <f t="shared" ref="E58:O58" si="16">EDATE(D58,-1)</f>
        <v>44348</v>
      </c>
      <c r="F58" s="2517">
        <f t="shared" si="16"/>
        <v>44317</v>
      </c>
      <c r="G58" s="2517">
        <f t="shared" si="16"/>
        <v>44287</v>
      </c>
      <c r="H58" s="2517">
        <f t="shared" si="16"/>
        <v>44256</v>
      </c>
      <c r="I58" s="2517">
        <f t="shared" si="16"/>
        <v>44228</v>
      </c>
      <c r="J58" s="2517">
        <f t="shared" si="16"/>
        <v>44197</v>
      </c>
      <c r="K58" s="2517">
        <f t="shared" si="16"/>
        <v>44166</v>
      </c>
      <c r="L58" s="2517">
        <f t="shared" si="16"/>
        <v>44136</v>
      </c>
      <c r="M58" s="2517">
        <f t="shared" si="16"/>
        <v>44105</v>
      </c>
      <c r="N58" s="2517">
        <f t="shared" si="16"/>
        <v>44075</v>
      </c>
      <c r="O58" s="2517">
        <f t="shared" si="16"/>
        <v>44044</v>
      </c>
      <c r="P58" s="2037"/>
      <c r="Q58" s="2038"/>
      <c r="R58" s="2038"/>
      <c r="S58" s="2038"/>
      <c r="T58" s="2038"/>
      <c r="U58" s="2038"/>
      <c r="V58" s="2038"/>
      <c r="W58" s="2038"/>
      <c r="X58" s="2038"/>
      <c r="Y58" s="2038"/>
      <c r="Z58" s="2038"/>
      <c r="AA58" s="2038"/>
      <c r="AB58" s="2038"/>
      <c r="AC58" s="2038"/>
    </row>
    <row r="59" spans="1:29" s="1201" customFormat="1" ht="15">
      <c r="A59" s="637"/>
      <c r="B59" s="638"/>
      <c r="C59" s="639">
        <v>100</v>
      </c>
      <c r="D59" s="640">
        <v>100</v>
      </c>
      <c r="E59" s="640"/>
      <c r="F59" s="640"/>
      <c r="G59" s="640"/>
      <c r="H59" s="640"/>
      <c r="I59" s="640"/>
      <c r="J59" s="640"/>
      <c r="K59" s="640"/>
      <c r="L59" s="640"/>
      <c r="M59" s="640"/>
      <c r="N59" s="640"/>
      <c r="O59" s="640"/>
      <c r="P59" s="2035"/>
      <c r="Q59" s="1901"/>
      <c r="R59" s="1901"/>
      <c r="S59" s="1901"/>
      <c r="T59" s="1901"/>
      <c r="U59" s="1901"/>
      <c r="V59" s="1901"/>
      <c r="W59" s="1901"/>
      <c r="X59" s="1901"/>
      <c r="Y59" s="1901"/>
      <c r="Z59" s="1901"/>
      <c r="AA59" s="1901"/>
      <c r="AB59" s="1901"/>
      <c r="AC59" s="1901"/>
    </row>
    <row r="60" spans="1:29" s="1201" customFormat="1" ht="15.75" thickBot="1">
      <c r="A60" s="643" t="s">
        <v>569</v>
      </c>
      <c r="B60" s="644"/>
      <c r="C60" s="645"/>
      <c r="D60" s="646"/>
      <c r="E60" s="646"/>
      <c r="F60" s="646"/>
      <c r="G60" s="646"/>
      <c r="H60" s="646"/>
      <c r="I60" s="646"/>
      <c r="J60" s="646"/>
      <c r="K60" s="646"/>
      <c r="L60" s="646"/>
      <c r="M60" s="647"/>
      <c r="N60" s="646"/>
      <c r="O60" s="648"/>
      <c r="P60" s="2035"/>
      <c r="Q60" s="2035"/>
      <c r="R60" s="1901"/>
      <c r="S60" s="1901"/>
      <c r="T60" s="1901"/>
      <c r="U60" s="1901"/>
      <c r="V60" s="1901"/>
      <c r="W60" s="1901"/>
      <c r="X60" s="1901"/>
      <c r="Y60" s="1901"/>
      <c r="Z60" s="1901"/>
      <c r="AA60" s="1901"/>
      <c r="AB60" s="1901"/>
      <c r="AC60" s="1901"/>
    </row>
    <row r="61" spans="1:29" s="1201" customFormat="1" ht="15">
      <c r="A61" s="649" t="s">
        <v>525</v>
      </c>
      <c r="B61" s="638"/>
      <c r="C61" s="650" t="s">
        <v>570</v>
      </c>
      <c r="D61" s="651"/>
      <c r="E61" s="651"/>
      <c r="F61" s="651"/>
      <c r="G61" s="651"/>
      <c r="H61" s="651"/>
      <c r="I61" s="651"/>
      <c r="J61" s="651"/>
      <c r="K61" s="651"/>
      <c r="L61" s="652"/>
      <c r="M61" s="653"/>
      <c r="N61" s="2039"/>
      <c r="O61" s="2039"/>
      <c r="P61" s="2040"/>
      <c r="Q61" s="2035"/>
      <c r="R61" s="1901"/>
      <c r="S61" s="1901"/>
      <c r="T61" s="1901"/>
      <c r="U61" s="1901"/>
      <c r="V61" s="1901"/>
      <c r="W61" s="1901"/>
      <c r="X61" s="1901"/>
      <c r="Y61" s="1901"/>
      <c r="Z61" s="1901"/>
      <c r="AA61" s="1901"/>
      <c r="AB61" s="1901"/>
      <c r="AC61" s="1901"/>
    </row>
    <row r="62" spans="1:29" s="1201" customFormat="1" ht="15.75" thickBot="1">
      <c r="A62" s="649"/>
      <c r="B62" s="638"/>
      <c r="C62" s="876">
        <v>100</v>
      </c>
      <c r="D62" s="640"/>
      <c r="E62" s="640"/>
      <c r="F62" s="640"/>
      <c r="G62" s="640"/>
      <c r="H62" s="640"/>
      <c r="I62" s="640"/>
      <c r="J62" s="640"/>
      <c r="K62" s="640"/>
      <c r="L62" s="640"/>
      <c r="M62" s="642"/>
      <c r="N62" s="2039"/>
      <c r="O62" s="2039"/>
      <c r="P62" s="2035"/>
      <c r="Q62" s="2035"/>
      <c r="R62" s="1901"/>
      <c r="S62" s="1901"/>
      <c r="T62" s="1901"/>
      <c r="U62" s="1901"/>
      <c r="V62" s="1901"/>
      <c r="W62" s="1901"/>
      <c r="X62" s="1901"/>
      <c r="Y62" s="1901"/>
      <c r="Z62" s="1901"/>
      <c r="AA62" s="1901"/>
      <c r="AB62" s="1901"/>
      <c r="AC62" s="1901"/>
    </row>
    <row r="63" spans="1:29">
      <c r="A63" s="654" t="s">
        <v>571</v>
      </c>
      <c r="B63" s="655" t="s">
        <v>528</v>
      </c>
      <c r="C63" s="694" t="str">
        <f>C9</f>
        <v>住宅</v>
      </c>
      <c r="D63" s="590"/>
      <c r="E63" s="590"/>
      <c r="F63" s="590"/>
      <c r="G63" s="590"/>
      <c r="H63" s="590"/>
      <c r="I63" s="590"/>
      <c r="J63" s="590"/>
      <c r="K63" s="656"/>
      <c r="L63" s="657"/>
      <c r="M63" s="658"/>
      <c r="N63" s="2041"/>
      <c r="O63" s="2041"/>
      <c r="P63" s="2042"/>
      <c r="Q63" s="2035"/>
      <c r="R63" s="2023"/>
      <c r="S63" s="2023"/>
      <c r="T63" s="2023"/>
      <c r="U63" s="2023"/>
      <c r="V63" s="2023"/>
      <c r="W63" s="2023"/>
      <c r="X63" s="2023"/>
      <c r="Y63" s="2023"/>
      <c r="Z63" s="2023"/>
      <c r="AA63" s="2023"/>
      <c r="AB63" s="2023"/>
      <c r="AC63" s="2023"/>
    </row>
    <row r="64" spans="1:29" ht="15.75" thickBot="1">
      <c r="A64" s="659"/>
      <c r="B64" s="660"/>
      <c r="C64" s="661"/>
      <c r="D64" s="661"/>
      <c r="E64" s="1535"/>
      <c r="F64" s="1535"/>
      <c r="G64" s="1535"/>
      <c r="H64" s="1535"/>
      <c r="I64" s="1535"/>
      <c r="J64" s="1535"/>
      <c r="K64" s="1535"/>
      <c r="L64" s="1535"/>
      <c r="M64" s="1536"/>
      <c r="N64" s="2043"/>
      <c r="O64" s="2043"/>
      <c r="P64" s="2042"/>
      <c r="Q64" s="2035"/>
      <c r="R64" s="2023"/>
      <c r="S64" s="2023"/>
      <c r="T64" s="2023"/>
      <c r="U64" s="2023"/>
      <c r="V64" s="2023"/>
      <c r="W64" s="2023"/>
      <c r="X64" s="2023"/>
      <c r="Y64" s="2023"/>
      <c r="Z64" s="2023"/>
      <c r="AA64" s="2023"/>
      <c r="AB64" s="2023"/>
      <c r="AC64" s="2023"/>
    </row>
    <row r="65" spans="1:29" ht="27.75" thickTop="1">
      <c r="A65" s="659"/>
      <c r="B65" s="663" t="s">
        <v>531</v>
      </c>
      <c r="C65" s="664" t="s">
        <v>731</v>
      </c>
      <c r="D65" s="664" t="s">
        <v>732</v>
      </c>
      <c r="E65" s="664" t="s">
        <v>733</v>
      </c>
      <c r="F65" s="664" t="s">
        <v>734</v>
      </c>
      <c r="G65" s="664" t="s">
        <v>735</v>
      </c>
      <c r="H65" s="664" t="s">
        <v>736</v>
      </c>
      <c r="I65" s="664" t="s">
        <v>737</v>
      </c>
      <c r="J65" s="664"/>
      <c r="K65" s="665"/>
      <c r="L65" s="666"/>
      <c r="M65" s="667"/>
      <c r="N65" s="2041"/>
      <c r="O65" s="2041"/>
      <c r="P65" s="2042"/>
      <c r="Q65" s="2035"/>
      <c r="R65" s="2023"/>
      <c r="S65" s="2023"/>
      <c r="T65" s="2023"/>
      <c r="U65" s="2023"/>
      <c r="V65" s="2023"/>
      <c r="W65" s="2023"/>
      <c r="X65" s="2023"/>
      <c r="Y65" s="2023"/>
      <c r="Z65" s="2023"/>
      <c r="AA65" s="2023"/>
      <c r="AB65" s="2023"/>
      <c r="AC65" s="2023"/>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3"/>
      <c r="O66" s="2043"/>
      <c r="P66" s="2042"/>
      <c r="Q66" s="2035"/>
      <c r="R66" s="2023"/>
      <c r="S66" s="2023"/>
      <c r="T66" s="2023"/>
      <c r="U66" s="2023"/>
      <c r="V66" s="2023"/>
      <c r="W66" s="2023"/>
      <c r="X66" s="2023"/>
      <c r="Y66" s="2023"/>
      <c r="Z66" s="2023"/>
      <c r="AA66" s="2023"/>
      <c r="AB66" s="2023"/>
      <c r="AC66" s="2023"/>
    </row>
    <row r="67" spans="1:29" ht="15.75" thickTop="1">
      <c r="A67" s="659"/>
      <c r="B67" s="671" t="s">
        <v>532</v>
      </c>
      <c r="C67" s="672" t="str">
        <f>C68&amp;"（含）"&amp;"-"&amp;D68</f>
        <v>1（含）-1.5</v>
      </c>
      <c r="D67" s="672" t="str">
        <f t="shared" ref="D67:L67" si="18">D68&amp;"（含）"&amp;"-"&amp;E68</f>
        <v>1.5（含）-2</v>
      </c>
      <c r="E67" s="672" t="str">
        <f t="shared" si="18"/>
        <v>2（含）-2.5</v>
      </c>
      <c r="F67" s="672" t="str">
        <f t="shared" si="18"/>
        <v>2.5（含）-3</v>
      </c>
      <c r="G67" s="672" t="str">
        <f t="shared" si="18"/>
        <v>3（含）-3.5</v>
      </c>
      <c r="H67" s="672" t="str">
        <f t="shared" si="18"/>
        <v>3.5（含）-</v>
      </c>
      <c r="I67" s="672" t="str">
        <f t="shared" si="18"/>
        <v>（含）-</v>
      </c>
      <c r="J67" s="672" t="str">
        <f t="shared" si="18"/>
        <v>（含）-</v>
      </c>
      <c r="K67" s="672" t="str">
        <f t="shared" si="18"/>
        <v>（含）-</v>
      </c>
      <c r="L67" s="672" t="str">
        <f t="shared" si="18"/>
        <v>（含）-</v>
      </c>
      <c r="M67" s="547"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9"/>
      <c r="B68" s="673"/>
      <c r="C68" s="533">
        <v>1</v>
      </c>
      <c r="D68" s="533">
        <v>1.5</v>
      </c>
      <c r="E68" s="533">
        <v>2</v>
      </c>
      <c r="F68" s="533">
        <v>2.5</v>
      </c>
      <c r="G68" s="533">
        <v>3</v>
      </c>
      <c r="H68" s="533">
        <v>3.5</v>
      </c>
      <c r="I68" s="533"/>
      <c r="J68" s="533"/>
      <c r="K68" s="674"/>
      <c r="L68" s="675"/>
      <c r="M68" s="676"/>
      <c r="N68" s="2041"/>
      <c r="O68" s="2041"/>
      <c r="P68" s="2042"/>
      <c r="Q68" s="2035"/>
      <c r="R68" s="2023"/>
      <c r="S68" s="2023"/>
      <c r="T68" s="2023"/>
      <c r="U68" s="2023"/>
      <c r="V68" s="2023"/>
      <c r="W68" s="2023"/>
      <c r="X68" s="2023"/>
      <c r="Y68" s="2023"/>
      <c r="Z68" s="2023"/>
      <c r="AA68" s="2023"/>
      <c r="AB68" s="2023"/>
      <c r="AC68" s="2023"/>
    </row>
    <row r="69" spans="1:29" ht="15.75" thickBot="1">
      <c r="A69" s="659"/>
      <c r="B69" s="660"/>
      <c r="C69" s="669">
        <v>100</v>
      </c>
      <c r="D69" s="669">
        <f t="shared" ref="D69:M69" si="19">C69-$K11</f>
        <v>99</v>
      </c>
      <c r="E69" s="669">
        <f t="shared" si="19"/>
        <v>98</v>
      </c>
      <c r="F69" s="669">
        <f t="shared" si="19"/>
        <v>97</v>
      </c>
      <c r="G69" s="669">
        <f t="shared" si="19"/>
        <v>96</v>
      </c>
      <c r="H69" s="669">
        <f t="shared" si="19"/>
        <v>95</v>
      </c>
      <c r="I69" s="669">
        <f t="shared" si="19"/>
        <v>94</v>
      </c>
      <c r="J69" s="669">
        <f t="shared" si="19"/>
        <v>93</v>
      </c>
      <c r="K69" s="669">
        <f t="shared" si="19"/>
        <v>92</v>
      </c>
      <c r="L69" s="669">
        <f t="shared" si="19"/>
        <v>91</v>
      </c>
      <c r="M69" s="670">
        <f t="shared" si="19"/>
        <v>90</v>
      </c>
      <c r="N69" s="2043"/>
      <c r="O69" s="2043"/>
      <c r="P69" s="2042"/>
      <c r="Q69" s="2035"/>
      <c r="R69" s="2023"/>
      <c r="S69" s="2023"/>
      <c r="T69" s="2023"/>
      <c r="U69" s="2023"/>
      <c r="V69" s="2023"/>
      <c r="W69" s="2023"/>
      <c r="X69" s="2023"/>
      <c r="Y69" s="2023"/>
      <c r="Z69" s="2023"/>
      <c r="AA69" s="2023"/>
      <c r="AB69" s="2023"/>
      <c r="AC69" s="2023"/>
    </row>
    <row r="70" spans="1:29" s="1291" customFormat="1" ht="15.75" thickTop="1">
      <c r="A70" s="677"/>
      <c r="B70" s="663">
        <f>B12</f>
        <v>111</v>
      </c>
      <c r="C70" s="678"/>
      <c r="D70" s="678"/>
      <c r="E70" s="678"/>
      <c r="F70" s="678"/>
      <c r="G70" s="678"/>
      <c r="H70" s="679"/>
      <c r="I70" s="679"/>
      <c r="J70" s="679"/>
      <c r="K70" s="679"/>
      <c r="L70" s="680"/>
      <c r="M70" s="681"/>
      <c r="N70" s="2044"/>
      <c r="O70" s="2044"/>
      <c r="P70" s="2045"/>
      <c r="Q70" s="2046"/>
      <c r="R70" s="2047"/>
      <c r="S70" s="2047"/>
      <c r="T70" s="2047"/>
      <c r="U70" s="2047"/>
      <c r="V70" s="2047"/>
      <c r="W70" s="2047"/>
      <c r="X70" s="2047"/>
      <c r="Y70" s="2047"/>
      <c r="Z70" s="2047"/>
      <c r="AA70" s="2047"/>
      <c r="AB70" s="2047"/>
      <c r="AC70" s="2047"/>
    </row>
    <row r="71" spans="1:29" s="1291" customFormat="1" ht="15.75" thickBot="1">
      <c r="A71" s="677"/>
      <c r="B71" s="668"/>
      <c r="C71" s="682"/>
      <c r="D71" s="661"/>
      <c r="E71" s="661"/>
      <c r="F71" s="661"/>
      <c r="G71" s="661"/>
      <c r="H71" s="661"/>
      <c r="I71" s="661"/>
      <c r="J71" s="661"/>
      <c r="K71" s="661"/>
      <c r="L71" s="661"/>
      <c r="M71" s="662"/>
      <c r="N71" s="2043"/>
      <c r="O71" s="2043"/>
      <c r="P71" s="2045"/>
      <c r="Q71" s="2046"/>
      <c r="R71" s="2047"/>
      <c r="S71" s="2047"/>
      <c r="T71" s="2047"/>
      <c r="U71" s="2047"/>
      <c r="V71" s="2047"/>
      <c r="W71" s="2047"/>
      <c r="X71" s="2047"/>
      <c r="Y71" s="2047"/>
      <c r="Z71" s="2047"/>
      <c r="AA71" s="2047"/>
      <c r="AB71" s="2047"/>
      <c r="AC71" s="2047"/>
    </row>
    <row r="72" spans="1:29" s="1291" customFormat="1" ht="15.75" thickTop="1">
      <c r="A72" s="677"/>
      <c r="B72" s="663">
        <f>B13</f>
        <v>111</v>
      </c>
      <c r="C72" s="678"/>
      <c r="D72" s="678"/>
      <c r="E72" s="678"/>
      <c r="F72" s="678"/>
      <c r="G72" s="678"/>
      <c r="H72" s="679"/>
      <c r="I72" s="679"/>
      <c r="J72" s="679"/>
      <c r="K72" s="679"/>
      <c r="L72" s="680"/>
      <c r="M72" s="681"/>
      <c r="N72" s="2044"/>
      <c r="O72" s="2044"/>
      <c r="P72" s="2048"/>
      <c r="Q72" s="2049"/>
      <c r="R72" s="2047"/>
      <c r="S72" s="2047"/>
      <c r="T72" s="2047"/>
      <c r="U72" s="2047"/>
      <c r="V72" s="2047"/>
      <c r="W72" s="2047"/>
      <c r="X72" s="2047"/>
      <c r="Y72" s="2047"/>
      <c r="Z72" s="2047"/>
      <c r="AA72" s="2047"/>
      <c r="AB72" s="2047"/>
      <c r="AC72" s="2047"/>
    </row>
    <row r="73" spans="1:29" s="1291" customFormat="1" ht="15.75" thickBot="1">
      <c r="A73" s="677"/>
      <c r="B73" s="668"/>
      <c r="C73" s="682"/>
      <c r="D73" s="682"/>
      <c r="E73" s="682"/>
      <c r="F73" s="682"/>
      <c r="G73" s="682"/>
      <c r="H73" s="683"/>
      <c r="I73" s="683"/>
      <c r="J73" s="683"/>
      <c r="K73" s="683"/>
      <c r="L73" s="683"/>
      <c r="M73" s="684"/>
      <c r="N73" s="2044"/>
      <c r="O73" s="2044"/>
      <c r="P73" s="2045"/>
      <c r="Q73" s="2046"/>
      <c r="R73" s="2047"/>
      <c r="S73" s="2047"/>
      <c r="T73" s="2047"/>
      <c r="U73" s="2047"/>
      <c r="V73" s="2047"/>
      <c r="W73" s="2047"/>
      <c r="X73" s="2047"/>
      <c r="Y73" s="2047"/>
      <c r="Z73" s="2047"/>
      <c r="AA73" s="2047"/>
      <c r="AB73" s="2047"/>
      <c r="AC73" s="2047"/>
    </row>
    <row r="74" spans="1:29" s="1291" customFormat="1" ht="15.75" thickTop="1">
      <c r="A74" s="677"/>
      <c r="B74" s="671">
        <f>B14</f>
        <v>111</v>
      </c>
      <c r="C74" s="678"/>
      <c r="D74" s="678"/>
      <c r="E74" s="678"/>
      <c r="F74" s="678"/>
      <c r="G74" s="651"/>
      <c r="H74" s="685"/>
      <c r="I74" s="685"/>
      <c r="J74" s="685"/>
      <c r="K74" s="685"/>
      <c r="L74" s="686"/>
      <c r="M74" s="687"/>
      <c r="N74" s="2044"/>
      <c r="O74" s="2044"/>
      <c r="P74" s="2050"/>
      <c r="Q74" s="2046"/>
      <c r="R74" s="2047"/>
      <c r="S74" s="2047"/>
      <c r="T74" s="2047"/>
      <c r="U74" s="2047"/>
      <c r="V74" s="2047"/>
      <c r="W74" s="2047"/>
      <c r="X74" s="2047"/>
      <c r="Y74" s="2047"/>
      <c r="Z74" s="2047"/>
      <c r="AA74" s="2047"/>
      <c r="AB74" s="2047"/>
      <c r="AC74" s="2047"/>
    </row>
    <row r="75" spans="1:29" s="1291" customFormat="1" ht="15.75" thickBot="1">
      <c r="A75" s="688"/>
      <c r="B75" s="689"/>
      <c r="C75" s="690"/>
      <c r="D75" s="690"/>
      <c r="E75" s="690"/>
      <c r="F75" s="690"/>
      <c r="G75" s="690"/>
      <c r="H75" s="691"/>
      <c r="I75" s="691"/>
      <c r="J75" s="691"/>
      <c r="K75" s="691"/>
      <c r="L75" s="691"/>
      <c r="M75" s="692"/>
      <c r="N75" s="2044"/>
      <c r="O75" s="2044"/>
      <c r="P75" s="2045"/>
      <c r="Q75" s="2046"/>
      <c r="R75" s="2047"/>
      <c r="S75" s="2047"/>
      <c r="T75" s="2047"/>
      <c r="U75" s="2047"/>
      <c r="V75" s="2047"/>
      <c r="W75" s="2047"/>
      <c r="X75" s="2047"/>
      <c r="Y75" s="2047"/>
      <c r="Z75" s="2047"/>
      <c r="AA75" s="2047"/>
      <c r="AB75" s="2047"/>
      <c r="AC75" s="2047"/>
    </row>
    <row r="76" spans="1:29">
      <c r="A76" s="654" t="s">
        <v>533</v>
      </c>
      <c r="B76" s="655" t="s">
        <v>572</v>
      </c>
      <c r="C76" s="693" t="s">
        <v>573</v>
      </c>
      <c r="D76" s="693" t="s">
        <v>574</v>
      </c>
      <c r="E76" s="693" t="s">
        <v>575</v>
      </c>
      <c r="F76" s="693" t="s">
        <v>576</v>
      </c>
      <c r="G76" s="693" t="s">
        <v>577</v>
      </c>
      <c r="H76" s="694"/>
      <c r="I76" s="694"/>
      <c r="J76" s="694"/>
      <c r="K76" s="695"/>
      <c r="L76" s="696"/>
      <c r="M76" s="697"/>
      <c r="N76" s="2041"/>
      <c r="O76" s="2041"/>
      <c r="P76" s="2051"/>
      <c r="Q76" s="2035"/>
      <c r="R76" s="2023"/>
      <c r="S76" s="2023"/>
      <c r="T76" s="2023"/>
      <c r="U76" s="2023"/>
      <c r="V76" s="2023"/>
      <c r="W76" s="2023"/>
      <c r="X76" s="2023"/>
      <c r="Y76" s="2023"/>
      <c r="Z76" s="2023"/>
      <c r="AA76" s="2023"/>
      <c r="AB76" s="2023"/>
      <c r="AC76" s="2023"/>
    </row>
    <row r="77" spans="1:29" ht="15.75" thickBot="1">
      <c r="A77" s="659"/>
      <c r="B77" s="668"/>
      <c r="C77" s="669">
        <v>100</v>
      </c>
      <c r="D77" s="669">
        <f>C77-$K15</f>
        <v>95</v>
      </c>
      <c r="E77" s="669">
        <f>D77-$K15</f>
        <v>90</v>
      </c>
      <c r="F77" s="669">
        <f>E77-$K15</f>
        <v>85</v>
      </c>
      <c r="G77" s="669">
        <f>F77-$K15</f>
        <v>80</v>
      </c>
      <c r="H77" s="669"/>
      <c r="I77" s="669"/>
      <c r="J77" s="669"/>
      <c r="K77" s="669"/>
      <c r="L77" s="669"/>
      <c r="M77" s="670"/>
      <c r="N77" s="2043"/>
      <c r="O77" s="2043"/>
      <c r="P77" s="2042"/>
      <c r="Q77" s="2035"/>
      <c r="R77" s="2023"/>
      <c r="S77" s="2023"/>
      <c r="T77" s="2023"/>
      <c r="U77" s="2023"/>
      <c r="V77" s="2023"/>
      <c r="W77" s="2023"/>
      <c r="X77" s="2023"/>
      <c r="Y77" s="2023"/>
      <c r="Z77" s="2023"/>
      <c r="AA77" s="2023"/>
      <c r="AB77" s="2023"/>
      <c r="AC77" s="2023"/>
    </row>
    <row r="78" spans="1:29" ht="15.75" thickTop="1">
      <c r="A78" s="659"/>
      <c r="B78" s="663" t="s">
        <v>580</v>
      </c>
      <c r="C78" s="698" t="s">
        <v>573</v>
      </c>
      <c r="D78" s="698" t="s">
        <v>574</v>
      </c>
      <c r="E78" s="698" t="s">
        <v>575</v>
      </c>
      <c r="F78" s="698" t="s">
        <v>576</v>
      </c>
      <c r="G78" s="698" t="s">
        <v>577</v>
      </c>
      <c r="H78" s="664"/>
      <c r="I78" s="664"/>
      <c r="J78" s="664"/>
      <c r="K78" s="665"/>
      <c r="L78" s="666"/>
      <c r="M78" s="667"/>
      <c r="N78" s="2041"/>
      <c r="O78" s="2041"/>
      <c r="P78" s="2042"/>
      <c r="Q78" s="2035"/>
      <c r="R78" s="2023"/>
      <c r="S78" s="2023"/>
      <c r="T78" s="2023"/>
      <c r="U78" s="2023"/>
      <c r="V78" s="2023"/>
      <c r="W78" s="2023"/>
      <c r="X78" s="2023"/>
      <c r="Y78" s="2023"/>
      <c r="Z78" s="2023"/>
      <c r="AA78" s="2023"/>
      <c r="AB78" s="2023"/>
      <c r="AC78" s="2023"/>
    </row>
    <row r="79" spans="1:29" ht="15.75" thickBot="1">
      <c r="A79" s="659"/>
      <c r="B79" s="668"/>
      <c r="C79" s="669">
        <v>100</v>
      </c>
      <c r="D79" s="669">
        <f>C79-$K17</f>
        <v>98</v>
      </c>
      <c r="E79" s="669">
        <f>D79-$K17</f>
        <v>96</v>
      </c>
      <c r="F79" s="669">
        <f>E79-$K17</f>
        <v>94</v>
      </c>
      <c r="G79" s="669">
        <f>F79-$K17</f>
        <v>92</v>
      </c>
      <c r="H79" s="669"/>
      <c r="I79" s="669"/>
      <c r="J79" s="669"/>
      <c r="K79" s="669"/>
      <c r="L79" s="669"/>
      <c r="M79" s="670"/>
      <c r="N79" s="2043"/>
      <c r="O79" s="2043"/>
      <c r="P79" s="2042"/>
      <c r="Q79" s="2035"/>
      <c r="R79" s="2023"/>
      <c r="S79" s="2023"/>
      <c r="T79" s="2023"/>
      <c r="U79" s="2023"/>
      <c r="V79" s="2023"/>
      <c r="W79" s="2023"/>
      <c r="X79" s="2023"/>
      <c r="Y79" s="2023"/>
      <c r="Z79" s="2023"/>
      <c r="AA79" s="2023"/>
      <c r="AB79" s="2023"/>
      <c r="AC79" s="2023"/>
    </row>
    <row r="80" spans="1:29" ht="15.75" thickTop="1">
      <c r="A80" s="659"/>
      <c r="B80" s="1806" t="s">
        <v>2538</v>
      </c>
      <c r="C80" s="698" t="s">
        <v>573</v>
      </c>
      <c r="D80" s="698" t="s">
        <v>574</v>
      </c>
      <c r="E80" s="698" t="s">
        <v>575</v>
      </c>
      <c r="F80" s="698" t="s">
        <v>576</v>
      </c>
      <c r="G80" s="698" t="s">
        <v>577</v>
      </c>
      <c r="H80" s="664"/>
      <c r="I80" s="664"/>
      <c r="J80" s="664"/>
      <c r="K80" s="665"/>
      <c r="L80" s="666"/>
      <c r="M80" s="667"/>
      <c r="N80" s="2041"/>
      <c r="O80" s="2041"/>
      <c r="P80" s="2042"/>
      <c r="Q80" s="2035"/>
      <c r="R80" s="2023"/>
      <c r="S80" s="2023"/>
      <c r="T80" s="2023"/>
      <c r="U80" s="2023"/>
      <c r="V80" s="2023"/>
      <c r="W80" s="2023"/>
      <c r="X80" s="2023"/>
      <c r="Y80" s="2023"/>
      <c r="Z80" s="2023"/>
      <c r="AA80" s="2023"/>
      <c r="AB80" s="2023"/>
      <c r="AC80" s="2023"/>
    </row>
    <row r="81" spans="1:29" ht="15.75" thickBot="1">
      <c r="A81" s="659"/>
      <c r="B81" s="668"/>
      <c r="C81" s="669">
        <v>100</v>
      </c>
      <c r="D81" s="669">
        <f>C81-$K19</f>
        <v>98</v>
      </c>
      <c r="E81" s="669">
        <f>D81-$K19</f>
        <v>96</v>
      </c>
      <c r="F81" s="669">
        <f>E81-$K19</f>
        <v>94</v>
      </c>
      <c r="G81" s="669">
        <f>F81-$K19</f>
        <v>92</v>
      </c>
      <c r="H81" s="669"/>
      <c r="I81" s="669"/>
      <c r="J81" s="669"/>
      <c r="K81" s="669"/>
      <c r="L81" s="669"/>
      <c r="M81" s="670"/>
      <c r="N81" s="2043"/>
      <c r="O81" s="2043"/>
      <c r="P81" s="2042"/>
      <c r="Q81" s="2035"/>
      <c r="R81" s="2023"/>
      <c r="S81" s="2023"/>
      <c r="T81" s="2023"/>
      <c r="U81" s="2023"/>
      <c r="V81" s="2023"/>
      <c r="W81" s="2023"/>
      <c r="X81" s="2023"/>
      <c r="Y81" s="2023"/>
      <c r="Z81" s="2023"/>
      <c r="AA81" s="2023"/>
      <c r="AB81" s="2023"/>
      <c r="AC81" s="2023"/>
    </row>
    <row r="82" spans="1:29" ht="15.75" thickTop="1">
      <c r="A82" s="659"/>
      <c r="B82" s="2437" t="s">
        <v>2539</v>
      </c>
      <c r="C82" s="2438" t="s">
        <v>2540</v>
      </c>
      <c r="D82" s="2438" t="s">
        <v>2541</v>
      </c>
      <c r="E82" s="2438" t="s">
        <v>2542</v>
      </c>
      <c r="F82" s="2438" t="s">
        <v>2543</v>
      </c>
      <c r="G82" s="2438" t="s">
        <v>2544</v>
      </c>
      <c r="H82" s="664"/>
      <c r="I82" s="664"/>
      <c r="J82" s="664"/>
      <c r="K82" s="664"/>
      <c r="L82" s="664"/>
      <c r="M82" s="2441"/>
      <c r="N82" s="2043"/>
      <c r="O82" s="2043"/>
      <c r="P82" s="2042"/>
      <c r="Q82" s="2035"/>
      <c r="R82" s="2023"/>
      <c r="S82" s="2023"/>
      <c r="T82" s="2023"/>
      <c r="U82" s="2023"/>
      <c r="V82" s="2023"/>
      <c r="W82" s="2023"/>
      <c r="X82" s="2023"/>
      <c r="Y82" s="2023"/>
      <c r="Z82" s="2023"/>
      <c r="AA82" s="2023"/>
      <c r="AB82" s="2023"/>
      <c r="AC82" s="2023"/>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3"/>
      <c r="O83" s="2043"/>
      <c r="P83" s="2042"/>
      <c r="Q83" s="2035"/>
      <c r="R83" s="2023"/>
      <c r="S83" s="2023"/>
      <c r="T83" s="2023"/>
      <c r="U83" s="2023"/>
      <c r="V83" s="2023"/>
      <c r="W83" s="2023"/>
      <c r="X83" s="2023"/>
      <c r="Y83" s="2023"/>
      <c r="Z83" s="2023"/>
      <c r="AA83" s="2023"/>
      <c r="AB83" s="2023"/>
      <c r="AC83" s="2023"/>
    </row>
    <row r="84" spans="1:29" ht="15.75" thickTop="1">
      <c r="A84" s="659"/>
      <c r="B84" s="663" t="s">
        <v>738</v>
      </c>
      <c r="C84" s="698" t="s">
        <v>573</v>
      </c>
      <c r="D84" s="698" t="s">
        <v>574</v>
      </c>
      <c r="E84" s="698" t="s">
        <v>575</v>
      </c>
      <c r="F84" s="698" t="s">
        <v>576</v>
      </c>
      <c r="G84" s="698" t="s">
        <v>577</v>
      </c>
      <c r="H84" s="664"/>
      <c r="I84" s="664"/>
      <c r="J84" s="664"/>
      <c r="K84" s="665"/>
      <c r="L84" s="666"/>
      <c r="M84" s="667"/>
      <c r="N84" s="2041"/>
      <c r="O84" s="2041"/>
      <c r="P84" s="2042"/>
      <c r="Q84" s="2035"/>
      <c r="R84" s="2023"/>
      <c r="S84" s="2023"/>
      <c r="T84" s="2023"/>
      <c r="U84" s="2023"/>
      <c r="V84" s="2023"/>
      <c r="W84" s="2023"/>
      <c r="X84" s="2023"/>
      <c r="Y84" s="2023"/>
      <c r="Z84" s="2023"/>
      <c r="AA84" s="2023"/>
      <c r="AB84" s="2023"/>
      <c r="AC84" s="2023"/>
    </row>
    <row r="85" spans="1:29" ht="15.75" thickBot="1">
      <c r="A85" s="659"/>
      <c r="B85" s="668"/>
      <c r="C85" s="669">
        <v>100</v>
      </c>
      <c r="D85" s="669">
        <f>C85-$K23</f>
        <v>99</v>
      </c>
      <c r="E85" s="669">
        <f>D85-$K23</f>
        <v>98</v>
      </c>
      <c r="F85" s="669">
        <f>E85-$K23</f>
        <v>97</v>
      </c>
      <c r="G85" s="669">
        <f>F85-$K23</f>
        <v>96</v>
      </c>
      <c r="H85" s="669"/>
      <c r="I85" s="669"/>
      <c r="J85" s="669"/>
      <c r="K85" s="669"/>
      <c r="L85" s="669"/>
      <c r="M85" s="670"/>
      <c r="N85" s="2043"/>
      <c r="O85" s="2043"/>
      <c r="P85" s="2042"/>
      <c r="Q85" s="2035"/>
      <c r="R85" s="2023"/>
      <c r="S85" s="2023"/>
      <c r="T85" s="2023"/>
      <c r="U85" s="2023"/>
      <c r="V85" s="2023"/>
      <c r="W85" s="2023"/>
      <c r="X85" s="2023"/>
      <c r="Y85" s="2023"/>
      <c r="Z85" s="2023"/>
      <c r="AA85" s="2023"/>
      <c r="AB85" s="2023"/>
      <c r="AC85" s="2023"/>
    </row>
    <row r="86" spans="1:29" s="1201" customFormat="1" ht="15.75" thickTop="1">
      <c r="A86" s="699"/>
      <c r="B86" s="1806" t="s">
        <v>2245</v>
      </c>
      <c r="C86" s="3328" t="s">
        <v>3719</v>
      </c>
      <c r="D86" s="678"/>
      <c r="E86" s="678"/>
      <c r="F86" s="678"/>
      <c r="G86" s="678"/>
      <c r="H86" s="678"/>
      <c r="I86" s="678"/>
      <c r="J86" s="678"/>
      <c r="K86" s="678"/>
      <c r="L86" s="877"/>
      <c r="M86" s="878"/>
      <c r="N86" s="2039"/>
      <c r="O86" s="2039"/>
      <c r="P86" s="2042"/>
      <c r="Q86" s="2035"/>
      <c r="R86" s="1901"/>
      <c r="S86" s="1901"/>
      <c r="T86" s="1901"/>
      <c r="U86" s="1901"/>
      <c r="V86" s="1901"/>
      <c r="W86" s="1901"/>
      <c r="X86" s="1901"/>
      <c r="Y86" s="1901"/>
      <c r="Z86" s="1901"/>
      <c r="AA86" s="1901"/>
      <c r="AB86" s="1901"/>
      <c r="AC86" s="1901"/>
    </row>
    <row r="87" spans="1:29" s="1201" customFormat="1" ht="15.75" thickBot="1">
      <c r="A87" s="699"/>
      <c r="B87" s="668"/>
      <c r="C87" s="702">
        <v>100</v>
      </c>
      <c r="D87" s="669" t="e">
        <f>$C$87-($C$86-D86)*$K$25</f>
        <v>#VALUE!</v>
      </c>
      <c r="E87" s="669" t="e">
        <f t="shared" ref="E87:M87" si="20">$C$87-($C$86-E86)*$K$25</f>
        <v>#VALUE!</v>
      </c>
      <c r="F87" s="669" t="e">
        <f t="shared" si="20"/>
        <v>#VALUE!</v>
      </c>
      <c r="G87" s="669" t="e">
        <f t="shared" si="20"/>
        <v>#VALUE!</v>
      </c>
      <c r="H87" s="669" t="e">
        <f t="shared" si="20"/>
        <v>#VALUE!</v>
      </c>
      <c r="I87" s="669" t="e">
        <f t="shared" si="20"/>
        <v>#VALUE!</v>
      </c>
      <c r="J87" s="669" t="e">
        <f t="shared" si="20"/>
        <v>#VALUE!</v>
      </c>
      <c r="K87" s="669" t="e">
        <f t="shared" si="20"/>
        <v>#VALUE!</v>
      </c>
      <c r="L87" s="669" t="e">
        <f t="shared" si="20"/>
        <v>#VALUE!</v>
      </c>
      <c r="M87" s="669" t="e">
        <f t="shared" si="20"/>
        <v>#VALUE!</v>
      </c>
      <c r="N87" s="2043"/>
      <c r="O87" s="2043"/>
      <c r="P87" s="2042"/>
      <c r="Q87" s="2035"/>
      <c r="R87" s="1901"/>
      <c r="S87" s="1901"/>
      <c r="T87" s="1901"/>
      <c r="U87" s="1901"/>
      <c r="V87" s="1901"/>
      <c r="W87" s="1901"/>
      <c r="X87" s="1901"/>
      <c r="Y87" s="1901"/>
      <c r="Z87" s="1901"/>
      <c r="AA87" s="1901"/>
      <c r="AB87" s="1901"/>
      <c r="AC87" s="1901"/>
    </row>
    <row r="88" spans="1:29" s="1201" customFormat="1" ht="15.75" thickTop="1">
      <c r="A88" s="699"/>
      <c r="B88" s="663" t="s">
        <v>740</v>
      </c>
      <c r="C88" s="3328" t="s">
        <v>3721</v>
      </c>
      <c r="D88" s="678"/>
      <c r="E88" s="678"/>
      <c r="F88" s="879"/>
      <c r="G88" s="678"/>
      <c r="H88" s="678"/>
      <c r="I88" s="678"/>
      <c r="J88" s="678"/>
      <c r="K88" s="678"/>
      <c r="L88" s="678"/>
      <c r="M88" s="878"/>
      <c r="N88" s="2039"/>
      <c r="O88" s="2039"/>
      <c r="P88" s="2042"/>
      <c r="Q88" s="2035"/>
      <c r="R88" s="1901"/>
      <c r="S88" s="1901"/>
      <c r="T88" s="1901"/>
      <c r="U88" s="1901"/>
      <c r="V88" s="1901"/>
      <c r="W88" s="1901"/>
      <c r="X88" s="1901"/>
      <c r="Y88" s="1901"/>
      <c r="Z88" s="1901"/>
      <c r="AA88" s="1901"/>
      <c r="AB88" s="1901"/>
      <c r="AC88" s="1901"/>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3"/>
      <c r="O89" s="2043"/>
      <c r="P89" s="2042"/>
      <c r="Q89" s="2035"/>
      <c r="R89" s="1901"/>
      <c r="S89" s="1901"/>
      <c r="T89" s="1901"/>
      <c r="U89" s="1901"/>
      <c r="V89" s="1901"/>
      <c r="W89" s="1901"/>
      <c r="X89" s="1901"/>
      <c r="Y89" s="1901"/>
      <c r="Z89" s="1901"/>
      <c r="AA89" s="1901"/>
      <c r="AB89" s="1901"/>
      <c r="AC89" s="1901"/>
    </row>
    <row r="90" spans="1:29" s="1291" customFormat="1" ht="28.5" thickTop="1">
      <c r="A90" s="677"/>
      <c r="B90" s="663" t="str">
        <f>B27</f>
        <v>道路级别</v>
      </c>
      <c r="C90" s="678" t="s">
        <v>3745</v>
      </c>
      <c r="D90" s="678" t="s">
        <v>3722</v>
      </c>
      <c r="E90" s="678" t="s">
        <v>3747</v>
      </c>
      <c r="F90" s="678"/>
      <c r="G90" s="678"/>
      <c r="H90" s="679"/>
      <c r="I90" s="679"/>
      <c r="J90" s="679"/>
      <c r="K90" s="679"/>
      <c r="L90" s="680"/>
      <c r="M90" s="681"/>
      <c r="N90" s="2044"/>
      <c r="O90" s="2044"/>
      <c r="P90" s="2045"/>
      <c r="Q90" s="2046"/>
      <c r="R90" s="2047"/>
      <c r="S90" s="2047"/>
      <c r="T90" s="2047"/>
      <c r="U90" s="2047"/>
      <c r="V90" s="2047"/>
      <c r="W90" s="2047"/>
      <c r="X90" s="2047"/>
      <c r="Y90" s="2047"/>
      <c r="Z90" s="2047"/>
      <c r="AA90" s="2047"/>
      <c r="AB90" s="2047"/>
      <c r="AC90" s="2047"/>
    </row>
    <row r="91" spans="1:29" s="1291" customFormat="1" ht="15.75" thickBot="1">
      <c r="A91" s="677"/>
      <c r="B91" s="668"/>
      <c r="C91" s="682">
        <v>100</v>
      </c>
      <c r="D91" s="682">
        <v>100</v>
      </c>
      <c r="E91" s="682">
        <v>102</v>
      </c>
      <c r="F91" s="682"/>
      <c r="G91" s="682"/>
      <c r="H91" s="683"/>
      <c r="I91" s="683"/>
      <c r="J91" s="683"/>
      <c r="K91" s="683"/>
      <c r="L91" s="683"/>
      <c r="M91" s="684"/>
      <c r="N91" s="2044"/>
      <c r="O91" s="2044"/>
      <c r="P91" s="2045"/>
      <c r="Q91" s="2046"/>
      <c r="R91" s="2047"/>
      <c r="S91" s="2047"/>
      <c r="T91" s="2047"/>
      <c r="U91" s="2047"/>
      <c r="V91" s="2047"/>
      <c r="W91" s="2047"/>
      <c r="X91" s="2047"/>
      <c r="Y91" s="2047"/>
      <c r="Z91" s="2047"/>
      <c r="AA91" s="2047"/>
      <c r="AB91" s="2047"/>
      <c r="AC91" s="2047"/>
    </row>
    <row r="92" spans="1:29" ht="15.75" thickTop="1">
      <c r="A92" s="659"/>
      <c r="B92" s="663">
        <f>B28</f>
        <v>111</v>
      </c>
      <c r="C92" s="678"/>
      <c r="D92" s="678"/>
      <c r="E92" s="678"/>
      <c r="F92" s="678"/>
      <c r="G92" s="708"/>
      <c r="H92" s="708"/>
      <c r="I92" s="708"/>
      <c r="J92" s="708"/>
      <c r="K92" s="709"/>
      <c r="L92" s="710"/>
      <c r="M92" s="711"/>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82"/>
      <c r="D93" s="661"/>
      <c r="E93" s="661"/>
      <c r="F93" s="661"/>
      <c r="G93" s="661"/>
      <c r="H93" s="661"/>
      <c r="I93" s="661"/>
      <c r="J93" s="661"/>
      <c r="K93" s="661"/>
      <c r="L93" s="661"/>
      <c r="M93" s="662"/>
      <c r="N93" s="2043"/>
      <c r="O93" s="2043"/>
      <c r="P93" s="2042"/>
      <c r="Q93" s="2035"/>
      <c r="R93" s="2023"/>
      <c r="S93" s="2023"/>
      <c r="T93" s="2023"/>
      <c r="U93" s="2023"/>
      <c r="V93" s="2023"/>
      <c r="W93" s="2023"/>
      <c r="X93" s="2023"/>
      <c r="Y93" s="2023"/>
      <c r="Z93" s="2023"/>
      <c r="AA93" s="2023"/>
      <c r="AB93" s="2023"/>
      <c r="AC93" s="2023"/>
    </row>
    <row r="94" spans="1:29" ht="15.75" thickTop="1">
      <c r="A94" s="659"/>
      <c r="B94" s="663">
        <f>B29</f>
        <v>111</v>
      </c>
      <c r="C94" s="678"/>
      <c r="D94" s="678"/>
      <c r="E94" s="678"/>
      <c r="F94" s="678"/>
      <c r="G94" s="708"/>
      <c r="H94" s="708"/>
      <c r="I94" s="708"/>
      <c r="J94" s="708"/>
      <c r="K94" s="709"/>
      <c r="L94" s="710"/>
      <c r="M94" s="711"/>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82"/>
      <c r="D95" s="682"/>
      <c r="E95" s="682"/>
      <c r="F95" s="682"/>
      <c r="G95" s="661"/>
      <c r="H95" s="661"/>
      <c r="I95" s="661"/>
      <c r="J95" s="661"/>
      <c r="K95" s="661"/>
      <c r="L95" s="661"/>
      <c r="M95" s="662"/>
      <c r="N95" s="2043"/>
      <c r="O95" s="2043"/>
      <c r="P95" s="2042"/>
      <c r="Q95" s="2035"/>
      <c r="R95" s="2023"/>
      <c r="S95" s="2023"/>
      <c r="T95" s="2023"/>
      <c r="U95" s="2023"/>
      <c r="V95" s="2023"/>
      <c r="W95" s="2023"/>
      <c r="X95" s="2023"/>
      <c r="Y95" s="2023"/>
      <c r="Z95" s="2023"/>
      <c r="AA95" s="2023"/>
      <c r="AB95" s="2023"/>
      <c r="AC95" s="2023"/>
    </row>
    <row r="96" spans="1:29" ht="15.75" thickTop="1">
      <c r="A96" s="659"/>
      <c r="B96" s="663">
        <f>B30</f>
        <v>111</v>
      </c>
      <c r="C96" s="678"/>
      <c r="D96" s="678"/>
      <c r="E96" s="678"/>
      <c r="F96" s="678"/>
      <c r="G96" s="708"/>
      <c r="H96" s="708"/>
      <c r="I96" s="708"/>
      <c r="J96" s="708"/>
      <c r="K96" s="709"/>
      <c r="L96" s="710"/>
      <c r="M96" s="711"/>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90"/>
      <c r="D97" s="690"/>
      <c r="E97" s="690"/>
      <c r="F97" s="690"/>
      <c r="G97" s="661"/>
      <c r="H97" s="661"/>
      <c r="I97" s="661"/>
      <c r="J97" s="661"/>
      <c r="K97" s="661"/>
      <c r="L97" s="661"/>
      <c r="M97" s="662"/>
      <c r="N97" s="2043"/>
      <c r="O97" s="2043"/>
      <c r="P97" s="2042"/>
      <c r="Q97" s="2035"/>
      <c r="R97" s="2023"/>
      <c r="S97" s="2023"/>
      <c r="T97" s="2023"/>
      <c r="U97" s="2023"/>
      <c r="V97" s="2023"/>
      <c r="W97" s="2023"/>
      <c r="X97" s="2023"/>
      <c r="Y97" s="2023"/>
      <c r="Z97" s="2023"/>
      <c r="AA97" s="2023"/>
      <c r="AB97" s="2023"/>
      <c r="AC97" s="2023"/>
    </row>
    <row r="98" spans="1:29" ht="15.75" thickTop="1">
      <c r="A98" s="659"/>
      <c r="B98" s="671">
        <f>B31</f>
        <v>111</v>
      </c>
      <c r="C98" s="712"/>
      <c r="D98" s="712"/>
      <c r="E98" s="712"/>
      <c r="F98" s="712"/>
      <c r="G98" s="712"/>
      <c r="H98" s="712"/>
      <c r="I98" s="712"/>
      <c r="J98" s="712"/>
      <c r="K98" s="713"/>
      <c r="L98" s="714"/>
      <c r="M98" s="715"/>
      <c r="N98" s="2041"/>
      <c r="O98" s="2041"/>
      <c r="P98" s="2042"/>
      <c r="Q98" s="2035"/>
      <c r="R98" s="2023"/>
      <c r="S98" s="2023"/>
      <c r="T98" s="2023"/>
      <c r="U98" s="2023"/>
      <c r="V98" s="2023"/>
      <c r="W98" s="2023"/>
      <c r="X98" s="2023"/>
      <c r="Y98" s="2023"/>
      <c r="Z98" s="2023"/>
      <c r="AA98" s="2023"/>
      <c r="AB98" s="2023"/>
      <c r="AC98" s="2023"/>
    </row>
    <row r="99" spans="1:29" ht="15.75" thickBot="1">
      <c r="A99" s="880"/>
      <c r="B99" s="689"/>
      <c r="C99" s="716"/>
      <c r="D99" s="716"/>
      <c r="E99" s="716"/>
      <c r="F99" s="716"/>
      <c r="G99" s="716"/>
      <c r="H99" s="716"/>
      <c r="I99" s="716"/>
      <c r="J99" s="716"/>
      <c r="K99" s="716"/>
      <c r="L99" s="716"/>
      <c r="M99" s="717"/>
      <c r="N99" s="2043"/>
      <c r="O99" s="2043"/>
      <c r="P99" s="2042"/>
      <c r="Q99" s="2035"/>
      <c r="R99" s="2023"/>
      <c r="S99" s="2023"/>
      <c r="T99" s="2023"/>
      <c r="U99" s="2023"/>
      <c r="V99" s="2023"/>
      <c r="W99" s="2023"/>
      <c r="X99" s="2023"/>
      <c r="Y99" s="2023"/>
      <c r="Z99" s="2023"/>
      <c r="AA99" s="2023"/>
      <c r="AB99" s="2023"/>
      <c r="AC99" s="2023"/>
    </row>
    <row r="100" spans="1:29">
      <c r="A100" s="654" t="s">
        <v>545</v>
      </c>
      <c r="B100" s="655" t="s">
        <v>741</v>
      </c>
      <c r="C100" s="3374" t="s">
        <v>3723</v>
      </c>
      <c r="D100" s="3374" t="s">
        <v>3725</v>
      </c>
      <c r="E100" s="3374" t="s">
        <v>3727</v>
      </c>
      <c r="F100" s="3374" t="s">
        <v>3729</v>
      </c>
      <c r="G100" s="590"/>
      <c r="H100" s="590"/>
      <c r="I100" s="590"/>
      <c r="J100" s="590"/>
      <c r="K100" s="656"/>
      <c r="L100" s="657"/>
      <c r="M100" s="658"/>
      <c r="N100" s="2041"/>
      <c r="O100" s="2041"/>
      <c r="P100" s="2042"/>
      <c r="Q100" s="2035"/>
      <c r="R100" s="2023"/>
      <c r="S100" s="2023"/>
      <c r="T100" s="2023"/>
      <c r="U100" s="2023"/>
      <c r="V100" s="2023"/>
      <c r="W100" s="2023"/>
      <c r="X100" s="2023"/>
      <c r="Y100" s="2023"/>
      <c r="Z100" s="2023"/>
      <c r="AA100" s="2023"/>
      <c r="AB100" s="2023"/>
      <c r="AC100" s="2023"/>
    </row>
    <row r="101" spans="1:29" ht="15.75" thickBot="1">
      <c r="A101" s="659"/>
      <c r="B101" s="668"/>
      <c r="C101" s="669">
        <v>100</v>
      </c>
      <c r="D101" s="669">
        <f t="shared" ref="D101:M101" si="22">C101-$K32</f>
        <v>98.5</v>
      </c>
      <c r="E101" s="669">
        <f t="shared" si="22"/>
        <v>97</v>
      </c>
      <c r="F101" s="669">
        <f t="shared" si="22"/>
        <v>95.5</v>
      </c>
      <c r="G101" s="669">
        <f t="shared" si="22"/>
        <v>94</v>
      </c>
      <c r="H101" s="669">
        <f t="shared" si="22"/>
        <v>92.5</v>
      </c>
      <c r="I101" s="669">
        <f t="shared" si="22"/>
        <v>91</v>
      </c>
      <c r="J101" s="669">
        <f t="shared" si="22"/>
        <v>89.5</v>
      </c>
      <c r="K101" s="669">
        <f t="shared" si="22"/>
        <v>88</v>
      </c>
      <c r="L101" s="669">
        <f t="shared" si="22"/>
        <v>86.5</v>
      </c>
      <c r="M101" s="669">
        <f t="shared" si="22"/>
        <v>85</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9"/>
      <c r="B102" s="663" t="s">
        <v>742</v>
      </c>
      <c r="C102" s="698" t="str">
        <f>C103&amp;"(含)"&amp;"-"&amp;D103</f>
        <v>50000(含)-200000</v>
      </c>
      <c r="D102" s="698" t="str">
        <f t="shared" ref="D102:L102" si="23">D103&amp;"(含)"&amp;"-"&amp;E103</f>
        <v>200000(含)-500000</v>
      </c>
      <c r="E102" s="698" t="str">
        <f t="shared" si="23"/>
        <v>500000(含)-800000</v>
      </c>
      <c r="F102" s="698" t="str">
        <f t="shared" si="23"/>
        <v>800000(含)-1000000</v>
      </c>
      <c r="G102" s="698" t="str">
        <f t="shared" si="23"/>
        <v>1000000(含)-</v>
      </c>
      <c r="H102" s="698" t="str">
        <f t="shared" si="23"/>
        <v>(含)-</v>
      </c>
      <c r="I102" s="698" t="str">
        <f t="shared" si="23"/>
        <v>(含)-</v>
      </c>
      <c r="J102" s="698" t="str">
        <f t="shared" si="23"/>
        <v>(含)-</v>
      </c>
      <c r="K102" s="698" t="str">
        <f t="shared" si="23"/>
        <v>(含)-</v>
      </c>
      <c r="L102" s="698" t="str">
        <f t="shared" si="23"/>
        <v>(含)-</v>
      </c>
      <c r="M102" s="698"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1" customFormat="1">
      <c r="A103" s="718"/>
      <c r="B103" s="719"/>
      <c r="C103" s="720">
        <v>50000</v>
      </c>
      <c r="D103" s="720">
        <v>200000</v>
      </c>
      <c r="E103" s="720">
        <v>500000</v>
      </c>
      <c r="F103" s="720">
        <v>800000</v>
      </c>
      <c r="G103" s="720">
        <v>1000000</v>
      </c>
      <c r="H103" s="720"/>
      <c r="I103" s="720"/>
      <c r="J103" s="721"/>
      <c r="K103" s="721"/>
      <c r="L103" s="722"/>
      <c r="M103" s="723"/>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Bot="1">
      <c r="A104" s="677"/>
      <c r="B104" s="668"/>
      <c r="C104" s="682">
        <v>100</v>
      </c>
      <c r="D104" s="661">
        <v>101</v>
      </c>
      <c r="E104" s="661">
        <v>102</v>
      </c>
      <c r="F104" s="661">
        <v>103</v>
      </c>
      <c r="G104" s="661">
        <v>104</v>
      </c>
      <c r="H104" s="661">
        <v>105</v>
      </c>
      <c r="I104" s="661">
        <v>106</v>
      </c>
      <c r="J104" s="661"/>
      <c r="K104" s="661"/>
      <c r="L104" s="661"/>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5"/>
      <c r="B105" s="663" t="s">
        <v>743</v>
      </c>
      <c r="C105" s="3328" t="s">
        <v>3730</v>
      </c>
      <c r="D105" s="3328" t="s">
        <v>3731</v>
      </c>
      <c r="E105" s="708"/>
      <c r="F105" s="708"/>
      <c r="G105" s="708"/>
      <c r="H105" s="708"/>
      <c r="I105" s="708"/>
      <c r="J105" s="708"/>
      <c r="K105" s="709"/>
      <c r="L105" s="710"/>
      <c r="M105" s="711"/>
      <c r="N105" s="2041"/>
      <c r="O105" s="2041"/>
      <c r="P105" s="2042"/>
      <c r="Q105" s="2035"/>
      <c r="R105" s="2023"/>
      <c r="S105" s="2023"/>
      <c r="T105" s="2023"/>
      <c r="U105" s="2023"/>
      <c r="V105" s="2023"/>
      <c r="W105" s="2023"/>
      <c r="X105" s="2023"/>
      <c r="Y105" s="2023"/>
      <c r="Z105" s="2023"/>
      <c r="AA105" s="2023"/>
      <c r="AB105" s="2023"/>
      <c r="AC105" s="2023"/>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5"/>
      <c r="B107" s="663" t="s">
        <v>744</v>
      </c>
      <c r="C107" s="3373" t="s">
        <v>3733</v>
      </c>
      <c r="D107" s="708"/>
      <c r="E107" s="708"/>
      <c r="F107" s="708"/>
      <c r="G107" s="708"/>
      <c r="H107" s="708"/>
      <c r="I107" s="708"/>
      <c r="J107" s="708"/>
      <c r="K107" s="709"/>
      <c r="L107" s="710"/>
      <c r="M107" s="711"/>
      <c r="N107" s="2041"/>
      <c r="O107" s="2041"/>
      <c r="P107" s="2042"/>
      <c r="Q107" s="2035"/>
      <c r="R107" s="2023"/>
      <c r="S107" s="2023"/>
      <c r="T107" s="2023"/>
      <c r="U107" s="2023"/>
      <c r="V107" s="2023"/>
      <c r="W107" s="2023"/>
      <c r="X107" s="2023"/>
      <c r="Y107" s="2023"/>
      <c r="Z107" s="2023"/>
      <c r="AA107" s="2023"/>
      <c r="AB107" s="2023"/>
      <c r="AC107" s="2023"/>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5"/>
      <c r="B109" s="663" t="s">
        <v>745</v>
      </c>
      <c r="C109" s="3328" t="s">
        <v>3734</v>
      </c>
      <c r="D109" s="678"/>
      <c r="E109" s="678"/>
      <c r="F109" s="708"/>
      <c r="G109" s="708"/>
      <c r="H109" s="708"/>
      <c r="I109" s="708"/>
      <c r="J109" s="708"/>
      <c r="K109" s="709"/>
      <c r="L109" s="710"/>
      <c r="M109" s="711"/>
      <c r="N109" s="2041"/>
      <c r="O109" s="2041"/>
      <c r="P109" s="2042"/>
      <c r="Q109" s="2035"/>
      <c r="R109" s="2023"/>
      <c r="S109" s="2023"/>
      <c r="T109" s="2023"/>
      <c r="U109" s="2023"/>
      <c r="V109" s="2023"/>
      <c r="W109" s="2023"/>
      <c r="X109" s="2023"/>
      <c r="Y109" s="2023"/>
      <c r="Z109" s="2023"/>
      <c r="AA109" s="2023"/>
      <c r="AB109" s="2023"/>
      <c r="AC109" s="2023"/>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3"/>
      <c r="O110" s="2043"/>
      <c r="P110" s="2042"/>
      <c r="Q110" s="2035"/>
      <c r="R110" s="2023"/>
      <c r="S110" s="2023"/>
      <c r="T110" s="2023"/>
      <c r="U110" s="2023"/>
      <c r="V110" s="2023"/>
      <c r="W110" s="2023"/>
      <c r="X110" s="2023"/>
      <c r="Y110" s="2023"/>
      <c r="Z110" s="2023"/>
      <c r="AA110" s="2023"/>
      <c r="AB110" s="2023"/>
      <c r="AC110" s="2023"/>
    </row>
    <row r="111" spans="1:29" s="1291" customFormat="1" ht="15" thickTop="1">
      <c r="A111" s="718"/>
      <c r="B111" s="663" t="s">
        <v>746</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4"/>
      <c r="O111" s="2044"/>
      <c r="P111" s="2045"/>
      <c r="Q111" s="2046"/>
      <c r="R111" s="2047"/>
      <c r="S111" s="2047"/>
      <c r="T111" s="2047"/>
      <c r="U111" s="2047"/>
      <c r="V111" s="2047"/>
      <c r="W111" s="2047"/>
      <c r="X111" s="2047"/>
      <c r="Y111" s="2047"/>
      <c r="Z111" s="2047"/>
      <c r="AA111" s="2047"/>
      <c r="AB111" s="2047"/>
      <c r="AC111" s="2047"/>
    </row>
    <row r="112" spans="1:29" s="1291" customFormat="1">
      <c r="A112" s="718"/>
      <c r="B112" s="671"/>
      <c r="C112" s="881">
        <v>0.5</v>
      </c>
      <c r="D112" s="881">
        <v>0.6</v>
      </c>
      <c r="E112" s="881">
        <v>0.7</v>
      </c>
      <c r="F112" s="881">
        <v>0.8</v>
      </c>
      <c r="G112" s="881">
        <v>0.9</v>
      </c>
      <c r="H112" s="881">
        <v>1.0001</v>
      </c>
      <c r="I112" s="881"/>
      <c r="J112" s="882"/>
      <c r="K112" s="882"/>
      <c r="L112" s="883"/>
      <c r="M112" s="884"/>
      <c r="N112" s="2044"/>
      <c r="O112" s="2044"/>
      <c r="P112" s="2045"/>
      <c r="Q112" s="2046"/>
      <c r="R112" s="2047"/>
      <c r="S112" s="2047"/>
      <c r="T112" s="2047"/>
      <c r="U112" s="2047"/>
      <c r="V112" s="2047"/>
      <c r="W112" s="2047"/>
      <c r="X112" s="2047"/>
      <c r="Y112" s="2047"/>
      <c r="Z112" s="2047"/>
      <c r="AA112" s="2047"/>
      <c r="AB112" s="2047"/>
      <c r="AC112" s="2047"/>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4"/>
      <c r="O113" s="2044"/>
      <c r="P113" s="2045"/>
      <c r="Q113" s="2046"/>
      <c r="R113" s="2047"/>
      <c r="S113" s="2047"/>
      <c r="T113" s="2047"/>
      <c r="U113" s="2047"/>
      <c r="V113" s="2047"/>
      <c r="W113" s="2047"/>
      <c r="X113" s="2047"/>
      <c r="Y113" s="2047"/>
      <c r="Z113" s="2047"/>
      <c r="AA113" s="2047"/>
      <c r="AB113" s="2047"/>
      <c r="AC113" s="2047"/>
    </row>
    <row r="114" spans="1:29" ht="15" thickTop="1">
      <c r="A114" s="725"/>
      <c r="B114" s="663" t="s">
        <v>747</v>
      </c>
      <c r="C114" s="3328" t="s">
        <v>3736</v>
      </c>
      <c r="D114" s="678"/>
      <c r="E114" s="708"/>
      <c r="F114" s="708"/>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5"/>
      <c r="B116" s="1806" t="s">
        <v>2537</v>
      </c>
      <c r="C116" s="3328" t="s">
        <v>3737</v>
      </c>
      <c r="D116" s="3328" t="s">
        <v>3738</v>
      </c>
      <c r="E116" s="3328" t="s">
        <v>3739</v>
      </c>
      <c r="F116" s="678"/>
      <c r="G116" s="678"/>
      <c r="H116" s="708"/>
      <c r="I116" s="708"/>
      <c r="J116" s="708"/>
      <c r="K116" s="709"/>
      <c r="L116" s="710"/>
      <c r="M116" s="711"/>
      <c r="N116" s="2041"/>
      <c r="O116" s="2041"/>
      <c r="P116" s="2042"/>
      <c r="Q116" s="2035"/>
      <c r="R116" s="2023"/>
      <c r="S116" s="2023"/>
      <c r="T116" s="2023"/>
      <c r="U116" s="2023"/>
      <c r="V116" s="2023"/>
      <c r="W116" s="2023"/>
      <c r="X116" s="2023"/>
      <c r="Y116" s="2023"/>
      <c r="Z116" s="2023"/>
      <c r="AA116" s="2023"/>
      <c r="AB116" s="2023"/>
      <c r="AC116" s="2023"/>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3"/>
      <c r="O117" s="2043"/>
      <c r="P117" s="2042"/>
      <c r="Q117" s="2035"/>
      <c r="R117" s="2023"/>
      <c r="S117" s="2023"/>
      <c r="T117" s="2023"/>
      <c r="U117" s="2023"/>
      <c r="V117" s="2023"/>
      <c r="W117" s="2023"/>
      <c r="X117" s="2023"/>
      <c r="Y117" s="2023"/>
      <c r="Z117" s="2023"/>
      <c r="AA117" s="2023"/>
      <c r="AB117" s="2023"/>
      <c r="AC117" s="2023"/>
    </row>
    <row r="118" spans="1:29" ht="15" thickTop="1">
      <c r="A118" s="725"/>
      <c r="B118" s="663" t="s">
        <v>748</v>
      </c>
      <c r="C118" s="708"/>
      <c r="D118" s="708"/>
      <c r="E118" s="708"/>
      <c r="F118" s="708"/>
      <c r="G118" s="708"/>
      <c r="H118" s="708"/>
      <c r="I118" s="708"/>
      <c r="J118" s="708"/>
      <c r="K118" s="709"/>
      <c r="L118" s="710"/>
      <c r="M118" s="711"/>
      <c r="N118" s="2041"/>
      <c r="O118" s="2041"/>
      <c r="P118" s="2042"/>
      <c r="Q118" s="2035"/>
      <c r="R118" s="2023"/>
      <c r="S118" s="2023"/>
      <c r="T118" s="2023"/>
      <c r="U118" s="2023"/>
      <c r="V118" s="2023"/>
      <c r="W118" s="2023"/>
      <c r="X118" s="2023"/>
      <c r="Y118" s="2023"/>
      <c r="Z118" s="2023"/>
      <c r="AA118" s="2023"/>
      <c r="AB118" s="2023"/>
      <c r="AC118" s="2023"/>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3"/>
      <c r="O119" s="2043"/>
      <c r="P119" s="2042"/>
      <c r="Q119" s="2035"/>
      <c r="R119" s="2023"/>
      <c r="S119" s="2023"/>
      <c r="T119" s="2023"/>
      <c r="U119" s="2023"/>
      <c r="V119" s="2023"/>
      <c r="W119" s="2023"/>
      <c r="X119" s="2023"/>
      <c r="Y119" s="2023"/>
      <c r="Z119" s="2023"/>
      <c r="AA119" s="2023"/>
      <c r="AB119" s="2023"/>
      <c r="AC119" s="2023"/>
    </row>
    <row r="120" spans="1:29" s="1291" customFormat="1" ht="28.5" thickTop="1">
      <c r="A120" s="718"/>
      <c r="B120" s="663" t="s">
        <v>727</v>
      </c>
      <c r="C120" s="678"/>
      <c r="D120" s="678"/>
      <c r="E120" s="678"/>
      <c r="F120" s="678"/>
      <c r="G120" s="678"/>
      <c r="H120" s="678"/>
      <c r="I120" s="678"/>
      <c r="J120" s="678"/>
      <c r="K120" s="678"/>
      <c r="L120" s="877"/>
      <c r="M120" s="878"/>
      <c r="N120" s="2044"/>
      <c r="O120" s="2044"/>
      <c r="P120" s="2045"/>
      <c r="Q120" s="2046"/>
      <c r="R120" s="2047"/>
      <c r="S120" s="2047"/>
      <c r="T120" s="2047"/>
      <c r="U120" s="2047"/>
      <c r="V120" s="2047"/>
      <c r="W120" s="2047"/>
      <c r="X120" s="2047"/>
      <c r="Y120" s="2047"/>
      <c r="Z120" s="2047"/>
      <c r="AA120" s="2047"/>
      <c r="AB120" s="2047"/>
      <c r="AC120" s="2047"/>
    </row>
    <row r="121" spans="1:29" s="1291" customFormat="1" ht="15.75" thickBot="1">
      <c r="A121" s="677"/>
      <c r="B121" s="660"/>
      <c r="C121" s="682"/>
      <c r="D121" s="661"/>
      <c r="E121" s="661"/>
      <c r="F121" s="661"/>
      <c r="G121" s="661"/>
      <c r="H121" s="661"/>
      <c r="I121" s="661"/>
      <c r="J121" s="661"/>
      <c r="K121" s="661"/>
      <c r="L121" s="661"/>
      <c r="M121" s="661"/>
      <c r="N121" s="2044"/>
      <c r="O121" s="2044"/>
      <c r="P121" s="2045"/>
      <c r="Q121" s="2046"/>
      <c r="R121" s="2047"/>
      <c r="S121" s="2047"/>
      <c r="T121" s="2047"/>
      <c r="U121" s="2047"/>
      <c r="V121" s="2047"/>
      <c r="W121" s="2047"/>
      <c r="X121" s="2047"/>
      <c r="Y121" s="2047"/>
      <c r="Z121" s="2047"/>
      <c r="AA121" s="2047"/>
      <c r="AB121" s="2047"/>
      <c r="AC121" s="2047"/>
    </row>
    <row r="122" spans="1:29" ht="15" thickTop="1">
      <c r="A122" s="725"/>
      <c r="B122" s="663" t="s">
        <v>749</v>
      </c>
      <c r="C122" s="3328" t="s">
        <v>3734</v>
      </c>
      <c r="D122" s="3328" t="s">
        <v>3740</v>
      </c>
      <c r="E122" s="3328" t="s">
        <v>3741</v>
      </c>
      <c r="F122" s="3373" t="s">
        <v>3742</v>
      </c>
      <c r="G122" s="708"/>
      <c r="H122" s="708"/>
      <c r="I122" s="708"/>
      <c r="J122" s="708"/>
      <c r="K122" s="709"/>
      <c r="L122" s="710"/>
      <c r="M122" s="711"/>
      <c r="N122" s="2041"/>
      <c r="O122" s="2041"/>
      <c r="P122" s="2042"/>
      <c r="Q122" s="2035"/>
      <c r="R122" s="2023"/>
      <c r="S122" s="2023"/>
      <c r="T122" s="2023"/>
      <c r="U122" s="2023"/>
      <c r="V122" s="2023"/>
      <c r="W122" s="2023"/>
      <c r="X122" s="2023"/>
      <c r="Y122" s="2023"/>
      <c r="Z122" s="2023"/>
      <c r="AA122" s="2023"/>
      <c r="AB122" s="2023"/>
      <c r="AC122" s="2023"/>
    </row>
    <row r="123" spans="1:29" ht="15.75" thickBot="1">
      <c r="A123" s="659"/>
      <c r="B123" s="668"/>
      <c r="C123" s="669">
        <v>100</v>
      </c>
      <c r="D123" s="669">
        <f t="shared" ref="D123:M123" si="29">C123-$K42</f>
        <v>98</v>
      </c>
      <c r="E123" s="669">
        <f t="shared" si="29"/>
        <v>96</v>
      </c>
      <c r="F123" s="669">
        <f t="shared" si="29"/>
        <v>94</v>
      </c>
      <c r="G123" s="669">
        <f t="shared" si="29"/>
        <v>92</v>
      </c>
      <c r="H123" s="669">
        <f t="shared" si="29"/>
        <v>90</v>
      </c>
      <c r="I123" s="669">
        <f t="shared" si="29"/>
        <v>88</v>
      </c>
      <c r="J123" s="669">
        <f t="shared" si="29"/>
        <v>86</v>
      </c>
      <c r="K123" s="669">
        <f t="shared" si="29"/>
        <v>84</v>
      </c>
      <c r="L123" s="669">
        <f t="shared" si="29"/>
        <v>82</v>
      </c>
      <c r="M123" s="669">
        <f t="shared" si="29"/>
        <v>80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5"/>
      <c r="B124" s="663" t="s">
        <v>750</v>
      </c>
      <c r="C124" s="698" t="s">
        <v>573</v>
      </c>
      <c r="D124" s="698" t="s">
        <v>574</v>
      </c>
      <c r="E124" s="698" t="s">
        <v>575</v>
      </c>
      <c r="F124" s="698" t="s">
        <v>576</v>
      </c>
      <c r="G124" s="698" t="s">
        <v>577</v>
      </c>
      <c r="H124" s="664"/>
      <c r="I124" s="664"/>
      <c r="J124" s="664"/>
      <c r="K124" s="665"/>
      <c r="L124" s="666"/>
      <c r="M124" s="667"/>
      <c r="N124" s="2041"/>
      <c r="O124" s="2041"/>
      <c r="P124" s="2045"/>
      <c r="Q124" s="2035"/>
      <c r="R124" s="2023"/>
      <c r="S124" s="2023"/>
      <c r="T124" s="2023"/>
      <c r="U124" s="2023"/>
      <c r="V124" s="2023"/>
      <c r="W124" s="2023"/>
      <c r="X124" s="2023"/>
      <c r="Y124" s="2023"/>
      <c r="Z124" s="2023"/>
      <c r="AA124" s="2023"/>
      <c r="AB124" s="2023"/>
      <c r="AC124" s="2023"/>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3"/>
      <c r="O125" s="2043"/>
      <c r="P125" s="2042"/>
      <c r="Q125" s="2035"/>
      <c r="R125" s="2023"/>
      <c r="S125" s="2023"/>
      <c r="T125" s="2023"/>
      <c r="U125" s="2023"/>
      <c r="V125" s="2023"/>
      <c r="W125" s="2023"/>
      <c r="X125" s="2023"/>
      <c r="Y125" s="2023"/>
      <c r="Z125" s="2023"/>
      <c r="AA125" s="2023"/>
      <c r="AB125" s="2023"/>
      <c r="AC125" s="2023"/>
    </row>
    <row r="126" spans="1:29" s="1291" customFormat="1" ht="15" thickTop="1">
      <c r="A126" s="718"/>
      <c r="B126" s="663">
        <f>B44</f>
        <v>111</v>
      </c>
      <c r="C126" s="678"/>
      <c r="D126" s="678"/>
      <c r="E126" s="678"/>
      <c r="F126" s="678"/>
      <c r="G126" s="678"/>
      <c r="H126" s="679"/>
      <c r="I126" s="679"/>
      <c r="J126" s="679"/>
      <c r="K126" s="679"/>
      <c r="L126" s="680"/>
      <c r="M126" s="681"/>
      <c r="N126" s="2044"/>
      <c r="O126" s="2044"/>
      <c r="P126" s="2045"/>
      <c r="Q126" s="2046"/>
      <c r="R126" s="2047"/>
      <c r="S126" s="2047"/>
      <c r="T126" s="2047"/>
      <c r="U126" s="2047"/>
      <c r="V126" s="2047"/>
      <c r="W126" s="2047"/>
      <c r="X126" s="2047"/>
      <c r="Y126" s="2047"/>
      <c r="Z126" s="2047"/>
      <c r="AA126" s="2047"/>
      <c r="AB126" s="2047"/>
      <c r="AC126" s="2047"/>
    </row>
    <row r="127" spans="1:29" s="1291" customFormat="1" ht="15.75" thickBot="1">
      <c r="A127" s="677"/>
      <c r="B127" s="668"/>
      <c r="C127" s="682"/>
      <c r="D127" s="661"/>
      <c r="E127" s="661"/>
      <c r="F127" s="661"/>
      <c r="G127" s="682"/>
      <c r="H127" s="683"/>
      <c r="I127" s="683"/>
      <c r="J127" s="683"/>
      <c r="K127" s="683"/>
      <c r="L127" s="683"/>
      <c r="M127" s="684"/>
      <c r="N127" s="2044"/>
      <c r="O127" s="2044"/>
      <c r="P127" s="2045"/>
      <c r="Q127" s="2046"/>
      <c r="R127" s="2047"/>
      <c r="S127" s="2047"/>
      <c r="T127" s="2047"/>
      <c r="U127" s="2047"/>
      <c r="V127" s="2047"/>
      <c r="W127" s="2047"/>
      <c r="X127" s="2047"/>
      <c r="Y127" s="2047"/>
      <c r="Z127" s="2047"/>
      <c r="AA127" s="2047"/>
      <c r="AB127" s="2047"/>
      <c r="AC127" s="2047"/>
    </row>
    <row r="128" spans="1:29" ht="15" thickTop="1">
      <c r="A128" s="725"/>
      <c r="B128" s="663">
        <f>B45</f>
        <v>111</v>
      </c>
      <c r="C128" s="678"/>
      <c r="D128" s="678"/>
      <c r="E128" s="678"/>
      <c r="F128" s="678"/>
      <c r="G128" s="708"/>
      <c r="H128" s="708"/>
      <c r="I128" s="708"/>
      <c r="J128" s="708"/>
      <c r="K128" s="709"/>
      <c r="L128" s="710"/>
      <c r="M128" s="711"/>
      <c r="N128" s="2041"/>
      <c r="O128" s="2041"/>
      <c r="P128" s="2042"/>
      <c r="Q128" s="2035"/>
      <c r="R128" s="2023"/>
      <c r="S128" s="2023"/>
      <c r="T128" s="2023"/>
      <c r="U128" s="2023"/>
      <c r="V128" s="2023"/>
      <c r="W128" s="2023"/>
      <c r="X128" s="2023"/>
      <c r="Y128" s="2023"/>
      <c r="Z128" s="2023"/>
      <c r="AA128" s="2023"/>
      <c r="AB128" s="2023"/>
      <c r="AC128" s="2023"/>
    </row>
    <row r="129" spans="1:29" ht="15.75" thickBot="1">
      <c r="A129" s="659"/>
      <c r="B129" s="668"/>
      <c r="C129" s="682"/>
      <c r="D129" s="682"/>
      <c r="E129" s="682"/>
      <c r="F129" s="682"/>
      <c r="G129" s="661"/>
      <c r="H129" s="661"/>
      <c r="I129" s="661"/>
      <c r="J129" s="661"/>
      <c r="K129" s="661"/>
      <c r="L129" s="661"/>
      <c r="M129" s="662"/>
      <c r="N129" s="2043"/>
      <c r="O129" s="2043"/>
      <c r="P129" s="2042"/>
      <c r="Q129" s="2035"/>
      <c r="R129" s="2023"/>
      <c r="S129" s="2023"/>
      <c r="T129" s="2023"/>
      <c r="U129" s="2023"/>
      <c r="V129" s="2023"/>
      <c r="W129" s="2023"/>
      <c r="X129" s="2023"/>
      <c r="Y129" s="2023"/>
      <c r="Z129" s="2023"/>
      <c r="AA129" s="2023"/>
      <c r="AB129" s="2023"/>
      <c r="AC129" s="2023"/>
    </row>
    <row r="130" spans="1:29" ht="15" thickTop="1">
      <c r="A130" s="725"/>
      <c r="B130" s="671">
        <f>B46</f>
        <v>111</v>
      </c>
      <c r="C130" s="678"/>
      <c r="D130" s="678"/>
      <c r="E130" s="678"/>
      <c r="F130" s="678"/>
      <c r="G130" s="712"/>
      <c r="H130" s="712"/>
      <c r="I130" s="712"/>
      <c r="J130" s="712"/>
      <c r="K130" s="651"/>
      <c r="L130" s="652"/>
      <c r="M130" s="715"/>
      <c r="N130" s="2041"/>
      <c r="O130" s="2041"/>
      <c r="P130" s="2042"/>
      <c r="Q130" s="2035"/>
      <c r="R130" s="2023"/>
      <c r="S130" s="2023"/>
      <c r="T130" s="2023"/>
      <c r="U130" s="2023"/>
      <c r="V130" s="2023"/>
      <c r="W130" s="2023"/>
      <c r="X130" s="2023"/>
      <c r="Y130" s="2023"/>
      <c r="Z130" s="2023"/>
      <c r="AA130" s="2023"/>
      <c r="AB130" s="2023"/>
      <c r="AC130" s="2023"/>
    </row>
    <row r="131" spans="1:29" ht="15.75" thickBot="1">
      <c r="A131" s="880"/>
      <c r="B131" s="689"/>
      <c r="C131" s="690"/>
      <c r="D131" s="690"/>
      <c r="E131" s="690"/>
      <c r="F131" s="690"/>
      <c r="G131" s="716"/>
      <c r="H131" s="716"/>
      <c r="I131" s="716"/>
      <c r="J131" s="716"/>
      <c r="K131" s="716"/>
      <c r="L131" s="716"/>
      <c r="M131" s="717"/>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2246</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2247</v>
      </c>
      <c r="C137" s="1829"/>
      <c r="D137" s="1829"/>
      <c r="E137" s="1829"/>
      <c r="F137" s="1829"/>
      <c r="G137" s="1830"/>
      <c r="H137" s="1831"/>
      <c r="I137" s="1832" t="s">
        <v>2248</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2249</v>
      </c>
      <c r="D138" s="1835" t="s">
        <v>2250</v>
      </c>
      <c r="E138" s="1836" t="s">
        <v>2251</v>
      </c>
      <c r="F138" s="1837" t="s">
        <v>2252</v>
      </c>
      <c r="G138" s="1835" t="s">
        <v>2253</v>
      </c>
      <c r="H138" s="1838" t="s">
        <v>2254</v>
      </c>
      <c r="I138" s="1839"/>
      <c r="J138" s="1835" t="s">
        <v>2255</v>
      </c>
      <c r="K138" s="1838" t="s">
        <v>2256</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2257</v>
      </c>
      <c r="E139" s="1809">
        <v>100</v>
      </c>
      <c r="F139" s="1810">
        <v>102.5</v>
      </c>
      <c r="G139" s="1840" t="s">
        <v>2258</v>
      </c>
      <c r="H139" s="1811">
        <v>105</v>
      </c>
      <c r="I139" s="1841" t="s">
        <v>2259</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2260</v>
      </c>
      <c r="J140" s="833">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2261</v>
      </c>
      <c r="J141" s="833">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2262</v>
      </c>
      <c r="J142" s="833">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2263</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2264</v>
      </c>
      <c r="E144" s="1815">
        <v>102</v>
      </c>
      <c r="F144" s="1821">
        <v>100</v>
      </c>
      <c r="G144" s="1844" t="s">
        <v>2264</v>
      </c>
      <c r="H144" s="1817">
        <v>105</v>
      </c>
      <c r="I144" s="1843" t="s">
        <v>2263</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2265</v>
      </c>
      <c r="C145" s="1822">
        <f>ROUND(MAX(C139:C144)/MIN(C139:C144)-1,3)</f>
        <v>7.2999999999999995E-2</v>
      </c>
      <c r="D145" s="1846"/>
      <c r="E145" s="1846"/>
      <c r="F145" s="1847" t="s">
        <v>2266</v>
      </c>
      <c r="G145" s="1848"/>
      <c r="H145" s="1849"/>
      <c r="I145" s="1850" t="s">
        <v>2263</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2274</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2275</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238" priority="19" stopIfTrue="1" operator="containsText" text="超过">
      <formula>NOT(ISERROR(SEARCH("超过",F52)))</formula>
    </cfRule>
  </conditionalFormatting>
  <conditionalFormatting sqref="J54">
    <cfRule type="containsText" dxfId="237" priority="18" stopIfTrue="1" operator="containsText" text="超过">
      <formula>NOT(ISERROR(SEARCH("超过",J54)))</formula>
    </cfRule>
  </conditionalFormatting>
  <conditionalFormatting sqref="H54">
    <cfRule type="containsText" dxfId="236" priority="17" stopIfTrue="1" operator="containsText" text="超过">
      <formula>NOT(ISERROR(SEARCH("超过",H54)))</formula>
    </cfRule>
  </conditionalFormatting>
  <conditionalFormatting sqref="F54">
    <cfRule type="containsText" dxfId="235" priority="16" stopIfTrue="1" operator="containsText" text="超过">
      <formula>NOT(ISERROR(SEARCH("超过",F54)))</formula>
    </cfRule>
  </conditionalFormatting>
  <conditionalFormatting sqref="F53 H53 J53">
    <cfRule type="containsText" dxfId="234" priority="15" stopIfTrue="1" operator="containsText" text="超过">
      <formula>NOT(ISERROR(SEARCH("超过",F53)))</formula>
    </cfRule>
  </conditionalFormatting>
  <conditionalFormatting sqref="E52">
    <cfRule type="expression" dxfId="233" priority="14" stopIfTrue="1">
      <formula>$F$52="超过30%"</formula>
    </cfRule>
  </conditionalFormatting>
  <conditionalFormatting sqref="G54">
    <cfRule type="expression" dxfId="232" priority="12" stopIfTrue="1">
      <formula>$H$54="超过30%"</formula>
    </cfRule>
  </conditionalFormatting>
  <conditionalFormatting sqref="E53">
    <cfRule type="expression" dxfId="231" priority="11" stopIfTrue="1">
      <formula>$F$53="超过20%"</formula>
    </cfRule>
  </conditionalFormatting>
  <conditionalFormatting sqref="E54">
    <cfRule type="expression" dxfId="230" priority="10" stopIfTrue="1">
      <formula>$F$54="超过30%"</formula>
    </cfRule>
  </conditionalFormatting>
  <conditionalFormatting sqref="G52">
    <cfRule type="expression" dxfId="229" priority="9" stopIfTrue="1">
      <formula>$H$52="超过30%"</formula>
    </cfRule>
  </conditionalFormatting>
  <conditionalFormatting sqref="G53">
    <cfRule type="expression" dxfId="228" priority="8" stopIfTrue="1">
      <formula>$H$53="超过20%"</formula>
    </cfRule>
  </conditionalFormatting>
  <conditionalFormatting sqref="I52">
    <cfRule type="expression" dxfId="227" priority="7" stopIfTrue="1">
      <formula>$J$52="超过30%"</formula>
    </cfRule>
  </conditionalFormatting>
  <conditionalFormatting sqref="I53">
    <cfRule type="expression" dxfId="226" priority="6" stopIfTrue="1">
      <formula>$J$53="超过20%"</formula>
    </cfRule>
  </conditionalFormatting>
  <conditionalFormatting sqref="I54">
    <cfRule type="expression" dxfId="225" priority="5" stopIfTrue="1">
      <formula>$J$54="超过30%"</formula>
    </cfRule>
  </conditionalFormatting>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F7:F46 H7:H46 J7:J46">
    <cfRule type="cellIs" dxfId="22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topLeftCell="A7" zoomScale="80" zoomScaleNormal="80" zoomScaleSheetLayoutView="80" workbookViewId="0">
      <selection activeCell="D23" sqref="D23"/>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3006</v>
      </c>
      <c r="C1" s="1982"/>
      <c r="D1" s="1982"/>
      <c r="E1" s="1982"/>
      <c r="F1" s="1982"/>
      <c r="G1" s="1982"/>
      <c r="H1" s="1982"/>
      <c r="I1" s="1982"/>
      <c r="J1" s="1982"/>
      <c r="K1" s="414">
        <f>MATCH(B1,'数据-取费表'!A6:A16,0)+5</f>
        <v>7</v>
      </c>
      <c r="L1" s="288"/>
      <c r="M1" s="288"/>
      <c r="N1" s="288"/>
      <c r="O1" s="288"/>
      <c r="P1" s="288"/>
      <c r="Q1" s="288"/>
      <c r="R1" s="288"/>
      <c r="S1" s="288"/>
      <c r="T1" s="288"/>
      <c r="U1" s="288"/>
      <c r="V1" s="288"/>
      <c r="W1" s="288"/>
      <c r="X1" s="288"/>
      <c r="Y1" s="288"/>
      <c r="Z1" s="288"/>
    </row>
    <row r="2" spans="1:31" s="1920" customFormat="1" ht="18" customHeight="1">
      <c r="A2" s="1979" t="s">
        <v>461</v>
      </c>
      <c r="B2" s="1983">
        <f ca="1">C36</f>
        <v>13043</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20206</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37950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2530</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23542</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3006</v>
      </c>
      <c r="D7" s="428"/>
      <c r="E7" s="428"/>
      <c r="F7" s="428"/>
      <c r="G7" s="428"/>
      <c r="H7" s="428"/>
      <c r="I7" s="428"/>
      <c r="J7" s="428"/>
      <c r="K7" s="429"/>
      <c r="AA7" s="1990"/>
      <c r="AB7" s="1990"/>
      <c r="AC7" s="1990"/>
      <c r="AD7" s="1990"/>
      <c r="AE7" s="1990"/>
    </row>
    <row r="8" spans="1:31" s="1993" customFormat="1" ht="13.5" customHeight="1">
      <c r="A8" s="791" t="s">
        <v>1835</v>
      </c>
      <c r="B8" s="257" t="s">
        <v>466</v>
      </c>
      <c r="C8" s="2547">
        <f>ROUND('不动产比较法-商业'!C48,0)</f>
        <v>36471</v>
      </c>
      <c r="D8" s="2547"/>
      <c r="E8" s="2547"/>
      <c r="F8" s="2547"/>
      <c r="G8" s="2547"/>
      <c r="H8" s="2547"/>
      <c r="I8" s="2547"/>
      <c r="J8" s="2547"/>
      <c r="K8" s="2548"/>
      <c r="AA8" s="1992"/>
      <c r="AB8" s="1992"/>
      <c r="AC8" s="1992"/>
      <c r="AD8" s="1992"/>
      <c r="AE8" s="1992"/>
    </row>
    <row r="9" spans="1:31" s="1993" customFormat="1" ht="13.5" customHeight="1">
      <c r="A9" s="791" t="s">
        <v>1836</v>
      </c>
      <c r="B9" s="257" t="s">
        <v>467</v>
      </c>
      <c r="C9" s="433">
        <f>SUMIF('数据-汇总表'!$C19:$C33,'剩余法-待开发（商业）'!C7,'数据-汇总表'!$E19:$E33)</f>
        <v>6455.06</v>
      </c>
      <c r="D9" s="433">
        <f>SUMIF('数据-汇总表'!$C19:$C33,'剩余法-待开发（商业）'!D7,'数据-汇总表'!$E19:$E33)</f>
        <v>0</v>
      </c>
      <c r="E9" s="433">
        <f>SUMIF('数据-汇总表'!$C19:$C33,'剩余法-待开发（商业）'!E7,'数据-汇总表'!$E19:$E33)</f>
        <v>0</v>
      </c>
      <c r="F9" s="433">
        <f>SUMIF('数据-汇总表'!$C19:$C33,'剩余法-待开发（商业）'!F7,'数据-汇总表'!$E19:$E33)</f>
        <v>0</v>
      </c>
      <c r="G9" s="433">
        <f>SUMIF('数据-汇总表'!$C19:$C33,'剩余法-待开发（商业）'!G7,'数据-汇总表'!$E19:$E33)</f>
        <v>0</v>
      </c>
      <c r="H9" s="433">
        <f>SUMIF('数据-汇总表'!$C19:$C33,'剩余法-待开发（商业）'!H7,'数据-汇总表'!$E19:$E33)</f>
        <v>0</v>
      </c>
      <c r="I9" s="433">
        <f>SUMIF('数据-汇总表'!$C19:$C33,'剩余法-待开发（商业）'!I7,'数据-汇总表'!$E19:$E33)</f>
        <v>0</v>
      </c>
      <c r="J9" s="433">
        <f>SUMIF('数据-汇总表'!$C19:$C33,'剩余法-待开发（商业）'!J7,'数据-汇总表'!$E19:$E33)</f>
        <v>0</v>
      </c>
      <c r="K9" s="434">
        <f>SUMIF('数据-汇总表'!$C19:$C33,'剩余法-待开发（商业）'!K7,'数据-汇总表'!$E19:$E33)</f>
        <v>0</v>
      </c>
      <c r="AA9" s="1992"/>
      <c r="AB9" s="1992"/>
      <c r="AC9" s="1992"/>
      <c r="AD9" s="1992"/>
      <c r="AE9" s="1992"/>
    </row>
    <row r="10" spans="1:31" s="1993" customFormat="1" ht="13.5" customHeight="1" thickBot="1">
      <c r="A10" s="2549" t="s">
        <v>1837</v>
      </c>
      <c r="B10" s="2535" t="s">
        <v>468</v>
      </c>
      <c r="C10" s="2736">
        <f>'不动产比较法-商业'!B2</f>
        <v>23542</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2521" t="s">
        <v>470</v>
      </c>
      <c r="E12" s="2521" t="s">
        <v>471</v>
      </c>
      <c r="F12" s="2521"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 ca="1">IF(B1="",'数据-取费表'!P16,INDIRECT("'数据-取费表'!p"&amp;$K$1)+INDIRECT("'数据-取费表'!t"&amp;$K$1))</f>
        <v>2582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 ca="1">ROUND(C13*F14,0)</f>
        <v>77</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0</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129</v>
      </c>
      <c r="D16" s="2557">
        <f>C9</f>
        <v>6455.06</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 ca="1">ROUND(C13*F17,0)</f>
        <v>39</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2827</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2521">
        <f>ROUND(D19*E19/10000,0)</f>
        <v>0</v>
      </c>
      <c r="D19" s="2567">
        <f>D16</f>
        <v>6455.06</v>
      </c>
      <c r="E19" s="2521">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2521">
        <f ca="1">C21+C22-IF(B1="",'数据-取费表'!B29,IF(G20="已全部缴纳",C21+C22,H20))</f>
        <v>129</v>
      </c>
      <c r="D20" s="2567"/>
      <c r="E20" s="2521"/>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0</v>
      </c>
      <c r="D21" s="2557">
        <f ca="1">IF(B1="",'数据-汇总表'!E5,IF(INDIRECT("'数据-取费表'!c"&amp;$K$1)="住宅",INDIRECT("'数据-取费表'!k"&amp;$K$1),0))</f>
        <v>0</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129</v>
      </c>
      <c r="D22" s="2557">
        <f>C9</f>
        <v>6455.06</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30</v>
      </c>
      <c r="D23" s="460"/>
      <c r="E23" s="460"/>
      <c r="F23" s="3459">
        <f>'数据-取费表'!B37</f>
        <v>0.01</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235</v>
      </c>
      <c r="D24" s="467"/>
      <c r="E24" s="465"/>
      <c r="F24" s="3459">
        <f>'数据-取费表'!B38</f>
        <v>0.01</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2807</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153</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153</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1256</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4630</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4630</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805</v>
      </c>
      <c r="D33" s="459">
        <f ca="1">C34</f>
        <v>0.2576</v>
      </c>
      <c r="E33" s="461" t="s">
        <v>489</v>
      </c>
      <c r="F33" s="471">
        <f ca="1">IF(B1="",'数据-取费表'!Q16,INDIRECT("'数据-取费表'!q"&amp;$K$1))</f>
        <v>0.25</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0.2576</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805</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13043</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20205.854012201278</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1894</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1895</v>
      </c>
    </row>
    <row r="6" spans="1:4" ht="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60461.7平方米。根据《建设工程规划许可证》[]、《出让合同》[]，估价对象规划建筑面积为121547.97平方米。</v>
      </c>
    </row>
    <row r="7" spans="1:4" ht="56.25">
      <c r="A7" s="1706" t="s">
        <v>2726</v>
      </c>
    </row>
    <row r="8" spans="1:4" ht="18.75">
      <c r="A8" s="1705" t="s">
        <v>1896</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2014</v>
      </c>
    </row>
    <row r="11" spans="1:4" ht="18.75">
      <c r="A11" s="1691" t="str">
        <f>TEXT(项目基本情况!D3,"yyyy年m月d日;;")&amp;IF(项目基本情况!B3=项目基本情况!D3,"（评估专业人员勘察现场之日）","")</f>
        <v>2021年8月4日（评估专业人员勘察现场之日）</v>
      </c>
    </row>
    <row r="12" spans="1:4" ht="18.75">
      <c r="A12" s="1708" t="s">
        <v>2013</v>
      </c>
    </row>
    <row r="13" spans="1:4" ht="18.75">
      <c r="A13" s="1702" t="s">
        <v>2905</v>
      </c>
    </row>
    <row r="14" spans="1:4" ht="37.5">
      <c r="A14" s="1702" t="str">
        <f>"根据"&amp;项目基本情况!F12&amp;"，本次评估估价对象证载（地类）用途为"&amp;项目基本情况!B12&amp;"。"</f>
        <v>根据《国有土地使用证》[]，本次评估估价对象证载（地类）用途为商业、办公、地下商业、地下办公、地下车库。</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2060</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2061</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根据《国有土地使用证》[]，估价对象（分摊）出让国有建设用地使用权面积为60461.7平方米。根据《建设工程规划许可证》[]、《出让合同》[]，估价对象规划建筑面积为121547.97平方米。</v>
      </c>
    </row>
    <row r="21" spans="1:1" ht="18.75">
      <c r="A21" s="1702" t="s">
        <v>2062</v>
      </c>
    </row>
    <row r="22" spans="1:1" ht="7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9月11日、商业2044年9月11日、办公2072年1月1日、地下车库2054年9月11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2063</v>
      </c>
    </row>
    <row r="25" spans="1:1" ht="75">
      <c r="A25" s="1702" t="str">
        <f>定义!C53</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row>
    <row r="26" spans="1:1" ht="18.75">
      <c r="A26" s="1702" t="str">
        <f>IF(项目基本情况!B9="市场价格","——",IF(项目基本情况!E8="抵押价格",定义!C54,IF(项目基本情况!E8="已注销",定义!C55,定义!C56)))</f>
        <v>——</v>
      </c>
    </row>
    <row r="27" spans="1:1" ht="18.7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2" t="str">
        <f>IF(项目基本情况!B9="市场价格","——",IF(项目基本情况!E9="——","",定义!C57))</f>
        <v>——</v>
      </c>
    </row>
    <row r="29" spans="1:1" ht="18.75">
      <c r="A29" s="1708" t="s">
        <v>2015</v>
      </c>
    </row>
    <row r="30" spans="1:1" ht="75">
      <c r="A30" s="1702"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view="pageBreakPreview" topLeftCell="A14" zoomScale="60" zoomScaleNormal="50" workbookViewId="0">
      <selection activeCell="C10" sqref="C10"/>
    </sheetView>
  </sheetViews>
  <sheetFormatPr defaultColWidth="9" defaultRowHeight="14.25"/>
  <cols>
    <col min="1" max="1" width="13.37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510</v>
      </c>
      <c r="B1" s="495"/>
      <c r="C1" s="496" t="s">
        <v>591</v>
      </c>
      <c r="D1" s="497" t="s">
        <v>512</v>
      </c>
      <c r="E1" s="727"/>
      <c r="F1" s="728"/>
      <c r="G1" s="727"/>
      <c r="H1" s="727"/>
      <c r="I1" s="727"/>
      <c r="J1" s="727"/>
      <c r="K1" s="72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461</v>
      </c>
      <c r="B2" s="500" t="e">
        <f>F63</f>
        <v>#DIV/0!</v>
      </c>
      <c r="C2" s="3215"/>
      <c r="D2" s="3215"/>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c r="A3" s="1329" t="s">
        <v>1675</v>
      </c>
      <c r="B3" s="502" t="e">
        <f>ROUND(B2*10000/'数据-汇总表'!E3,0)</f>
        <v>#DIV/0!</v>
      </c>
      <c r="C3" s="3214"/>
      <c r="D3" s="3214"/>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1940"/>
      <c r="AC3" s="1940"/>
    </row>
    <row r="4" spans="1:29" s="1288" customFormat="1" ht="28.5" customHeight="1">
      <c r="A4" s="503" t="s">
        <v>514</v>
      </c>
      <c r="B4" s="419" t="e">
        <f>IF(B43="单位面积地价",C45,ROUND(B2*10000/'数据-汇总表'!D3,0))</f>
        <v>#DIV/0!</v>
      </c>
      <c r="C4" s="3214"/>
      <c r="D4" s="3214"/>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29" s="1288" customFormat="1" ht="28.5" customHeight="1" thickBot="1">
      <c r="A5" s="421"/>
      <c r="B5" s="422" t="e">
        <f>ROUND(B2/('数据-汇总表'!D3/666.67),0)</f>
        <v>#DIV/0!</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3206"/>
      <c r="AC5" s="1940"/>
    </row>
    <row r="6" spans="1:29" ht="15">
      <c r="A6" s="504" t="s">
        <v>515</v>
      </c>
      <c r="B6" s="505"/>
      <c r="C6" s="3782" t="s">
        <v>516</v>
      </c>
      <c r="D6" s="3783"/>
      <c r="E6" s="3784" t="s">
        <v>517</v>
      </c>
      <c r="F6" s="3785"/>
      <c r="G6" s="3782" t="s">
        <v>518</v>
      </c>
      <c r="H6" s="3783"/>
      <c r="I6" s="3782" t="s">
        <v>519</v>
      </c>
      <c r="J6" s="3783"/>
      <c r="K6" s="506" t="s">
        <v>520</v>
      </c>
      <c r="L6" s="2011"/>
      <c r="M6" s="2012"/>
      <c r="N6" s="2012"/>
      <c r="O6" s="2012"/>
      <c r="P6" s="3786" t="s">
        <v>521</v>
      </c>
      <c r="Q6" s="3787"/>
      <c r="R6" s="3792" t="s">
        <v>517</v>
      </c>
      <c r="S6" s="3793"/>
      <c r="T6" s="3792" t="s">
        <v>518</v>
      </c>
      <c r="U6" s="3793"/>
      <c r="V6" s="3798" t="s">
        <v>519</v>
      </c>
      <c r="W6" s="3798"/>
      <c r="X6" s="1498"/>
      <c r="Y6" s="3792" t="s">
        <v>521</v>
      </c>
      <c r="Z6" s="3793"/>
      <c r="AA6" s="3779" t="s">
        <v>517</v>
      </c>
      <c r="AB6" s="3780" t="s">
        <v>518</v>
      </c>
      <c r="AC6" s="3779" t="s">
        <v>519</v>
      </c>
    </row>
    <row r="7" spans="1:29" ht="15">
      <c r="A7" s="507"/>
      <c r="B7" s="508"/>
      <c r="C7" s="3801" t="s">
        <v>2893</v>
      </c>
      <c r="D7" s="3802"/>
      <c r="E7" s="3812" t="s">
        <v>2894</v>
      </c>
      <c r="F7" s="3810"/>
      <c r="G7" s="3801" t="s">
        <v>2895</v>
      </c>
      <c r="H7" s="3802"/>
      <c r="I7" s="3801" t="s">
        <v>2896</v>
      </c>
      <c r="J7" s="3802"/>
      <c r="K7" s="506"/>
      <c r="L7" s="2011"/>
      <c r="M7" s="2012"/>
      <c r="N7" s="2012"/>
      <c r="O7" s="2012"/>
      <c r="P7" s="3788"/>
      <c r="Q7" s="3789"/>
      <c r="R7" s="3794"/>
      <c r="S7" s="3795"/>
      <c r="T7" s="3794"/>
      <c r="U7" s="3795"/>
      <c r="V7" s="3798"/>
      <c r="W7" s="3798"/>
      <c r="X7" s="1498"/>
      <c r="Y7" s="3794"/>
      <c r="Z7" s="3795"/>
      <c r="AA7" s="3780"/>
      <c r="AB7" s="3780"/>
      <c r="AC7" s="3780"/>
    </row>
    <row r="8" spans="1:29" ht="15.75" thickBot="1">
      <c r="A8" s="509"/>
      <c r="B8" s="510"/>
      <c r="C8" s="3806" t="s">
        <v>2897</v>
      </c>
      <c r="D8" s="3800"/>
      <c r="E8" s="3811" t="s">
        <v>2897</v>
      </c>
      <c r="F8" s="3808"/>
      <c r="G8" s="3806" t="s">
        <v>2897</v>
      </c>
      <c r="H8" s="3800"/>
      <c r="I8" s="3806" t="s">
        <v>2897</v>
      </c>
      <c r="J8" s="3800"/>
      <c r="K8" s="506" t="s">
        <v>522</v>
      </c>
      <c r="L8" s="2011"/>
      <c r="M8" s="2012"/>
      <c r="N8" s="2012"/>
      <c r="O8" s="2012"/>
      <c r="P8" s="3790"/>
      <c r="Q8" s="3791"/>
      <c r="R8" s="3794"/>
      <c r="S8" s="3795"/>
      <c r="T8" s="3796"/>
      <c r="U8" s="3797"/>
      <c r="V8" s="3798"/>
      <c r="W8" s="3798"/>
      <c r="X8" s="1498"/>
      <c r="Y8" s="3796"/>
      <c r="Z8" s="3797"/>
      <c r="AA8" s="3781"/>
      <c r="AB8" s="3781"/>
      <c r="AC8" s="3781"/>
    </row>
    <row r="9" spans="1:29" s="1201" customFormat="1" ht="15.75" thickBot="1">
      <c r="A9" s="2625"/>
      <c r="B9" s="2632" t="s">
        <v>523</v>
      </c>
      <c r="C9" s="511">
        <f>'数据-取费表'!B2</f>
        <v>44412</v>
      </c>
      <c r="D9" s="512">
        <v>100</v>
      </c>
      <c r="E9" s="513"/>
      <c r="F9" s="514">
        <f>SUMIF(67:67,YEAR(E9)&amp;"-"&amp;INT((MONTH(E9)+2)/3),68:68)</f>
        <v>0</v>
      </c>
      <c r="G9" s="515"/>
      <c r="H9" s="512">
        <f>SUMIF(67:67,YEAR(G9)&amp;"-"&amp;INT((MONTH(G9)+2)/3),68:68)</f>
        <v>0</v>
      </c>
      <c r="I9" s="515"/>
      <c r="J9" s="512">
        <f>SUMIF(67:67,YEAR(I9)&amp;"-"&amp;INT((MONTH(I9)+2)/3),68:68)</f>
        <v>0</v>
      </c>
      <c r="K9" s="516"/>
      <c r="L9" s="2013"/>
      <c r="M9" s="2014"/>
      <c r="N9" s="2014"/>
      <c r="O9" s="2014"/>
      <c r="P9" s="3803" t="s">
        <v>524</v>
      </c>
      <c r="Q9" s="3805"/>
      <c r="R9" s="1499" t="s">
        <v>8</v>
      </c>
      <c r="S9" s="1500">
        <f t="shared" ref="S9:S17" si="0">F9</f>
        <v>0</v>
      </c>
      <c r="T9" s="1499" t="s">
        <v>8</v>
      </c>
      <c r="U9" s="1500">
        <f t="shared" ref="U9:U17" si="1">H9</f>
        <v>0</v>
      </c>
      <c r="V9" s="1499" t="s">
        <v>8</v>
      </c>
      <c r="W9" s="1500">
        <f t="shared" ref="W9:W17" si="2">J9</f>
        <v>0</v>
      </c>
      <c r="X9" s="1501"/>
      <c r="Y9" s="3803" t="s">
        <v>524</v>
      </c>
      <c r="Z9" s="3804"/>
      <c r="AA9" s="1502" t="e">
        <f>D9/F9</f>
        <v>#DIV/0!</v>
      </c>
      <c r="AB9" s="1502" t="e">
        <f>D9/H9</f>
        <v>#DIV/0!</v>
      </c>
      <c r="AC9" s="1502" t="e">
        <f>D9/J9</f>
        <v>#DIV/0!</v>
      </c>
    </row>
    <row r="10" spans="1:29" s="1201" customFormat="1" ht="15.75" thickBot="1">
      <c r="A10" s="2626"/>
      <c r="B10" s="2633" t="s">
        <v>525</v>
      </c>
      <c r="C10" s="517" t="s">
        <v>526</v>
      </c>
      <c r="D10" s="512">
        <v>100</v>
      </c>
      <c r="E10" s="517"/>
      <c r="F10" s="514">
        <f>SUMIF(70:70,E10,71:71)-SUMIF(70:70,C10,71:71)+100</f>
        <v>0</v>
      </c>
      <c r="G10" s="517"/>
      <c r="H10" s="512">
        <f>SUMIF(70:70,G10,71:71)-SUMIF(70:70,C10,71:71)+100</f>
        <v>0</v>
      </c>
      <c r="I10" s="517"/>
      <c r="J10" s="512">
        <f>SUMIF(70:70,I10,71:71)-SUMIF(70:70,C10,71:71)+100</f>
        <v>0</v>
      </c>
      <c r="K10" s="516"/>
      <c r="L10" s="2013"/>
      <c r="M10" s="2014"/>
      <c r="N10" s="2014"/>
      <c r="O10" s="2014"/>
      <c r="P10" s="3803" t="s">
        <v>527</v>
      </c>
      <c r="Q10" s="3804"/>
      <c r="R10" s="1499" t="s">
        <v>8</v>
      </c>
      <c r="S10" s="1500">
        <f t="shared" si="0"/>
        <v>0</v>
      </c>
      <c r="T10" s="1499" t="s">
        <v>8</v>
      </c>
      <c r="U10" s="1500">
        <f t="shared" si="1"/>
        <v>0</v>
      </c>
      <c r="V10" s="1499" t="s">
        <v>8</v>
      </c>
      <c r="W10" s="1500">
        <f t="shared" si="2"/>
        <v>0</v>
      </c>
      <c r="X10" s="1501"/>
      <c r="Y10" s="3803" t="s">
        <v>527</v>
      </c>
      <c r="Z10" s="3804"/>
      <c r="AA10" s="1502" t="e">
        <f t="shared" ref="AA10:AA42" si="3">D10/F10</f>
        <v>#DIV/0!</v>
      </c>
      <c r="AB10" s="1502" t="e">
        <f t="shared" ref="AB10:AB42" si="4">D10/H10</f>
        <v>#DIV/0!</v>
      </c>
      <c r="AC10" s="1502" t="e">
        <f t="shared" ref="AC10:AC42" si="5">D10/J10</f>
        <v>#DIV/0!</v>
      </c>
    </row>
    <row r="11" spans="1:29" s="1201" customFormat="1" ht="15">
      <c r="A11" s="2627"/>
      <c r="B11" s="2634" t="s">
        <v>2735</v>
      </c>
      <c r="C11" s="518"/>
      <c r="D11" s="250">
        <v>100</v>
      </c>
      <c r="E11" s="518"/>
      <c r="F11" s="250">
        <f>SUMIF(72:72,E11,73:73)-SUMIF(72:72,C11,73:73)+100</f>
        <v>100</v>
      </c>
      <c r="G11" s="518"/>
      <c r="H11" s="250">
        <f>SUMIF(72:72,G11,73:73)-SUMIF(72:72,C11,73:73)+100</f>
        <v>100</v>
      </c>
      <c r="I11" s="518"/>
      <c r="J11" s="250">
        <f>SUMIF(72:72,I11,73:73)-SUMIF(72:72,C11,73:73)+100</f>
        <v>100</v>
      </c>
      <c r="K11" s="516"/>
      <c r="L11" s="2013"/>
      <c r="M11" s="2014"/>
      <c r="N11" s="2014"/>
      <c r="O11" s="2015"/>
      <c r="P11" s="3772" t="s">
        <v>529</v>
      </c>
      <c r="Q11" s="1132" t="str">
        <f t="shared" ref="Q11:Q17" si="6">B11</f>
        <v>用途</v>
      </c>
      <c r="R11" s="1499" t="s">
        <v>8</v>
      </c>
      <c r="S11" s="1500">
        <f t="shared" si="0"/>
        <v>100</v>
      </c>
      <c r="T11" s="1499" t="s">
        <v>8</v>
      </c>
      <c r="U11" s="1500">
        <f t="shared" si="1"/>
        <v>100</v>
      </c>
      <c r="V11" s="1499" t="s">
        <v>8</v>
      </c>
      <c r="W11" s="1500">
        <f t="shared" si="2"/>
        <v>100</v>
      </c>
      <c r="X11" s="1501"/>
      <c r="Y11" s="3675" t="s">
        <v>530</v>
      </c>
      <c r="Z11" s="1131" t="str">
        <f t="shared" ref="Z11:Z17" si="7">Q11</f>
        <v>用途</v>
      </c>
      <c r="AA11" s="1502">
        <f t="shared" si="3"/>
        <v>1</v>
      </c>
      <c r="AB11" s="1502">
        <f t="shared" si="4"/>
        <v>1</v>
      </c>
      <c r="AC11" s="1502">
        <f t="shared" si="5"/>
        <v>1</v>
      </c>
    </row>
    <row r="12" spans="1:29" s="1290" customFormat="1" ht="27">
      <c r="A12" s="2628"/>
      <c r="B12" s="2633" t="s">
        <v>2736</v>
      </c>
      <c r="C12" s="520"/>
      <c r="D12" s="251">
        <v>100</v>
      </c>
      <c r="E12" s="520"/>
      <c r="F12" s="251">
        <f>ROUND(100/'数据-取费表'!G16,0)</f>
        <v>107</v>
      </c>
      <c r="G12" s="520"/>
      <c r="H12" s="251">
        <f>ROUND(100/'数据-取费表'!G16,0)</f>
        <v>107</v>
      </c>
      <c r="I12" s="520"/>
      <c r="J12" s="251">
        <f>ROUND(100/'数据-取费表'!G16,0)</f>
        <v>107</v>
      </c>
      <c r="K12" s="523"/>
      <c r="L12" s="2016"/>
      <c r="M12" s="2055"/>
      <c r="N12" s="2055"/>
      <c r="O12" s="2017"/>
      <c r="P12" s="3772"/>
      <c r="Q12" s="1132" t="str">
        <f t="shared" si="6"/>
        <v>土地使用年限（年）</v>
      </c>
      <c r="R12" s="1499" t="s">
        <v>8</v>
      </c>
      <c r="S12" s="1500">
        <f t="shared" si="0"/>
        <v>107</v>
      </c>
      <c r="T12" s="1499" t="s">
        <v>8</v>
      </c>
      <c r="U12" s="1500">
        <f t="shared" si="1"/>
        <v>107</v>
      </c>
      <c r="V12" s="1499" t="s">
        <v>8</v>
      </c>
      <c r="W12" s="1500">
        <f t="shared" si="2"/>
        <v>107</v>
      </c>
      <c r="X12" s="1501"/>
      <c r="Y12" s="3675"/>
      <c r="Z12" s="1131" t="str">
        <f t="shared" si="7"/>
        <v>土地使用年限（年）</v>
      </c>
      <c r="AA12" s="1502">
        <f t="shared" si="3"/>
        <v>0.93457943925233644</v>
      </c>
      <c r="AB12" s="1502">
        <f t="shared" si="4"/>
        <v>0.93457943925233644</v>
      </c>
      <c r="AC12" s="1502">
        <f t="shared" si="5"/>
        <v>0.93457943925233644</v>
      </c>
    </row>
    <row r="13" spans="1:29" ht="15">
      <c r="A13" s="2629"/>
      <c r="B13" s="2633" t="s">
        <v>2737</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8"/>
      <c r="M13" s="2012"/>
      <c r="N13" s="2012"/>
      <c r="O13" s="2019"/>
      <c r="P13" s="3772"/>
      <c r="Q13" s="1132" t="str">
        <f t="shared" si="6"/>
        <v>容积率</v>
      </c>
      <c r="R13" s="1499" t="s">
        <v>8</v>
      </c>
      <c r="S13" s="1500" t="e">
        <f t="shared" si="0"/>
        <v>#N/A</v>
      </c>
      <c r="T13" s="1499" t="s">
        <v>8</v>
      </c>
      <c r="U13" s="1500" t="e">
        <f t="shared" si="1"/>
        <v>#N/A</v>
      </c>
      <c r="V13" s="1499" t="s">
        <v>8</v>
      </c>
      <c r="W13" s="1500" t="e">
        <f t="shared" si="2"/>
        <v>#N/A</v>
      </c>
      <c r="X13" s="1501"/>
      <c r="Y13" s="3675"/>
      <c r="Z13" s="1131" t="str">
        <f t="shared" si="7"/>
        <v>容积率</v>
      </c>
      <c r="AA13" s="1502" t="e">
        <f t="shared" si="3"/>
        <v>#N/A</v>
      </c>
      <c r="AB13" s="1502" t="e">
        <f t="shared" si="4"/>
        <v>#N/A</v>
      </c>
      <c r="AC13" s="1502" t="e">
        <f t="shared" si="5"/>
        <v>#N/A</v>
      </c>
    </row>
    <row r="14" spans="1:29" s="1201" customFormat="1" ht="15">
      <c r="A14" s="2630"/>
      <c r="B14" s="2636">
        <v>111</v>
      </c>
      <c r="C14" s="520"/>
      <c r="D14" s="530">
        <v>100</v>
      </c>
      <c r="E14" s="533"/>
      <c r="F14" s="251">
        <f>SUMIF(79:79,E14,80:80)-SUMIF(79:79,C14,80:80)+100</f>
        <v>100</v>
      </c>
      <c r="G14" s="534"/>
      <c r="H14" s="251">
        <f>SUMIF(79:79,G14,80:80)-SUMIF(79:79,C14,80:80)+100</f>
        <v>100</v>
      </c>
      <c r="I14" s="533"/>
      <c r="J14" s="251">
        <f>SUMIF(79:79,I14,80:80)-SUMIF(79:79,C14,80:80)+100</f>
        <v>100</v>
      </c>
      <c r="K14" s="523"/>
      <c r="L14" s="2013"/>
      <c r="M14" s="2014"/>
      <c r="N14" s="2014"/>
      <c r="O14" s="2015"/>
      <c r="P14" s="3772"/>
      <c r="Q14" s="1132">
        <f t="shared" si="6"/>
        <v>111</v>
      </c>
      <c r="R14" s="1499" t="s">
        <v>8</v>
      </c>
      <c r="S14" s="1500">
        <f t="shared" si="0"/>
        <v>100</v>
      </c>
      <c r="T14" s="1499" t="s">
        <v>8</v>
      </c>
      <c r="U14" s="1500">
        <f t="shared" si="1"/>
        <v>100</v>
      </c>
      <c r="V14" s="1499" t="s">
        <v>8</v>
      </c>
      <c r="W14" s="1500">
        <f t="shared" si="2"/>
        <v>100</v>
      </c>
      <c r="X14" s="1501"/>
      <c r="Y14" s="3675"/>
      <c r="Z14" s="1131">
        <f t="shared" si="7"/>
        <v>111</v>
      </c>
      <c r="AA14" s="1502">
        <f>D14/F14</f>
        <v>1</v>
      </c>
      <c r="AB14" s="1502">
        <f>D14/H14</f>
        <v>1</v>
      </c>
      <c r="AC14" s="1502">
        <f>D14/J14</f>
        <v>1</v>
      </c>
    </row>
    <row r="15" spans="1:29" ht="15">
      <c r="A15" s="2630"/>
      <c r="B15" s="2636">
        <v>111</v>
      </c>
      <c r="C15" s="531"/>
      <c r="D15" s="532">
        <v>100</v>
      </c>
      <c r="E15" s="533"/>
      <c r="F15" s="251">
        <f>SUMIF(81:81,E15,82:82)-SUMIF(81:81,C15,82:82)+100</f>
        <v>100</v>
      </c>
      <c r="G15" s="534"/>
      <c r="H15" s="532">
        <f>SUMIF(81:81,G15,82:82)-SUMIF(81:81,C15,82:82)+100</f>
        <v>100</v>
      </c>
      <c r="I15" s="533"/>
      <c r="J15" s="532">
        <f>SUMIF(81:81,I15,82:82)-SUMIF(81:81,C15,82:82)+100</f>
        <v>100</v>
      </c>
      <c r="K15" s="523"/>
      <c r="L15" s="2020"/>
      <c r="M15" s="2012"/>
      <c r="N15" s="2012"/>
      <c r="O15" s="2019"/>
      <c r="P15" s="3772"/>
      <c r="Q15" s="1132">
        <f t="shared" si="6"/>
        <v>111</v>
      </c>
      <c r="R15" s="1499" t="s">
        <v>8</v>
      </c>
      <c r="S15" s="1500">
        <f t="shared" si="0"/>
        <v>100</v>
      </c>
      <c r="T15" s="1499" t="s">
        <v>8</v>
      </c>
      <c r="U15" s="1500">
        <f t="shared" si="1"/>
        <v>100</v>
      </c>
      <c r="V15" s="1499" t="s">
        <v>8</v>
      </c>
      <c r="W15" s="1500">
        <f t="shared" si="2"/>
        <v>100</v>
      </c>
      <c r="X15" s="1501"/>
      <c r="Y15" s="3675"/>
      <c r="Z15" s="1131">
        <f t="shared" si="7"/>
        <v>111</v>
      </c>
      <c r="AA15" s="1502">
        <f t="shared" si="3"/>
        <v>1</v>
      </c>
      <c r="AB15" s="1502">
        <f t="shared" si="4"/>
        <v>1</v>
      </c>
      <c r="AC15" s="1502">
        <f t="shared" si="5"/>
        <v>1</v>
      </c>
    </row>
    <row r="16" spans="1:29" ht="15.75" thickBot="1">
      <c r="A16" s="2631"/>
      <c r="B16" s="2637">
        <v>111</v>
      </c>
      <c r="C16" s="537"/>
      <c r="D16" s="538">
        <v>100</v>
      </c>
      <c r="E16" s="533"/>
      <c r="F16" s="538">
        <f>SUMIF(83:83,E16,84:84)-SUMIF(83:83,C16,84:84)+100</f>
        <v>100</v>
      </c>
      <c r="G16" s="534"/>
      <c r="H16" s="538">
        <f>SUMIF(83:83,G16,84:84)-SUMIF(83:83,C16,84:84)+100</f>
        <v>100</v>
      </c>
      <c r="I16" s="533"/>
      <c r="J16" s="538">
        <f>SUMIF(83:83,I16,84:84)-SUMIF(83:83,C16,84:84)+100</f>
        <v>100</v>
      </c>
      <c r="K16" s="523"/>
      <c r="L16" s="2020"/>
      <c r="M16" s="2012"/>
      <c r="N16" s="2012"/>
      <c r="O16" s="2019"/>
      <c r="P16" s="3772"/>
      <c r="Q16" s="1132">
        <f t="shared" si="6"/>
        <v>111</v>
      </c>
      <c r="R16" s="1499" t="s">
        <v>8</v>
      </c>
      <c r="S16" s="1500">
        <f t="shared" si="0"/>
        <v>100</v>
      </c>
      <c r="T16" s="1499" t="s">
        <v>8</v>
      </c>
      <c r="U16" s="1500">
        <f t="shared" si="1"/>
        <v>100</v>
      </c>
      <c r="V16" s="1499" t="s">
        <v>8</v>
      </c>
      <c r="W16" s="1500">
        <f t="shared" si="2"/>
        <v>100</v>
      </c>
      <c r="X16" s="1501"/>
      <c r="Y16" s="3675"/>
      <c r="Z16" s="1131">
        <f t="shared" si="7"/>
        <v>111</v>
      </c>
      <c r="AA16" s="1502">
        <f t="shared" si="3"/>
        <v>1</v>
      </c>
      <c r="AB16" s="1502">
        <f t="shared" si="4"/>
        <v>1</v>
      </c>
      <c r="AC16" s="1502">
        <f t="shared" si="5"/>
        <v>1</v>
      </c>
    </row>
    <row r="17" spans="1:29" ht="57">
      <c r="A17" s="2623" t="s">
        <v>2733</v>
      </c>
      <c r="B17" s="162" t="s">
        <v>592</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0"/>
      <c r="M17" s="2012"/>
      <c r="N17" s="2012"/>
      <c r="O17" s="2019"/>
      <c r="P17" s="3774" t="s">
        <v>534</v>
      </c>
      <c r="Q17" s="1503" t="str">
        <f t="shared" si="6"/>
        <v>产业集聚程度</v>
      </c>
      <c r="R17" s="1504" t="s">
        <v>8</v>
      </c>
      <c r="S17" s="1505">
        <f t="shared" si="0"/>
        <v>100</v>
      </c>
      <c r="T17" s="1504" t="s">
        <v>8</v>
      </c>
      <c r="U17" s="1505">
        <f t="shared" si="1"/>
        <v>100</v>
      </c>
      <c r="V17" s="1504" t="s">
        <v>8</v>
      </c>
      <c r="W17" s="1505">
        <f t="shared" si="2"/>
        <v>100</v>
      </c>
      <c r="X17" s="1498"/>
      <c r="Y17" s="3774" t="s">
        <v>534</v>
      </c>
      <c r="Z17" s="1506" t="str">
        <f t="shared" si="7"/>
        <v>产业集聚程度</v>
      </c>
      <c r="AA17" s="1507">
        <f t="shared" si="3"/>
        <v>1</v>
      </c>
      <c r="AB17" s="1507">
        <f t="shared" si="4"/>
        <v>1</v>
      </c>
      <c r="AC17" s="1507">
        <f t="shared" si="5"/>
        <v>1</v>
      </c>
    </row>
    <row r="18" spans="1:29" ht="15">
      <c r="A18" s="524"/>
      <c r="B18" s="856"/>
      <c r="C18" s="568"/>
      <c r="D18" s="547"/>
      <c r="E18" s="546"/>
      <c r="F18" s="547"/>
      <c r="G18" s="546"/>
      <c r="H18" s="551"/>
      <c r="I18" s="546"/>
      <c r="J18" s="547"/>
      <c r="K18" s="523"/>
      <c r="L18" s="2020"/>
      <c r="M18" s="2012"/>
      <c r="N18" s="2012"/>
      <c r="O18" s="2019"/>
      <c r="P18" s="3775"/>
      <c r="Q18" s="1503"/>
      <c r="R18" s="1504"/>
      <c r="S18" s="1505"/>
      <c r="T18" s="1504"/>
      <c r="U18" s="1505"/>
      <c r="V18" s="1504"/>
      <c r="W18" s="1505"/>
      <c r="X18" s="1498"/>
      <c r="Y18" s="3775"/>
      <c r="Z18" s="1506"/>
      <c r="AA18" s="1507">
        <v>1</v>
      </c>
      <c r="AB18" s="1507">
        <v>1</v>
      </c>
      <c r="AC18" s="1507">
        <v>1</v>
      </c>
    </row>
    <row r="19" spans="1:29" ht="85.5">
      <c r="A19" s="524"/>
      <c r="B19" s="858" t="s">
        <v>537</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0"/>
      <c r="M19" s="2012"/>
      <c r="N19" s="2012"/>
      <c r="O19" s="2019"/>
      <c r="P19" s="3775"/>
      <c r="Q19" s="1503" t="str">
        <f>B19</f>
        <v>交通便捷度</v>
      </c>
      <c r="R19" s="1504" t="s">
        <v>8</v>
      </c>
      <c r="S19" s="1505">
        <f>F19</f>
        <v>100</v>
      </c>
      <c r="T19" s="1504" t="s">
        <v>8</v>
      </c>
      <c r="U19" s="1505">
        <f>H19</f>
        <v>100</v>
      </c>
      <c r="V19" s="1504" t="s">
        <v>8</v>
      </c>
      <c r="W19" s="1505">
        <f>J19</f>
        <v>100</v>
      </c>
      <c r="X19" s="1498"/>
      <c r="Y19" s="3775"/>
      <c r="Z19" s="1506" t="str">
        <f>Q19</f>
        <v>交通便捷度</v>
      </c>
      <c r="AA19" s="1507">
        <f t="shared" si="3"/>
        <v>1</v>
      </c>
      <c r="AB19" s="1507">
        <f t="shared" si="4"/>
        <v>1</v>
      </c>
      <c r="AC19" s="1507">
        <f t="shared" si="5"/>
        <v>1</v>
      </c>
    </row>
    <row r="20" spans="1:29" ht="15">
      <c r="A20" s="524"/>
      <c r="B20" s="909"/>
      <c r="C20" s="568"/>
      <c r="D20" s="547"/>
      <c r="E20" s="548"/>
      <c r="F20" s="547"/>
      <c r="G20" s="548"/>
      <c r="H20" s="547"/>
      <c r="I20" s="550"/>
      <c r="J20" s="547"/>
      <c r="K20" s="523"/>
      <c r="L20" s="2020"/>
      <c r="M20" s="2012"/>
      <c r="N20" s="2012"/>
      <c r="O20" s="2019"/>
      <c r="P20" s="3775"/>
      <c r="Q20" s="1503"/>
      <c r="R20" s="1504"/>
      <c r="S20" s="1505"/>
      <c r="T20" s="1504"/>
      <c r="U20" s="1505"/>
      <c r="V20" s="1504"/>
      <c r="W20" s="1505"/>
      <c r="X20" s="1498"/>
      <c r="Y20" s="3775"/>
      <c r="Z20" s="1506"/>
      <c r="AA20" s="1507">
        <v>1</v>
      </c>
      <c r="AB20" s="1507">
        <v>1</v>
      </c>
      <c r="AC20" s="1507">
        <v>1</v>
      </c>
    </row>
    <row r="21" spans="1:29" ht="27">
      <c r="A21" s="507"/>
      <c r="B21" s="858" t="s">
        <v>538</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0"/>
      <c r="M21" s="2012"/>
      <c r="N21" s="2012"/>
      <c r="O21" s="2019"/>
      <c r="P21" s="3775"/>
      <c r="Q21" s="1503" t="str">
        <f t="shared" ref="Q21:Q35" si="8">B21</f>
        <v>区域土地利用方向</v>
      </c>
      <c r="R21" s="1504" t="s">
        <v>8</v>
      </c>
      <c r="S21" s="1505">
        <f>F21</f>
        <v>100</v>
      </c>
      <c r="T21" s="1504" t="s">
        <v>8</v>
      </c>
      <c r="U21" s="1505">
        <f>H21</f>
        <v>100</v>
      </c>
      <c r="V21" s="1504" t="s">
        <v>8</v>
      </c>
      <c r="W21" s="1505">
        <f>J21</f>
        <v>100</v>
      </c>
      <c r="X21" s="1498"/>
      <c r="Y21" s="3775"/>
      <c r="Z21" s="1506" t="str">
        <f>Q21</f>
        <v>区域土地利用方向</v>
      </c>
      <c r="AA21" s="1507">
        <f t="shared" si="3"/>
        <v>1</v>
      </c>
      <c r="AB21" s="1507">
        <f t="shared" si="4"/>
        <v>1</v>
      </c>
      <c r="AC21" s="1507">
        <f t="shared" si="5"/>
        <v>1</v>
      </c>
    </row>
    <row r="22" spans="1:29" ht="15">
      <c r="A22" s="507"/>
      <c r="B22" s="587"/>
      <c r="C22" s="568"/>
      <c r="D22" s="547"/>
      <c r="E22" s="548"/>
      <c r="F22" s="549"/>
      <c r="G22" s="550"/>
      <c r="H22" s="549"/>
      <c r="I22" s="550"/>
      <c r="J22" s="549"/>
      <c r="K22" s="1299"/>
      <c r="L22" s="2020"/>
      <c r="M22" s="2012"/>
      <c r="N22" s="2012"/>
      <c r="O22" s="2019"/>
      <c r="P22" s="3775"/>
      <c r="Q22" s="1503"/>
      <c r="R22" s="1504"/>
      <c r="S22" s="1505"/>
      <c r="T22" s="1504"/>
      <c r="U22" s="1505"/>
      <c r="V22" s="1504"/>
      <c r="W22" s="1505"/>
      <c r="X22" s="1498"/>
      <c r="Y22" s="3775"/>
      <c r="Z22" s="1506"/>
      <c r="AA22" s="1507"/>
      <c r="AB22" s="1507"/>
      <c r="AC22" s="1507"/>
    </row>
    <row r="23" spans="1:29" ht="71.25">
      <c r="A23" s="507"/>
      <c r="B23" s="909" t="s">
        <v>593</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0"/>
      <c r="M23" s="2012"/>
      <c r="N23" s="2012"/>
      <c r="O23" s="2019"/>
      <c r="P23" s="3775"/>
      <c r="Q23" s="1503" t="str">
        <f t="shared" si="8"/>
        <v>环境状况</v>
      </c>
      <c r="R23" s="1504" t="s">
        <v>8</v>
      </c>
      <c r="S23" s="1505">
        <f>F23</f>
        <v>100</v>
      </c>
      <c r="T23" s="1504" t="s">
        <v>8</v>
      </c>
      <c r="U23" s="1505">
        <f>H23</f>
        <v>100</v>
      </c>
      <c r="V23" s="1504" t="s">
        <v>8</v>
      </c>
      <c r="W23" s="1505">
        <f>J23</f>
        <v>100</v>
      </c>
      <c r="X23" s="1498"/>
      <c r="Y23" s="3775"/>
      <c r="Z23" s="1506" t="str">
        <f>Q23</f>
        <v>环境状况</v>
      </c>
      <c r="AA23" s="1507">
        <f t="shared" si="3"/>
        <v>1</v>
      </c>
      <c r="AB23" s="1507">
        <f t="shared" si="4"/>
        <v>1</v>
      </c>
      <c r="AC23" s="1507">
        <f t="shared" si="5"/>
        <v>1</v>
      </c>
    </row>
    <row r="24" spans="1:29" ht="15">
      <c r="A24" s="507"/>
      <c r="B24" s="587"/>
      <c r="C24" s="568"/>
      <c r="D24" s="547"/>
      <c r="E24" s="546"/>
      <c r="F24" s="547"/>
      <c r="G24" s="546"/>
      <c r="H24" s="547"/>
      <c r="I24" s="568"/>
      <c r="J24" s="547"/>
      <c r="K24" s="523"/>
      <c r="L24" s="2020"/>
      <c r="M24" s="2012"/>
      <c r="N24" s="2012"/>
      <c r="O24" s="2019"/>
      <c r="P24" s="3775"/>
      <c r="Q24" s="1503"/>
      <c r="R24" s="1504"/>
      <c r="S24" s="1505"/>
      <c r="T24" s="1504"/>
      <c r="U24" s="1505"/>
      <c r="V24" s="1504"/>
      <c r="W24" s="1505"/>
      <c r="X24" s="1498"/>
      <c r="Y24" s="3775"/>
      <c r="Z24" s="1506"/>
      <c r="AA24" s="1507">
        <v>1</v>
      </c>
      <c r="AB24" s="1507">
        <v>1</v>
      </c>
      <c r="AC24" s="1507">
        <v>1</v>
      </c>
    </row>
    <row r="25" spans="1:29" s="1201" customFormat="1" ht="42.75">
      <c r="A25" s="569"/>
      <c r="B25" s="2433" t="s">
        <v>2529</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3"/>
      <c r="M25" s="2014"/>
      <c r="N25" s="2014"/>
      <c r="O25" s="2015"/>
      <c r="P25" s="3775"/>
      <c r="Q25" s="1132" t="str">
        <f t="shared" si="8"/>
        <v>公共配套设施</v>
      </c>
      <c r="R25" s="1499" t="s">
        <v>8</v>
      </c>
      <c r="S25" s="1500">
        <f>F25</f>
        <v>100</v>
      </c>
      <c r="T25" s="1499" t="s">
        <v>8</v>
      </c>
      <c r="U25" s="1500">
        <f>H25</f>
        <v>100</v>
      </c>
      <c r="V25" s="1499" t="s">
        <v>8</v>
      </c>
      <c r="W25" s="1500">
        <f>J25</f>
        <v>100</v>
      </c>
      <c r="X25" s="1501"/>
      <c r="Y25" s="3775"/>
      <c r="Z25" s="1131" t="str">
        <f>Q25</f>
        <v>公共配套设施</v>
      </c>
      <c r="AA25" s="1507">
        <f>D25/F25</f>
        <v>1</v>
      </c>
      <c r="AB25" s="1507">
        <f>D25/H25</f>
        <v>1</v>
      </c>
      <c r="AC25" s="1507">
        <f>D25/J25</f>
        <v>1</v>
      </c>
    </row>
    <row r="26" spans="1:29" s="1201" customFormat="1" ht="15">
      <c r="A26" s="569"/>
      <c r="B26" s="587"/>
      <c r="C26" s="2432"/>
      <c r="D26" s="547"/>
      <c r="E26" s="546"/>
      <c r="F26" s="547"/>
      <c r="G26" s="546"/>
      <c r="H26" s="547"/>
      <c r="I26" s="568"/>
      <c r="J26" s="547"/>
      <c r="K26" s="523"/>
      <c r="L26" s="2013"/>
      <c r="M26" s="2014"/>
      <c r="N26" s="2014"/>
      <c r="O26" s="2015"/>
      <c r="P26" s="3775"/>
      <c r="Q26" s="1132"/>
      <c r="R26" s="1499"/>
      <c r="S26" s="1500"/>
      <c r="T26" s="1499"/>
      <c r="U26" s="1500"/>
      <c r="V26" s="1499"/>
      <c r="W26" s="1500"/>
      <c r="X26" s="1501"/>
      <c r="Y26" s="3775"/>
      <c r="Z26" s="1131"/>
      <c r="AA26" s="1502">
        <v>1</v>
      </c>
      <c r="AB26" s="1502">
        <v>1</v>
      </c>
      <c r="AC26" s="1502">
        <v>1</v>
      </c>
    </row>
    <row r="27" spans="1:29" s="1201" customFormat="1" ht="28.5">
      <c r="A27" s="569"/>
      <c r="B27" s="2433" t="s">
        <v>2530</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3"/>
      <c r="M27" s="2014"/>
      <c r="N27" s="2014"/>
      <c r="O27" s="2015"/>
      <c r="P27" s="3775"/>
      <c r="Q27" s="2424" t="str">
        <f t="shared" ref="Q27" si="9">B27</f>
        <v>基础设施水平</v>
      </c>
      <c r="R27" s="1499" t="s">
        <v>8</v>
      </c>
      <c r="S27" s="1500">
        <f>F27</f>
        <v>100</v>
      </c>
      <c r="T27" s="1499" t="s">
        <v>8</v>
      </c>
      <c r="U27" s="1500">
        <f>H27</f>
        <v>100</v>
      </c>
      <c r="V27" s="1499" t="s">
        <v>8</v>
      </c>
      <c r="W27" s="1500">
        <f>J27</f>
        <v>100</v>
      </c>
      <c r="X27" s="1501"/>
      <c r="Y27" s="3775"/>
      <c r="Z27" s="2423" t="str">
        <f>Q27</f>
        <v>基础设施水平</v>
      </c>
      <c r="AA27" s="1507">
        <f>D27/F27</f>
        <v>1</v>
      </c>
      <c r="AB27" s="1507">
        <f>D27/H27</f>
        <v>1</v>
      </c>
      <c r="AC27" s="1507">
        <f>D27/J27</f>
        <v>1</v>
      </c>
    </row>
    <row r="28" spans="1:29" s="1201" customFormat="1" ht="15">
      <c r="A28" s="569"/>
      <c r="B28" s="587"/>
      <c r="C28" s="2432"/>
      <c r="D28" s="547"/>
      <c r="E28" s="571"/>
      <c r="F28" s="547"/>
      <c r="G28" s="571"/>
      <c r="H28" s="547"/>
      <c r="I28" s="571"/>
      <c r="J28" s="547"/>
      <c r="K28" s="523"/>
      <c r="L28" s="2013"/>
      <c r="M28" s="2014"/>
      <c r="N28" s="2014"/>
      <c r="O28" s="2015"/>
      <c r="P28" s="3775"/>
      <c r="Q28" s="2424"/>
      <c r="R28" s="1499"/>
      <c r="S28" s="1500"/>
      <c r="T28" s="1499"/>
      <c r="U28" s="1500"/>
      <c r="V28" s="1499"/>
      <c r="W28" s="1500"/>
      <c r="X28" s="1501"/>
      <c r="Y28" s="3775"/>
      <c r="Z28" s="2423"/>
      <c r="AA28" s="1502">
        <v>1</v>
      </c>
      <c r="AB28" s="1502">
        <v>1</v>
      </c>
      <c r="AC28" s="1502">
        <v>1</v>
      </c>
    </row>
    <row r="29" spans="1:29" ht="15">
      <c r="A29" s="524"/>
      <c r="B29" s="587" t="s">
        <v>541</v>
      </c>
      <c r="C29" s="575"/>
      <c r="D29" s="532">
        <v>100</v>
      </c>
      <c r="E29" s="572"/>
      <c r="F29" s="532">
        <f>SUMIF(97:97,E29,98:98)-SUMIF(97:97,C29,98:98)+100</f>
        <v>100</v>
      </c>
      <c r="G29" s="572"/>
      <c r="H29" s="532">
        <f>SUMIF(97:97,G29,98:98)-SUMIF(97:97,C29,98:98)+100</f>
        <v>100</v>
      </c>
      <c r="I29" s="572"/>
      <c r="J29" s="532">
        <f>SUMIF(97:97,I29,98:98)-SUMIF(97:97,C29,98:98)+100</f>
        <v>100</v>
      </c>
      <c r="K29" s="527"/>
      <c r="L29" s="2020"/>
      <c r="M29" s="2012"/>
      <c r="N29" s="2012"/>
      <c r="O29" s="2019"/>
      <c r="P29" s="3775"/>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775"/>
      <c r="Z29" s="1506" t="str">
        <f t="shared" ref="Z29:Z42" si="13">Q29</f>
        <v>临街状况</v>
      </c>
      <c r="AA29" s="1507">
        <f t="shared" si="3"/>
        <v>1</v>
      </c>
      <c r="AB29" s="1507">
        <f t="shared" si="4"/>
        <v>1</v>
      </c>
      <c r="AC29" s="1507">
        <f t="shared" si="5"/>
        <v>1</v>
      </c>
    </row>
    <row r="30" spans="1:29" ht="27">
      <c r="A30" s="524"/>
      <c r="B30" s="909" t="s">
        <v>542</v>
      </c>
      <c r="C30" s="2435">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0"/>
      <c r="M30" s="2012"/>
      <c r="N30" s="2012"/>
      <c r="O30" s="2019"/>
      <c r="P30" s="3775"/>
      <c r="Q30" s="1503" t="str">
        <f t="shared" si="8"/>
        <v>毗邻道路的类型与等级</v>
      </c>
      <c r="R30" s="1504" t="s">
        <v>8</v>
      </c>
      <c r="S30" s="1505">
        <f t="shared" si="10"/>
        <v>100</v>
      </c>
      <c r="T30" s="1504" t="s">
        <v>8</v>
      </c>
      <c r="U30" s="1505">
        <f t="shared" si="11"/>
        <v>100</v>
      </c>
      <c r="V30" s="1504" t="s">
        <v>8</v>
      </c>
      <c r="W30" s="1505">
        <f t="shared" si="12"/>
        <v>100</v>
      </c>
      <c r="X30" s="1498"/>
      <c r="Y30" s="3775"/>
      <c r="Z30" s="1506" t="str">
        <f t="shared" si="13"/>
        <v>毗邻道路的类型与等级</v>
      </c>
      <c r="AA30" s="1507">
        <f t="shared" si="3"/>
        <v>1</v>
      </c>
      <c r="AB30" s="1507">
        <f t="shared" si="4"/>
        <v>1</v>
      </c>
      <c r="AC30" s="1507">
        <f t="shared" si="5"/>
        <v>1</v>
      </c>
    </row>
    <row r="31" spans="1:29" ht="15">
      <c r="A31" s="524"/>
      <c r="B31" s="587"/>
      <c r="C31" s="568"/>
      <c r="D31" s="547"/>
      <c r="E31" s="568"/>
      <c r="F31" s="547"/>
      <c r="G31" s="568"/>
      <c r="H31" s="547"/>
      <c r="I31" s="568"/>
      <c r="J31" s="547"/>
      <c r="K31" s="573"/>
      <c r="L31" s="2020"/>
      <c r="M31" s="2012"/>
      <c r="N31" s="2012"/>
      <c r="O31" s="2019"/>
      <c r="P31" s="3775"/>
      <c r="Q31" s="1503"/>
      <c r="R31" s="1504"/>
      <c r="S31" s="1505"/>
      <c r="T31" s="1504"/>
      <c r="U31" s="1505"/>
      <c r="V31" s="1504"/>
      <c r="W31" s="1505"/>
      <c r="X31" s="1498"/>
      <c r="Y31" s="3775"/>
      <c r="Z31" s="1506"/>
      <c r="AA31" s="1507">
        <v>1</v>
      </c>
      <c r="AB31" s="1507">
        <v>1</v>
      </c>
      <c r="AC31" s="1507">
        <v>1</v>
      </c>
    </row>
    <row r="32" spans="1:29" ht="15">
      <c r="A32" s="524"/>
      <c r="B32" s="519" t="s">
        <v>543</v>
      </c>
      <c r="C32" s="2436">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0"/>
      <c r="M32" s="2012"/>
      <c r="N32" s="2012"/>
      <c r="O32" s="2019"/>
      <c r="P32" s="3775"/>
      <c r="Q32" s="1503" t="str">
        <f t="shared" si="8"/>
        <v>土地级别</v>
      </c>
      <c r="R32" s="1504" t="s">
        <v>8</v>
      </c>
      <c r="S32" s="1505">
        <f t="shared" si="10"/>
        <v>100</v>
      </c>
      <c r="T32" s="1504" t="s">
        <v>8</v>
      </c>
      <c r="U32" s="1505">
        <f t="shared" si="11"/>
        <v>100</v>
      </c>
      <c r="V32" s="1504" t="s">
        <v>8</v>
      </c>
      <c r="W32" s="1505">
        <f t="shared" si="12"/>
        <v>100</v>
      </c>
      <c r="X32" s="1498"/>
      <c r="Y32" s="3775"/>
      <c r="Z32" s="1506" t="str">
        <f t="shared" si="13"/>
        <v>土地级别</v>
      </c>
      <c r="AA32" s="1507">
        <f t="shared" si="3"/>
        <v>1</v>
      </c>
      <c r="AB32" s="1507">
        <f t="shared" si="4"/>
        <v>1</v>
      </c>
      <c r="AC32" s="1507">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0"/>
      <c r="M33" s="2012"/>
      <c r="N33" s="2012"/>
      <c r="O33" s="2019"/>
      <c r="P33" s="3775"/>
      <c r="Q33" s="1503">
        <f t="shared" si="8"/>
        <v>111</v>
      </c>
      <c r="R33" s="1504" t="s">
        <v>8</v>
      </c>
      <c r="S33" s="1505">
        <f t="shared" si="10"/>
        <v>100</v>
      </c>
      <c r="T33" s="1504" t="s">
        <v>8</v>
      </c>
      <c r="U33" s="1505">
        <f t="shared" si="11"/>
        <v>100</v>
      </c>
      <c r="V33" s="1504" t="s">
        <v>8</v>
      </c>
      <c r="W33" s="1505">
        <f t="shared" si="12"/>
        <v>100</v>
      </c>
      <c r="X33" s="1498"/>
      <c r="Y33" s="3775"/>
      <c r="Z33" s="1506">
        <f t="shared" si="13"/>
        <v>111</v>
      </c>
      <c r="AA33" s="1507">
        <f t="shared" si="3"/>
        <v>1</v>
      </c>
      <c r="AB33" s="1507">
        <f t="shared" si="4"/>
        <v>1</v>
      </c>
      <c r="AC33" s="1507">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0"/>
      <c r="M34" s="2012"/>
      <c r="N34" s="2012"/>
      <c r="O34" s="2019"/>
      <c r="P34" s="3776" t="s">
        <v>544</v>
      </c>
      <c r="Q34" s="1503">
        <f t="shared" si="8"/>
        <v>111</v>
      </c>
      <c r="R34" s="1504" t="s">
        <v>8</v>
      </c>
      <c r="S34" s="1505">
        <f t="shared" si="10"/>
        <v>100</v>
      </c>
      <c r="T34" s="1504" t="s">
        <v>8</v>
      </c>
      <c r="U34" s="1505">
        <f t="shared" si="11"/>
        <v>100</v>
      </c>
      <c r="V34" s="1504" t="s">
        <v>8</v>
      </c>
      <c r="W34" s="1505">
        <f t="shared" si="12"/>
        <v>100</v>
      </c>
      <c r="X34" s="1498"/>
      <c r="Y34" s="3777" t="s">
        <v>544</v>
      </c>
      <c r="Z34" s="1506">
        <f t="shared" si="13"/>
        <v>111</v>
      </c>
      <c r="AA34" s="1507">
        <f t="shared" si="3"/>
        <v>1</v>
      </c>
      <c r="AB34" s="1507">
        <f t="shared" si="4"/>
        <v>1</v>
      </c>
      <c r="AC34" s="1507">
        <f t="shared" si="5"/>
        <v>1</v>
      </c>
    </row>
    <row r="35" spans="1:29" s="1291" customFormat="1" ht="15.75" thickBot="1">
      <c r="A35" s="581"/>
      <c r="B35" s="2434">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8"/>
      <c r="M35" s="2048"/>
      <c r="N35" s="2048"/>
      <c r="O35" s="2021"/>
      <c r="P35" s="3777"/>
      <c r="Q35" s="1503">
        <f t="shared" si="8"/>
        <v>111</v>
      </c>
      <c r="R35" s="1508" t="s">
        <v>8</v>
      </c>
      <c r="S35" s="1509">
        <f t="shared" si="10"/>
        <v>100</v>
      </c>
      <c r="T35" s="1508" t="s">
        <v>8</v>
      </c>
      <c r="U35" s="1509">
        <f t="shared" si="11"/>
        <v>100</v>
      </c>
      <c r="V35" s="1508" t="s">
        <v>8</v>
      </c>
      <c r="W35" s="1509">
        <f t="shared" si="12"/>
        <v>100</v>
      </c>
      <c r="X35" s="1510"/>
      <c r="Y35" s="3777"/>
      <c r="Z35" s="1511">
        <f t="shared" si="13"/>
        <v>111</v>
      </c>
      <c r="AA35" s="1507">
        <f t="shared" si="3"/>
        <v>1</v>
      </c>
      <c r="AB35" s="1507">
        <f t="shared" si="4"/>
        <v>1</v>
      </c>
      <c r="AC35" s="1507">
        <f t="shared" si="5"/>
        <v>1</v>
      </c>
    </row>
    <row r="36" spans="1:29" ht="15">
      <c r="A36" s="2620" t="s">
        <v>2734</v>
      </c>
      <c r="B36" s="587" t="s">
        <v>546</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0"/>
      <c r="M36" s="2012"/>
      <c r="N36" s="2012"/>
      <c r="O36" s="2019"/>
      <c r="P36" s="3777"/>
      <c r="Q36" s="1503" t="str">
        <f>B36</f>
        <v>宗地面积</v>
      </c>
      <c r="R36" s="1504" t="s">
        <v>8</v>
      </c>
      <c r="S36" s="1505" t="e">
        <f t="shared" si="10"/>
        <v>#N/A</v>
      </c>
      <c r="T36" s="1504" t="s">
        <v>8</v>
      </c>
      <c r="U36" s="1505" t="e">
        <f t="shared" si="11"/>
        <v>#N/A</v>
      </c>
      <c r="V36" s="1504" t="s">
        <v>8</v>
      </c>
      <c r="W36" s="1505" t="e">
        <f t="shared" si="12"/>
        <v>#N/A</v>
      </c>
      <c r="X36" s="1498"/>
      <c r="Y36" s="3777"/>
      <c r="Z36" s="1506" t="str">
        <f t="shared" si="13"/>
        <v>宗地面积</v>
      </c>
      <c r="AA36" s="1507" t="e">
        <f t="shared" si="3"/>
        <v>#N/A</v>
      </c>
      <c r="AB36" s="1507" t="e">
        <f t="shared" si="4"/>
        <v>#N/A</v>
      </c>
      <c r="AC36" s="1507" t="e">
        <f t="shared" si="5"/>
        <v>#N/A</v>
      </c>
    </row>
    <row r="37" spans="1:29" ht="15">
      <c r="A37" s="586"/>
      <c r="B37" s="519" t="s">
        <v>547</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0"/>
      <c r="M37" s="2012"/>
      <c r="N37" s="2012"/>
      <c r="O37" s="2019"/>
      <c r="P37" s="3777"/>
      <c r="Q37" s="1503" t="str">
        <f t="shared" ref="Q37:Q42" si="14">B37</f>
        <v>宗地形状</v>
      </c>
      <c r="R37" s="1504" t="s">
        <v>8</v>
      </c>
      <c r="S37" s="1505">
        <f t="shared" si="10"/>
        <v>100</v>
      </c>
      <c r="T37" s="1504" t="s">
        <v>8</v>
      </c>
      <c r="U37" s="1505">
        <f t="shared" si="11"/>
        <v>100</v>
      </c>
      <c r="V37" s="1504" t="s">
        <v>8</v>
      </c>
      <c r="W37" s="1505">
        <f t="shared" si="12"/>
        <v>100</v>
      </c>
      <c r="X37" s="1498"/>
      <c r="Y37" s="3777"/>
      <c r="Z37" s="1506" t="str">
        <f t="shared" si="13"/>
        <v>宗地形状</v>
      </c>
      <c r="AA37" s="1507">
        <f t="shared" si="3"/>
        <v>1</v>
      </c>
      <c r="AB37" s="1507">
        <f t="shared" si="4"/>
        <v>1</v>
      </c>
      <c r="AC37" s="1507">
        <f t="shared" si="5"/>
        <v>1</v>
      </c>
    </row>
    <row r="38" spans="1:29" s="1201" customFormat="1" ht="15">
      <c r="A38" s="592"/>
      <c r="B38" s="1805" t="s">
        <v>2408</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3"/>
      <c r="M38" s="2014"/>
      <c r="N38" s="2014"/>
      <c r="O38" s="2015"/>
      <c r="P38" s="3777"/>
      <c r="Q38" s="1503" t="str">
        <f t="shared" si="14"/>
        <v>宗地开发程度</v>
      </c>
      <c r="R38" s="1499" t="s">
        <v>8</v>
      </c>
      <c r="S38" s="1500">
        <f t="shared" si="10"/>
        <v>100</v>
      </c>
      <c r="T38" s="1499" t="s">
        <v>8</v>
      </c>
      <c r="U38" s="1500">
        <f t="shared" si="11"/>
        <v>100</v>
      </c>
      <c r="V38" s="1499" t="s">
        <v>8</v>
      </c>
      <c r="W38" s="1500">
        <f t="shared" si="12"/>
        <v>100</v>
      </c>
      <c r="X38" s="1501"/>
      <c r="Y38" s="3777"/>
      <c r="Z38" s="1131" t="str">
        <f t="shared" si="13"/>
        <v>宗地开发程度</v>
      </c>
      <c r="AA38" s="1502">
        <f t="shared" si="3"/>
        <v>1</v>
      </c>
      <c r="AB38" s="1502">
        <f t="shared" si="4"/>
        <v>1</v>
      </c>
      <c r="AC38" s="1502">
        <f t="shared" si="5"/>
        <v>1</v>
      </c>
    </row>
    <row r="39" spans="1:29" ht="15">
      <c r="A39" s="586"/>
      <c r="B39" s="519" t="s">
        <v>549</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0"/>
      <c r="M39" s="2012"/>
      <c r="N39" s="2012"/>
      <c r="O39" s="2019"/>
      <c r="P39" s="3777" t="s">
        <v>595</v>
      </c>
      <c r="Q39" s="1503" t="str">
        <f t="shared" si="14"/>
        <v>工程地质条件</v>
      </c>
      <c r="R39" s="1504" t="s">
        <v>8</v>
      </c>
      <c r="S39" s="1505">
        <f t="shared" si="10"/>
        <v>100</v>
      </c>
      <c r="T39" s="1504" t="s">
        <v>8</v>
      </c>
      <c r="U39" s="1505">
        <f t="shared" si="11"/>
        <v>100</v>
      </c>
      <c r="V39" s="1504" t="s">
        <v>8</v>
      </c>
      <c r="W39" s="1505">
        <f t="shared" si="12"/>
        <v>100</v>
      </c>
      <c r="X39" s="1498"/>
      <c r="Y39" s="3777" t="s">
        <v>595</v>
      </c>
      <c r="Z39" s="1506" t="str">
        <f t="shared" si="13"/>
        <v>工程地质条件</v>
      </c>
      <c r="AA39" s="1507">
        <f t="shared" si="3"/>
        <v>1</v>
      </c>
      <c r="AB39" s="1507">
        <f t="shared" si="4"/>
        <v>1</v>
      </c>
      <c r="AC39" s="1507">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0"/>
      <c r="M40" s="2012"/>
      <c r="N40" s="2012"/>
      <c r="O40" s="2019"/>
      <c r="P40" s="3777"/>
      <c r="Q40" s="1503">
        <f t="shared" si="14"/>
        <v>111</v>
      </c>
      <c r="R40" s="1504" t="s">
        <v>8</v>
      </c>
      <c r="S40" s="1505">
        <f t="shared" si="10"/>
        <v>100</v>
      </c>
      <c r="T40" s="1504" t="s">
        <v>8</v>
      </c>
      <c r="U40" s="1505">
        <f t="shared" si="11"/>
        <v>100</v>
      </c>
      <c r="V40" s="1504" t="s">
        <v>8</v>
      </c>
      <c r="W40" s="1505">
        <f t="shared" si="12"/>
        <v>100</v>
      </c>
      <c r="X40" s="1498"/>
      <c r="Y40" s="3777"/>
      <c r="Z40" s="1506">
        <f t="shared" si="13"/>
        <v>111</v>
      </c>
      <c r="AA40" s="1507">
        <f t="shared" si="3"/>
        <v>1</v>
      </c>
      <c r="AB40" s="1507">
        <f t="shared" si="4"/>
        <v>1</v>
      </c>
      <c r="AC40" s="1507">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0"/>
      <c r="M41" s="2012"/>
      <c r="N41" s="2012"/>
      <c r="O41" s="2019"/>
      <c r="P41" s="3777"/>
      <c r="Q41" s="1503">
        <f t="shared" si="14"/>
        <v>111</v>
      </c>
      <c r="R41" s="1504" t="s">
        <v>8</v>
      </c>
      <c r="S41" s="1505">
        <f t="shared" si="10"/>
        <v>100</v>
      </c>
      <c r="T41" s="1504" t="s">
        <v>8</v>
      </c>
      <c r="U41" s="1505">
        <f t="shared" si="11"/>
        <v>100</v>
      </c>
      <c r="V41" s="1504" t="s">
        <v>8</v>
      </c>
      <c r="W41" s="1505">
        <f t="shared" si="12"/>
        <v>100</v>
      </c>
      <c r="X41" s="1498"/>
      <c r="Y41" s="3777"/>
      <c r="Z41" s="1506">
        <f t="shared" si="13"/>
        <v>111</v>
      </c>
      <c r="AA41" s="1507">
        <f t="shared" si="3"/>
        <v>1</v>
      </c>
      <c r="AB41" s="1507">
        <f t="shared" si="4"/>
        <v>1</v>
      </c>
      <c r="AC41" s="1507">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8"/>
      <c r="M42" s="2048"/>
      <c r="N42" s="2048"/>
      <c r="O42" s="2021"/>
      <c r="P42" s="3777"/>
      <c r="Q42" s="1503">
        <f t="shared" si="14"/>
        <v>111</v>
      </c>
      <c r="R42" s="1508" t="s">
        <v>8</v>
      </c>
      <c r="S42" s="1509">
        <f t="shared" si="10"/>
        <v>100</v>
      </c>
      <c r="T42" s="1508" t="s">
        <v>8</v>
      </c>
      <c r="U42" s="1509">
        <f t="shared" si="11"/>
        <v>100</v>
      </c>
      <c r="V42" s="1508" t="s">
        <v>8</v>
      </c>
      <c r="W42" s="1509">
        <f t="shared" si="12"/>
        <v>100</v>
      </c>
      <c r="X42" s="1510"/>
      <c r="Y42" s="3777"/>
      <c r="Z42" s="1511">
        <f t="shared" si="13"/>
        <v>111</v>
      </c>
      <c r="AA42" s="1507">
        <f t="shared" si="3"/>
        <v>1</v>
      </c>
      <c r="AB42" s="1507">
        <f t="shared" si="4"/>
        <v>1</v>
      </c>
      <c r="AC42" s="1507">
        <f t="shared" si="5"/>
        <v>1</v>
      </c>
    </row>
    <row r="43" spans="1:29" ht="15">
      <c r="A43" s="599" t="s">
        <v>550</v>
      </c>
      <c r="B43" s="600" t="s">
        <v>2898</v>
      </c>
      <c r="C43" s="601" t="s">
        <v>1</v>
      </c>
      <c r="D43" s="602"/>
      <c r="E43" s="603"/>
      <c r="F43" s="604"/>
      <c r="G43" s="605"/>
      <c r="H43" s="606"/>
      <c r="I43" s="603"/>
      <c r="J43" s="606"/>
      <c r="K43" s="1292"/>
      <c r="L43" s="2022"/>
      <c r="M43" s="2012"/>
      <c r="N43" s="2012"/>
      <c r="O43" s="2023"/>
      <c r="P43" s="3772" t="str">
        <f>A43</f>
        <v>成交单价</v>
      </c>
      <c r="Q43" s="3772"/>
      <c r="R43" s="3798">
        <f>E43</f>
        <v>0</v>
      </c>
      <c r="S43" s="3798"/>
      <c r="T43" s="3798">
        <f>G43</f>
        <v>0</v>
      </c>
      <c r="U43" s="3798"/>
      <c r="V43" s="3798">
        <f>I43</f>
        <v>0</v>
      </c>
      <c r="W43" s="3798"/>
      <c r="X43" s="1493"/>
      <c r="Y43" s="1512"/>
      <c r="Z43" s="1493"/>
      <c r="AA43" s="1493"/>
      <c r="AB43" s="1493"/>
      <c r="AC43" s="1493"/>
    </row>
    <row r="44" spans="1:29" ht="15.75" thickBot="1">
      <c r="A44" s="607" t="s">
        <v>2672</v>
      </c>
      <c r="B44" s="608"/>
      <c r="C44" s="609" t="e">
        <f>R45</f>
        <v>#DIV/0!</v>
      </c>
      <c r="D44" s="3008" t="s">
        <v>2964</v>
      </c>
      <c r="E44" s="609" t="e">
        <f>R44</f>
        <v>#DIV/0!</v>
      </c>
      <c r="F44" s="3009"/>
      <c r="G44" s="610" t="e">
        <f>T44</f>
        <v>#DIV/0!</v>
      </c>
      <c r="H44" s="3009"/>
      <c r="I44" s="609" t="e">
        <f>V44</f>
        <v>#DIV/0!</v>
      </c>
      <c r="J44" s="3009"/>
      <c r="K44" s="3010">
        <f>F44+H44+J44</f>
        <v>0</v>
      </c>
      <c r="L44" s="2022"/>
      <c r="M44" s="2012"/>
      <c r="N44" s="2012"/>
      <c r="O44" s="2023"/>
      <c r="P44" s="3772" t="str">
        <f>A44</f>
        <v>比较价格（元/平方米）</v>
      </c>
      <c r="Q44" s="3772"/>
      <c r="R44" s="3819" t="e">
        <f>ROUND(PRODUCT(R43,AA9:AA42),0)</f>
        <v>#DIV/0!</v>
      </c>
      <c r="S44" s="3819"/>
      <c r="T44" s="3819" t="e">
        <f>ROUND(PRODUCT(T43,AB9:AB42),0)</f>
        <v>#DIV/0!</v>
      </c>
      <c r="U44" s="3819"/>
      <c r="V44" s="3819" t="e">
        <f>ROUND(PRODUCT(V43,AC9:AC42),0)</f>
        <v>#DIV/0!</v>
      </c>
      <c r="W44" s="3819"/>
      <c r="X44" s="1493"/>
      <c r="Y44" s="1493"/>
      <c r="Z44" s="1493"/>
      <c r="AA44" s="1493"/>
      <c r="AB44" s="1493"/>
      <c r="AC44" s="1493"/>
    </row>
    <row r="45" spans="1:29" ht="15.75" thickBot="1">
      <c r="A45" s="611" t="s">
        <v>2899</v>
      </c>
      <c r="B45" s="612"/>
      <c r="C45" s="613" t="e">
        <f>R45</f>
        <v>#DIV/0!</v>
      </c>
      <c r="D45" s="613"/>
      <c r="E45" s="613"/>
      <c r="F45" s="613"/>
      <c r="G45" s="613"/>
      <c r="H45" s="613"/>
      <c r="I45" s="613"/>
      <c r="J45" s="613"/>
      <c r="K45" s="1293"/>
      <c r="L45" s="2022"/>
      <c r="M45" s="2012"/>
      <c r="N45" s="2012"/>
      <c r="O45" s="2023"/>
      <c r="P45" s="3769" t="str">
        <f>A45</f>
        <v>估价对象XX用房的比较价格（楼面单价，元/平方米）</v>
      </c>
      <c r="Q45" s="3770"/>
      <c r="R45" s="3818" t="e">
        <f>ROUND(IF(D44="简单平均",AVERAGE(R44:W44),R44*F44+T44*H44+V44*J44),0)</f>
        <v>#DIV/0!</v>
      </c>
      <c r="S45" s="3818"/>
      <c r="T45" s="3818"/>
      <c r="U45" s="3818"/>
      <c r="V45" s="3818"/>
      <c r="W45" s="3818"/>
      <c r="X45" s="1493"/>
      <c r="Y45" s="1493"/>
      <c r="Z45" s="1493"/>
      <c r="AA45" s="1493"/>
      <c r="AB45" s="1493"/>
      <c r="AC45" s="1493"/>
    </row>
    <row r="46" spans="1:29">
      <c r="A46" s="3207"/>
      <c r="B46" s="3207"/>
      <c r="C46" s="3207"/>
      <c r="D46" s="3207"/>
      <c r="E46" s="3207"/>
      <c r="F46" s="3207"/>
      <c r="G46" s="3209"/>
      <c r="H46" s="3207"/>
      <c r="I46" s="3207"/>
      <c r="J46" s="3207"/>
      <c r="K46" s="3210"/>
      <c r="L46" s="2027"/>
      <c r="M46" s="2012"/>
      <c r="N46" s="2012"/>
      <c r="O46" s="2023"/>
      <c r="P46" s="2023"/>
      <c r="Q46" s="2023"/>
      <c r="R46" s="2023"/>
      <c r="S46" s="2023"/>
      <c r="T46" s="2023"/>
      <c r="U46" s="2023"/>
      <c r="V46" s="2023"/>
      <c r="W46" s="2023"/>
      <c r="X46" s="2023"/>
      <c r="Y46" s="2023"/>
      <c r="Z46" s="2023"/>
      <c r="AA46" s="2023"/>
      <c r="AB46" s="2023"/>
      <c r="AC46" s="2023"/>
    </row>
    <row r="47" spans="1:29">
      <c r="A47" s="3207"/>
      <c r="B47" s="3207"/>
      <c r="C47" s="3207"/>
      <c r="D47" s="3207"/>
      <c r="E47" s="3207"/>
      <c r="F47" s="3207"/>
      <c r="G47" s="3207"/>
      <c r="H47" s="3207"/>
      <c r="I47" s="3207"/>
      <c r="J47" s="3207"/>
      <c r="K47" s="3210"/>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7"/>
      <c r="B48" s="3207"/>
      <c r="C48" s="614" t="s">
        <v>551</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0"/>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7"/>
      <c r="B49" s="3207"/>
      <c r="C49" s="614" t="s">
        <v>552</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0"/>
      <c r="L49" s="2027"/>
      <c r="M49" s="2023"/>
      <c r="N49" s="2023"/>
      <c r="O49" s="2023"/>
      <c r="P49" s="2023"/>
      <c r="Q49" s="2023"/>
      <c r="R49" s="2023"/>
      <c r="S49" s="2023"/>
      <c r="T49" s="2023"/>
      <c r="U49" s="2023"/>
      <c r="V49" s="2023"/>
      <c r="W49" s="2023"/>
      <c r="X49" s="2023"/>
      <c r="Y49" s="2023"/>
      <c r="Z49" s="2023"/>
      <c r="AA49" s="2023"/>
      <c r="AB49" s="2023"/>
      <c r="AC49" s="2023"/>
    </row>
    <row r="50" spans="1:29" s="1296" customFormat="1" ht="13.5" customHeight="1">
      <c r="A50" s="3208"/>
      <c r="B50" s="3208"/>
      <c r="C50" s="614" t="s">
        <v>553</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1"/>
      <c r="L50" s="2030"/>
      <c r="M50" s="2024"/>
      <c r="N50" s="2024"/>
      <c r="O50" s="2024"/>
      <c r="P50" s="2024"/>
      <c r="Q50" s="2024"/>
      <c r="R50" s="2024"/>
      <c r="S50" s="2024"/>
      <c r="T50" s="2024"/>
      <c r="U50" s="2024"/>
      <c r="V50" s="2024"/>
      <c r="W50" s="2024"/>
      <c r="X50" s="2024"/>
      <c r="Y50" s="2024"/>
      <c r="Z50" s="2024"/>
      <c r="AA50" s="2024"/>
      <c r="AB50" s="2024"/>
      <c r="AC50" s="2024"/>
    </row>
    <row r="51" spans="1:29" s="1296" customFormat="1" ht="15" thickBot="1">
      <c r="A51" s="3208"/>
      <c r="B51" s="3219"/>
      <c r="C51" s="2028"/>
      <c r="D51" s="2024"/>
      <c r="E51" s="2024"/>
      <c r="F51" s="2024"/>
      <c r="G51" s="2024"/>
      <c r="H51" s="2024"/>
      <c r="I51" s="2024"/>
      <c r="J51" s="2024"/>
      <c r="K51" s="3211"/>
      <c r="L51" s="2030"/>
      <c r="M51" s="2024"/>
      <c r="N51" s="2024"/>
      <c r="O51" s="2024"/>
      <c r="P51" s="2024"/>
      <c r="Q51" s="2024"/>
      <c r="R51" s="2024"/>
      <c r="S51" s="2024"/>
      <c r="T51" s="2024"/>
      <c r="U51" s="2024"/>
      <c r="V51" s="2024"/>
      <c r="W51" s="2024"/>
      <c r="X51" s="2024"/>
      <c r="Y51" s="2024"/>
      <c r="Z51" s="2024"/>
      <c r="AA51" s="2024"/>
      <c r="AB51" s="2024"/>
      <c r="AC51" s="2024"/>
    </row>
    <row r="52" spans="1:29" ht="27">
      <c r="A52" s="619" t="s">
        <v>554</v>
      </c>
      <c r="B52" s="620" t="s">
        <v>555</v>
      </c>
      <c r="C52" s="1494" t="s">
        <v>1714</v>
      </c>
      <c r="D52" s="2103" t="s">
        <v>2280</v>
      </c>
      <c r="E52" s="621" t="s">
        <v>556</v>
      </c>
      <c r="F52" s="1861" t="s">
        <v>557</v>
      </c>
      <c r="G52" s="3813" t="s">
        <v>2271</v>
      </c>
      <c r="H52" s="3814"/>
      <c r="I52" s="1862" t="s">
        <v>1933</v>
      </c>
      <c r="J52" s="1490">
        <f>项目基本情况!F41</f>
        <v>0</v>
      </c>
      <c r="K52" s="2031" t="s">
        <v>1713</v>
      </c>
      <c r="L52" s="2027"/>
      <c r="M52" s="2023"/>
      <c r="N52" s="2023"/>
      <c r="O52" s="2023"/>
      <c r="P52" s="2023"/>
      <c r="Q52" s="2023"/>
      <c r="R52" s="2023"/>
      <c r="S52" s="2023"/>
      <c r="T52" s="2023"/>
      <c r="U52" s="2023"/>
      <c r="V52" s="2023"/>
      <c r="W52" s="2023"/>
      <c r="X52" s="2023"/>
      <c r="Y52" s="2023"/>
      <c r="Z52" s="2023"/>
      <c r="AA52" s="2023"/>
      <c r="AB52" s="2023"/>
      <c r="AC52" s="2023"/>
    </row>
    <row r="53" spans="1:29" s="1297" customFormat="1" ht="12.75">
      <c r="A53" s="623" t="s">
        <v>558</v>
      </c>
      <c r="B53" s="624" t="e">
        <f>C45</f>
        <v>#DIV/0!</v>
      </c>
      <c r="C53" s="625">
        <v>1</v>
      </c>
      <c r="D53" s="2104">
        <v>1</v>
      </c>
      <c r="E53" s="625">
        <f>'数据-汇总表'!E8+'数据-汇总表'!E9</f>
        <v>66454.38</v>
      </c>
      <c r="F53" s="1860" t="e">
        <f t="shared" ref="F53:F62" si="15">ROUND(B53*E53/10000,0)</f>
        <v>#DIV/0!</v>
      </c>
      <c r="G53" s="3815"/>
      <c r="H53" s="3816"/>
      <c r="I53" s="1863">
        <v>1</v>
      </c>
      <c r="J53" s="1491">
        <v>1</v>
      </c>
      <c r="K53" s="3212"/>
      <c r="L53" s="2032"/>
      <c r="M53" s="2032"/>
      <c r="N53" s="2032"/>
      <c r="O53" s="2032"/>
      <c r="P53" s="2032"/>
      <c r="Q53" s="2032"/>
      <c r="R53" s="2032"/>
      <c r="S53" s="2032"/>
      <c r="T53" s="2032"/>
      <c r="U53" s="2032"/>
      <c r="V53" s="2032"/>
      <c r="W53" s="2032"/>
      <c r="X53" s="2032"/>
      <c r="Y53" s="2032"/>
      <c r="Z53" s="2032"/>
      <c r="AA53" s="2032"/>
      <c r="AB53" s="2032"/>
      <c r="AC53" s="2032"/>
    </row>
    <row r="54" spans="1:29" s="1297" customFormat="1" ht="12.75">
      <c r="A54" s="627" t="s">
        <v>559</v>
      </c>
      <c r="B54" s="628" t="e">
        <f>ROUND($C$45*C54*D54,0)</f>
        <v>#DIV/0!</v>
      </c>
      <c r="C54" s="370">
        <f t="shared" ref="C54:C62" si="16">IF($C$52="北京市系数",I54,J54)</f>
        <v>0.7</v>
      </c>
      <c r="D54" s="2105">
        <v>0.25</v>
      </c>
      <c r="E54" s="629"/>
      <c r="F54" s="1860" t="e">
        <f t="shared" si="15"/>
        <v>#DIV/0!</v>
      </c>
      <c r="G54" s="3817" t="s">
        <v>2272</v>
      </c>
      <c r="H54" s="1864" t="str">
        <f>项目基本情况!B43</f>
        <v>五级</v>
      </c>
      <c r="I54" s="1863">
        <f>SUMIF(修正!$A$45:$A$56,H54,修正!B45:B56)</f>
        <v>0.7</v>
      </c>
      <c r="J54" s="1492"/>
      <c r="K54" s="3212"/>
      <c r="L54" s="2032"/>
      <c r="M54" s="2032"/>
      <c r="N54" s="2032"/>
      <c r="O54" s="2032"/>
      <c r="P54" s="2032"/>
      <c r="Q54" s="2032"/>
      <c r="R54" s="2032"/>
      <c r="S54" s="2032"/>
      <c r="T54" s="2032"/>
      <c r="U54" s="2032"/>
      <c r="V54" s="2032"/>
      <c r="W54" s="2032"/>
      <c r="X54" s="2032"/>
      <c r="Y54" s="2032"/>
      <c r="Z54" s="2032"/>
      <c r="AA54" s="2032"/>
      <c r="AB54" s="2032"/>
      <c r="AC54" s="2032"/>
    </row>
    <row r="55" spans="1:29" s="1297" customFormat="1" ht="12.75">
      <c r="A55" s="627" t="s">
        <v>560</v>
      </c>
      <c r="B55" s="628" t="e">
        <f t="shared" ref="B55:B62" si="17">ROUND($C$45*C55*D55,0)</f>
        <v>#DIV/0!</v>
      </c>
      <c r="C55" s="370">
        <f t="shared" si="16"/>
        <v>0.4</v>
      </c>
      <c r="D55" s="2105">
        <v>0.25</v>
      </c>
      <c r="E55" s="629"/>
      <c r="F55" s="1860" t="e">
        <f t="shared" si="15"/>
        <v>#DIV/0!</v>
      </c>
      <c r="G55" s="3817"/>
      <c r="H55" s="1865" t="str">
        <f>项目基本情况!B43</f>
        <v>五级</v>
      </c>
      <c r="I55" s="1863">
        <f>SUMIF(修正!$A$45:$A$56,H55,修正!C45:C56)</f>
        <v>0.4</v>
      </c>
      <c r="J55" s="1492"/>
      <c r="K55" s="3212"/>
      <c r="L55" s="2032"/>
      <c r="M55" s="2032"/>
      <c r="N55" s="2032"/>
      <c r="O55" s="2032"/>
      <c r="P55" s="2032"/>
      <c r="Q55" s="2032"/>
      <c r="R55" s="2032"/>
      <c r="S55" s="2032"/>
      <c r="T55" s="2032"/>
      <c r="U55" s="2032"/>
      <c r="V55" s="2032"/>
      <c r="W55" s="2032"/>
      <c r="X55" s="2032"/>
      <c r="Y55" s="2032"/>
      <c r="Z55" s="2032"/>
      <c r="AA55" s="2032"/>
      <c r="AB55" s="2032"/>
      <c r="AC55" s="2032"/>
    </row>
    <row r="56" spans="1:29" s="1297" customFormat="1" ht="12.75">
      <c r="A56" s="627" t="s">
        <v>561</v>
      </c>
      <c r="B56" s="628" t="e">
        <f t="shared" si="17"/>
        <v>#DIV/0!</v>
      </c>
      <c r="C56" s="370">
        <f t="shared" si="16"/>
        <v>0.28000000000000003</v>
      </c>
      <c r="D56" s="2105">
        <v>0.25</v>
      </c>
      <c r="E56" s="629"/>
      <c r="F56" s="1860" t="e">
        <f t="shared" si="15"/>
        <v>#DIV/0!</v>
      </c>
      <c r="G56" s="3817"/>
      <c r="H56" s="1865" t="str">
        <f>项目基本情况!B43</f>
        <v>五级</v>
      </c>
      <c r="I56" s="1863">
        <f>SUMIF(修正!$A$45:$A$56,H56,修正!D45:D56)</f>
        <v>0.28000000000000003</v>
      </c>
      <c r="J56" s="1492"/>
      <c r="K56" s="3212"/>
      <c r="L56" s="2032"/>
      <c r="M56" s="2032"/>
      <c r="N56" s="2032"/>
      <c r="O56" s="2032"/>
      <c r="P56" s="2032"/>
      <c r="Q56" s="2032"/>
      <c r="R56" s="2032"/>
      <c r="S56" s="2032"/>
      <c r="T56" s="2032"/>
      <c r="U56" s="2032"/>
      <c r="V56" s="2032"/>
      <c r="W56" s="2032"/>
      <c r="X56" s="2032"/>
      <c r="Y56" s="2032"/>
      <c r="Z56" s="2032"/>
      <c r="AA56" s="2032"/>
      <c r="AB56" s="2032"/>
      <c r="AC56" s="2032"/>
    </row>
    <row r="57" spans="1:29" s="1297" customFormat="1" ht="12.75">
      <c r="A57" s="627" t="s">
        <v>562</v>
      </c>
      <c r="B57" s="628" t="e">
        <f t="shared" si="17"/>
        <v>#DIV/0!</v>
      </c>
      <c r="C57" s="370">
        <f t="shared" si="16"/>
        <v>0.25</v>
      </c>
      <c r="D57" s="2105">
        <v>0.25</v>
      </c>
      <c r="E57" s="629"/>
      <c r="F57" s="1860" t="e">
        <f t="shared" si="15"/>
        <v>#DIV/0!</v>
      </c>
      <c r="G57" s="3817"/>
      <c r="H57" s="1865" t="str">
        <f>项目基本情况!B43</f>
        <v>五级</v>
      </c>
      <c r="I57" s="1863">
        <f>SUMIF(修正!$A$45:$A$56,H57,修正!E45:E56)</f>
        <v>0.25</v>
      </c>
      <c r="J57" s="1492"/>
      <c r="K57" s="3212"/>
      <c r="L57" s="2032"/>
      <c r="M57" s="2032"/>
      <c r="N57" s="2032"/>
      <c r="O57" s="2032"/>
      <c r="P57" s="2032"/>
      <c r="Q57" s="2032"/>
      <c r="R57" s="2032"/>
      <c r="S57" s="2032"/>
      <c r="T57" s="2032"/>
      <c r="U57" s="2032"/>
      <c r="V57" s="2032"/>
      <c r="W57" s="2032"/>
      <c r="X57" s="2032"/>
      <c r="Y57" s="2032"/>
      <c r="Z57" s="2032"/>
      <c r="AA57" s="2032"/>
      <c r="AB57" s="2032"/>
      <c r="AC57" s="2032"/>
    </row>
    <row r="58" spans="1:29" s="1297" customFormat="1" ht="12.75">
      <c r="A58" s="2207" t="s">
        <v>2315</v>
      </c>
      <c r="B58" s="628" t="e">
        <f t="shared" si="17"/>
        <v>#DIV/0!</v>
      </c>
      <c r="C58" s="370">
        <f t="shared" si="16"/>
        <v>0.25</v>
      </c>
      <c r="D58" s="2105">
        <v>0.25</v>
      </c>
      <c r="E58" s="631">
        <f>'数据-汇总表'!E11</f>
        <v>50.63</v>
      </c>
      <c r="F58" s="1860" t="e">
        <f t="shared" si="15"/>
        <v>#DIV/0!</v>
      </c>
      <c r="G58" s="1866" t="s">
        <v>2273</v>
      </c>
      <c r="H58" s="1865" t="str">
        <f>项目基本情况!C43</f>
        <v>五级</v>
      </c>
      <c r="I58" s="1863">
        <f>SUMIF(修正!$A$45:$A$56,H58,修正!F45:F56)</f>
        <v>0.25</v>
      </c>
      <c r="J58" s="1492"/>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563</v>
      </c>
      <c r="B59" s="628" t="e">
        <f t="shared" si="17"/>
        <v>#DIV/0!</v>
      </c>
      <c r="C59" s="370">
        <f t="shared" si="16"/>
        <v>0.25</v>
      </c>
      <c r="D59" s="2105">
        <v>0.25</v>
      </c>
      <c r="E59" s="631">
        <f>'数据-汇总表'!E12</f>
        <v>20244.13</v>
      </c>
      <c r="F59" s="1860" t="e">
        <f t="shared" si="15"/>
        <v>#DIV/0!</v>
      </c>
      <c r="G59" s="1856" t="s">
        <v>1667</v>
      </c>
      <c r="H59" s="1864" t="str">
        <f>IF(G59="商业",项目基本情况!B43,IF(G59="办公",项目基本情况!C43,IF(G59="住宅",项目基本情况!D43,项目基本情况!E43)))</f>
        <v>五级</v>
      </c>
      <c r="I59" s="1863">
        <f>SUMIF(修正!$A$45:$A$56,H59,修正!G45:G56)</f>
        <v>0.25</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564</v>
      </c>
      <c r="B60" s="628" t="e">
        <f t="shared" si="17"/>
        <v>#DIV/0!</v>
      </c>
      <c r="C60" s="370">
        <f t="shared" si="16"/>
        <v>0.2</v>
      </c>
      <c r="D60" s="2105">
        <v>0.25</v>
      </c>
      <c r="E60" s="631">
        <f>'数据-汇总表'!E13</f>
        <v>23373.33</v>
      </c>
      <c r="F60" s="1860" t="e">
        <f t="shared" si="15"/>
        <v>#DIV/0!</v>
      </c>
      <c r="G60" s="1856" t="s">
        <v>914</v>
      </c>
      <c r="H60" s="1864" t="str">
        <f>IF(G60="商业",项目基本情况!B43,IF(G60="办公",项目基本情况!C43,IF(G60="住宅",项目基本情况!D43,项目基本情况!E43)))</f>
        <v>五级</v>
      </c>
      <c r="I60" s="1863">
        <f>SUMIF(修正!$A$45:$A$56,H60,修正!H45:H56)</f>
        <v>0.2</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565</v>
      </c>
      <c r="B61" s="628" t="e">
        <f t="shared" si="17"/>
        <v>#DIV/0!</v>
      </c>
      <c r="C61" s="370">
        <f t="shared" si="16"/>
        <v>0.2</v>
      </c>
      <c r="D61" s="2105">
        <v>0.25</v>
      </c>
      <c r="E61" s="631">
        <f>'数据-汇总表'!E14</f>
        <v>0</v>
      </c>
      <c r="F61" s="1860" t="e">
        <f t="shared" si="15"/>
        <v>#DIV/0!</v>
      </c>
      <c r="G61" s="1866" t="s">
        <v>2272</v>
      </c>
      <c r="H61" s="1865" t="str">
        <f>项目基本情况!B43</f>
        <v>五级</v>
      </c>
      <c r="I61" s="1863">
        <f>SUMIF(修正!$A$45:$A$56,H61,修正!H45:H56)</f>
        <v>0.2</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3.5" thickBot="1">
      <c r="A62" s="627" t="s">
        <v>566</v>
      </c>
      <c r="B62" s="628" t="e">
        <f t="shared" si="17"/>
        <v>#DIV/0!</v>
      </c>
      <c r="C62" s="370">
        <f t="shared" si="16"/>
        <v>0.2</v>
      </c>
      <c r="D62" s="2105">
        <v>0.25</v>
      </c>
      <c r="E62" s="631">
        <f>'数据-汇总表'!E15</f>
        <v>360.7</v>
      </c>
      <c r="F62" s="1860" t="e">
        <f t="shared" si="15"/>
        <v>#DIV/0!</v>
      </c>
      <c r="G62" s="1867" t="s">
        <v>2273</v>
      </c>
      <c r="H62" s="1868" t="str">
        <f>项目基本情况!C43</f>
        <v>五级</v>
      </c>
      <c r="I62" s="1863">
        <f>SUMIF(修正!$A$45:$A$56,H62,修正!H45:H56)</f>
        <v>0.2</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3.5" thickBot="1">
      <c r="A63" s="632" t="s">
        <v>567</v>
      </c>
      <c r="B63" s="633" t="s">
        <v>17</v>
      </c>
      <c r="C63" s="633" t="s">
        <v>18</v>
      </c>
      <c r="D63" s="633" t="s">
        <v>2281</v>
      </c>
      <c r="E63" s="633">
        <f>IF(B43="楼面地价",SUM(E53:E62),'数据-汇总表'!D3)</f>
        <v>60461.7</v>
      </c>
      <c r="F63" s="634" t="e">
        <f>IF(B43="楼面地价",SUM(F53:F62),ROUND(C45*E63/10000,0))</f>
        <v>#DIV/0!</v>
      </c>
      <c r="G63" s="2033"/>
      <c r="H63" s="2033"/>
      <c r="I63" s="2033"/>
      <c r="J63" s="2033"/>
      <c r="K63" s="3220"/>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2021-8-1</v>
      </c>
      <c r="D65" s="2512">
        <f>EDATE(C65,-3)</f>
        <v>44317</v>
      </c>
      <c r="E65" s="2512">
        <f t="shared" ref="E65:N65" si="18">EDATE(D65,-3)</f>
        <v>44228</v>
      </c>
      <c r="F65" s="2512">
        <f t="shared" si="18"/>
        <v>44136</v>
      </c>
      <c r="G65" s="2512">
        <f t="shared" si="18"/>
        <v>44044</v>
      </c>
      <c r="H65" s="2512">
        <f t="shared" si="18"/>
        <v>43952</v>
      </c>
      <c r="I65" s="2512">
        <f t="shared" si="18"/>
        <v>43862</v>
      </c>
      <c r="J65" s="2512">
        <f t="shared" si="18"/>
        <v>43770</v>
      </c>
      <c r="K65" s="2512">
        <f t="shared" si="18"/>
        <v>43678</v>
      </c>
      <c r="L65" s="2512">
        <f t="shared" si="18"/>
        <v>43586</v>
      </c>
      <c r="M65" s="2512">
        <f t="shared" si="18"/>
        <v>43497</v>
      </c>
      <c r="N65" s="2512">
        <f t="shared" si="18"/>
        <v>43405</v>
      </c>
      <c r="O65" s="2023"/>
      <c r="P65" s="2023"/>
      <c r="Q65" s="2023"/>
      <c r="R65" s="2023"/>
      <c r="S65" s="2023"/>
      <c r="T65" s="2023"/>
      <c r="U65" s="2023"/>
      <c r="V65" s="2023"/>
      <c r="W65" s="2023"/>
      <c r="X65" s="2023"/>
      <c r="Y65" s="2023"/>
      <c r="Z65" s="2023"/>
      <c r="AA65" s="2023"/>
      <c r="AB65" s="2023"/>
      <c r="AC65" s="2023"/>
    </row>
    <row r="66" spans="1:29" ht="21.75" thickBot="1">
      <c r="A66" s="1515" t="s">
        <v>568</v>
      </c>
      <c r="B66" s="1493"/>
      <c r="C66" s="1514"/>
      <c r="D66" s="1514"/>
      <c r="E66" s="1514"/>
      <c r="F66" s="1516"/>
      <c r="G66" s="1516"/>
      <c r="H66" s="1514"/>
      <c r="I66" s="1514"/>
      <c r="J66" s="1514"/>
      <c r="K66" s="1517"/>
      <c r="L66" s="1513"/>
      <c r="M66" s="1514"/>
      <c r="N66" s="1514"/>
      <c r="O66" s="2034"/>
      <c r="P66" s="2034"/>
      <c r="Q66" s="2035"/>
      <c r="R66" s="2023"/>
      <c r="S66" s="2023"/>
      <c r="T66" s="2023"/>
      <c r="U66" s="2023"/>
      <c r="V66" s="2023"/>
      <c r="W66" s="2023"/>
      <c r="X66" s="2023"/>
      <c r="Y66" s="2023"/>
      <c r="Z66" s="2023"/>
      <c r="AA66" s="2023"/>
      <c r="AB66" s="2023"/>
      <c r="AC66" s="2023"/>
    </row>
    <row r="67" spans="1:29" s="1298" customFormat="1" ht="15">
      <c r="A67" s="2417" t="s">
        <v>2514</v>
      </c>
      <c r="B67" s="636"/>
      <c r="C67" s="2509" t="str">
        <f>YEAR(C65)&amp;"-"&amp;ROUNDUP(MONTH(C65)/3,0)</f>
        <v>2021-3</v>
      </c>
      <c r="D67" s="2514" t="str">
        <f t="shared" ref="D67:N67" si="19">YEAR(D65)&amp;"-"&amp;ROUNDUP(MONTH(D65)/3,0)</f>
        <v>2021-2</v>
      </c>
      <c r="E67" s="2514" t="str">
        <f t="shared" si="19"/>
        <v>2021-1</v>
      </c>
      <c r="F67" s="2514" t="str">
        <f t="shared" si="19"/>
        <v>2020-4</v>
      </c>
      <c r="G67" s="2514" t="str">
        <f t="shared" si="19"/>
        <v>2020-3</v>
      </c>
      <c r="H67" s="2514" t="str">
        <f t="shared" si="19"/>
        <v>2020-2</v>
      </c>
      <c r="I67" s="2514" t="str">
        <f t="shared" si="19"/>
        <v>2020-1</v>
      </c>
      <c r="J67" s="2514" t="str">
        <f t="shared" si="19"/>
        <v>2019-4</v>
      </c>
      <c r="K67" s="2514" t="str">
        <f t="shared" si="19"/>
        <v>2019-3</v>
      </c>
      <c r="L67" s="2514" t="str">
        <f t="shared" si="19"/>
        <v>2019-2</v>
      </c>
      <c r="M67" s="2514" t="str">
        <f t="shared" si="19"/>
        <v>2019-1</v>
      </c>
      <c r="N67" s="2514" t="str">
        <f t="shared" si="19"/>
        <v>2018-4</v>
      </c>
      <c r="O67" s="2036"/>
      <c r="P67" s="2037"/>
      <c r="Q67" s="2038"/>
      <c r="R67" s="2038"/>
      <c r="S67" s="2038"/>
      <c r="T67" s="2038"/>
      <c r="U67" s="2038"/>
      <c r="V67" s="2038"/>
      <c r="W67" s="2038"/>
      <c r="X67" s="2038"/>
      <c r="Y67" s="2038"/>
      <c r="Z67" s="2038"/>
      <c r="AA67" s="2038"/>
      <c r="AB67" s="2038"/>
      <c r="AC67" s="2038"/>
    </row>
    <row r="68" spans="1:29" s="1201" customFormat="1" ht="27.75" customHeight="1">
      <c r="A68" s="2511" t="s">
        <v>2628</v>
      </c>
      <c r="B68" s="471" t="str">
        <f>"北京市平均增长率"&amp;TEXT('基准地价（商业）'!P24,"0.00%")</f>
        <v>北京市平均增长率0.00%</v>
      </c>
      <c r="C68" s="881">
        <v>100</v>
      </c>
      <c r="D68" s="720"/>
      <c r="E68" s="720"/>
      <c r="F68" s="720"/>
      <c r="G68" s="720"/>
      <c r="H68" s="720"/>
      <c r="I68" s="720"/>
      <c r="J68" s="720"/>
      <c r="K68" s="720"/>
      <c r="L68" s="720"/>
      <c r="M68" s="2507"/>
      <c r="N68" s="2508"/>
      <c r="O68" s="2039"/>
      <c r="P68" s="2035"/>
      <c r="Q68" s="1901"/>
      <c r="R68" s="1901"/>
      <c r="S68" s="1901"/>
      <c r="T68" s="1901"/>
      <c r="U68" s="1901"/>
      <c r="V68" s="1901"/>
      <c r="W68" s="1901"/>
      <c r="X68" s="1901"/>
      <c r="Y68" s="1901"/>
      <c r="Z68" s="1901"/>
      <c r="AA68" s="1901"/>
      <c r="AB68" s="1901"/>
      <c r="AC68" s="1901"/>
    </row>
    <row r="69" spans="1:29" s="1201" customFormat="1" ht="15.75" thickBot="1">
      <c r="A69" s="643" t="s">
        <v>569</v>
      </c>
      <c r="B69" s="644"/>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1" customFormat="1" ht="15">
      <c r="A70" s="649" t="s">
        <v>525</v>
      </c>
      <c r="B70" s="638"/>
      <c r="C70" s="650" t="s">
        <v>570</v>
      </c>
      <c r="D70" s="651"/>
      <c r="E70" s="651"/>
      <c r="F70" s="651"/>
      <c r="G70" s="651"/>
      <c r="H70" s="651"/>
      <c r="I70" s="651"/>
      <c r="J70" s="651"/>
      <c r="K70" s="651"/>
      <c r="L70" s="652"/>
      <c r="M70" s="653"/>
      <c r="N70" s="3221"/>
      <c r="O70" s="2039"/>
      <c r="P70" s="2040"/>
      <c r="Q70" s="2035"/>
      <c r="R70" s="1901"/>
      <c r="S70" s="1901"/>
      <c r="T70" s="1901"/>
      <c r="U70" s="1901"/>
      <c r="V70" s="1901"/>
      <c r="W70" s="1901"/>
      <c r="X70" s="1901"/>
      <c r="Y70" s="1901"/>
      <c r="Z70" s="1901"/>
      <c r="AA70" s="1901"/>
      <c r="AB70" s="1901"/>
      <c r="AC70" s="1901"/>
    </row>
    <row r="71" spans="1:29" s="1201" customFormat="1" ht="15.75" thickBot="1">
      <c r="A71" s="649"/>
      <c r="B71" s="638"/>
      <c r="C71" s="639">
        <v>100</v>
      </c>
      <c r="D71" s="640"/>
      <c r="E71" s="640"/>
      <c r="F71" s="640"/>
      <c r="G71" s="640"/>
      <c r="H71" s="640"/>
      <c r="I71" s="640"/>
      <c r="J71" s="640"/>
      <c r="K71" s="640"/>
      <c r="L71" s="640"/>
      <c r="M71" s="642"/>
      <c r="N71" s="3221"/>
      <c r="O71" s="2039"/>
      <c r="P71" s="2035"/>
      <c r="Q71" s="2035"/>
      <c r="R71" s="1901"/>
      <c r="S71" s="1901"/>
      <c r="T71" s="1901"/>
      <c r="U71" s="1901"/>
      <c r="V71" s="1901"/>
      <c r="W71" s="1901"/>
      <c r="X71" s="1901"/>
      <c r="Y71" s="1901"/>
      <c r="Z71" s="1901"/>
      <c r="AA71" s="1901"/>
      <c r="AB71" s="1901"/>
      <c r="AC71" s="1901"/>
    </row>
    <row r="72" spans="1:29">
      <c r="A72" s="654" t="s">
        <v>571</v>
      </c>
      <c r="B72" s="655" t="s">
        <v>528</v>
      </c>
      <c r="C72" s="590"/>
      <c r="D72" s="590"/>
      <c r="E72" s="590"/>
      <c r="F72" s="590"/>
      <c r="G72" s="590"/>
      <c r="H72" s="590"/>
      <c r="I72" s="590"/>
      <c r="J72" s="590"/>
      <c r="K72" s="656"/>
      <c r="L72" s="657"/>
      <c r="M72" s="658"/>
      <c r="N72" s="3222"/>
      <c r="O72" s="2041"/>
      <c r="P72" s="2042"/>
      <c r="Q72" s="2035"/>
      <c r="R72" s="2023"/>
      <c r="S72" s="2023"/>
      <c r="T72" s="2023"/>
      <c r="U72" s="2023"/>
      <c r="V72" s="2023"/>
      <c r="W72" s="2023"/>
      <c r="X72" s="2023"/>
      <c r="Y72" s="2023"/>
      <c r="Z72" s="2023"/>
      <c r="AA72" s="2023"/>
      <c r="AB72" s="2023"/>
      <c r="AC72" s="2023"/>
    </row>
    <row r="73" spans="1:29" ht="15.75" thickBot="1">
      <c r="A73" s="659"/>
      <c r="B73" s="660"/>
      <c r="C73" s="661"/>
      <c r="D73" s="661"/>
      <c r="E73" s="661"/>
      <c r="F73" s="661"/>
      <c r="G73" s="661"/>
      <c r="H73" s="661"/>
      <c r="I73" s="661"/>
      <c r="J73" s="661"/>
      <c r="K73" s="661"/>
      <c r="L73" s="661"/>
      <c r="M73" s="662"/>
      <c r="N73" s="3223"/>
      <c r="O73" s="2043"/>
      <c r="P73" s="2042"/>
      <c r="Q73" s="2035"/>
      <c r="R73" s="2023"/>
      <c r="S73" s="2023"/>
      <c r="T73" s="2023"/>
      <c r="U73" s="2023"/>
      <c r="V73" s="2023"/>
      <c r="W73" s="2023"/>
      <c r="X73" s="2023"/>
      <c r="Y73" s="2023"/>
      <c r="Z73" s="2023"/>
      <c r="AA73" s="2023"/>
      <c r="AB73" s="2023"/>
      <c r="AC73" s="2023"/>
    </row>
    <row r="74" spans="1:29" ht="27.75" thickTop="1">
      <c r="A74" s="659"/>
      <c r="B74" s="663" t="s">
        <v>531</v>
      </c>
      <c r="C74" s="664"/>
      <c r="D74" s="664"/>
      <c r="E74" s="664"/>
      <c r="F74" s="664"/>
      <c r="G74" s="664"/>
      <c r="H74" s="664"/>
      <c r="I74" s="664"/>
      <c r="J74" s="664"/>
      <c r="K74" s="665"/>
      <c r="L74" s="666"/>
      <c r="M74" s="667"/>
      <c r="N74" s="3222"/>
      <c r="O74" s="2041"/>
      <c r="P74" s="2042"/>
      <c r="Q74" s="2035"/>
      <c r="R74" s="2023"/>
      <c r="S74" s="2023"/>
      <c r="T74" s="2023"/>
      <c r="U74" s="2023"/>
      <c r="V74" s="2023"/>
      <c r="W74" s="2023"/>
      <c r="X74" s="2023"/>
      <c r="Y74" s="2023"/>
      <c r="Z74" s="2023"/>
      <c r="AA74" s="2023"/>
      <c r="AB74" s="2023"/>
      <c r="AC74" s="2023"/>
    </row>
    <row r="75" spans="1:29" ht="15.75" thickBot="1">
      <c r="A75" s="659"/>
      <c r="B75" s="668"/>
      <c r="C75" s="669"/>
      <c r="D75" s="669"/>
      <c r="E75" s="669"/>
      <c r="F75" s="669"/>
      <c r="G75" s="669"/>
      <c r="H75" s="669"/>
      <c r="I75" s="669"/>
      <c r="J75" s="669"/>
      <c r="K75" s="669"/>
      <c r="L75" s="669"/>
      <c r="M75" s="670"/>
      <c r="N75" s="3223"/>
      <c r="O75" s="2043"/>
      <c r="P75" s="2042"/>
      <c r="Q75" s="2035"/>
      <c r="R75" s="2023"/>
      <c r="S75" s="2023"/>
      <c r="T75" s="2023"/>
      <c r="U75" s="2023"/>
      <c r="V75" s="2023"/>
      <c r="W75" s="2023"/>
      <c r="X75" s="2023"/>
      <c r="Y75" s="2023"/>
      <c r="Z75" s="2023"/>
      <c r="AA75" s="2023"/>
      <c r="AB75" s="2023"/>
      <c r="AC75" s="2023"/>
    </row>
    <row r="76" spans="1:29" ht="15.75" thickTop="1">
      <c r="A76" s="659"/>
      <c r="B76" s="671" t="s">
        <v>532</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3"/>
      <c r="O76" s="2043"/>
      <c r="P76" s="2042"/>
      <c r="Q76" s="2035"/>
      <c r="R76" s="2023"/>
      <c r="S76" s="2023"/>
      <c r="T76" s="2023"/>
      <c r="U76" s="2023"/>
      <c r="V76" s="2023"/>
      <c r="W76" s="2023"/>
      <c r="X76" s="2023"/>
      <c r="Y76" s="2023"/>
      <c r="Z76" s="2023"/>
      <c r="AA76" s="2023"/>
      <c r="AB76" s="2023"/>
      <c r="AC76" s="2023"/>
    </row>
    <row r="77" spans="1:29" ht="15">
      <c r="A77" s="659"/>
      <c r="B77" s="673"/>
      <c r="C77" s="533"/>
      <c r="D77" s="533"/>
      <c r="E77" s="533"/>
      <c r="F77" s="533"/>
      <c r="G77" s="533"/>
      <c r="H77" s="533"/>
      <c r="I77" s="533"/>
      <c r="J77" s="533"/>
      <c r="K77" s="674"/>
      <c r="L77" s="675"/>
      <c r="M77" s="676"/>
      <c r="N77" s="3222"/>
      <c r="O77" s="2041"/>
      <c r="P77" s="2042"/>
      <c r="Q77" s="2035"/>
      <c r="R77" s="2023"/>
      <c r="S77" s="2023"/>
      <c r="T77" s="2023"/>
      <c r="U77" s="2023"/>
      <c r="V77" s="2023"/>
      <c r="W77" s="2023"/>
      <c r="X77" s="2023"/>
      <c r="Y77" s="2023"/>
      <c r="Z77" s="2023"/>
      <c r="AA77" s="2023"/>
      <c r="AB77" s="2023"/>
      <c r="AC77" s="2023"/>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3"/>
      <c r="O78" s="2043"/>
      <c r="P78" s="2042"/>
      <c r="Q78" s="2035"/>
      <c r="R78" s="2023"/>
      <c r="S78" s="2023"/>
      <c r="T78" s="2023"/>
      <c r="U78" s="2023"/>
      <c r="V78" s="2023"/>
      <c r="W78" s="2023"/>
      <c r="X78" s="2023"/>
      <c r="Y78" s="2023"/>
      <c r="Z78" s="2023"/>
      <c r="AA78" s="2023"/>
      <c r="AB78" s="2023"/>
      <c r="AC78" s="2023"/>
    </row>
    <row r="79" spans="1:29" s="1291" customFormat="1" ht="15.75" thickTop="1">
      <c r="A79" s="677"/>
      <c r="B79" s="663">
        <f>B14</f>
        <v>111</v>
      </c>
      <c r="C79" s="678"/>
      <c r="D79" s="678"/>
      <c r="E79" s="678"/>
      <c r="F79" s="678"/>
      <c r="G79" s="678"/>
      <c r="H79" s="679"/>
      <c r="I79" s="679"/>
      <c r="J79" s="679"/>
      <c r="K79" s="679"/>
      <c r="L79" s="680"/>
      <c r="M79" s="681"/>
      <c r="N79" s="3224"/>
      <c r="O79" s="2044"/>
      <c r="P79" s="2045"/>
      <c r="Q79" s="2046"/>
      <c r="R79" s="2047"/>
      <c r="S79" s="2047"/>
      <c r="T79" s="2047"/>
      <c r="U79" s="2047"/>
      <c r="V79" s="2047"/>
      <c r="W79" s="2047"/>
      <c r="X79" s="2047"/>
      <c r="Y79" s="2047"/>
      <c r="Z79" s="2047"/>
      <c r="AA79" s="2047"/>
      <c r="AB79" s="2047"/>
      <c r="AC79" s="2047"/>
    </row>
    <row r="80" spans="1:29" s="1291" customFormat="1" ht="15.75" thickBot="1">
      <c r="A80" s="677"/>
      <c r="B80" s="668"/>
      <c r="C80" s="682"/>
      <c r="D80" s="661"/>
      <c r="E80" s="661"/>
      <c r="F80" s="661"/>
      <c r="G80" s="661"/>
      <c r="H80" s="661"/>
      <c r="I80" s="661"/>
      <c r="J80" s="661"/>
      <c r="K80" s="661"/>
      <c r="L80" s="661"/>
      <c r="M80" s="662"/>
      <c r="N80" s="3223"/>
      <c r="O80" s="2043"/>
      <c r="P80" s="2045"/>
      <c r="Q80" s="2046"/>
      <c r="R80" s="2047"/>
      <c r="S80" s="2047"/>
      <c r="T80" s="2047"/>
      <c r="U80" s="2047"/>
      <c r="V80" s="2047"/>
      <c r="W80" s="2047"/>
      <c r="X80" s="2047"/>
      <c r="Y80" s="2047"/>
      <c r="Z80" s="2047"/>
      <c r="AA80" s="2047"/>
      <c r="AB80" s="2047"/>
      <c r="AC80" s="2047"/>
    </row>
    <row r="81" spans="1:29" s="1291" customFormat="1" ht="15.75" thickTop="1">
      <c r="A81" s="677"/>
      <c r="B81" s="663">
        <f>B15</f>
        <v>111</v>
      </c>
      <c r="C81" s="678"/>
      <c r="D81" s="678"/>
      <c r="E81" s="678"/>
      <c r="F81" s="678"/>
      <c r="G81" s="678"/>
      <c r="H81" s="679"/>
      <c r="I81" s="679"/>
      <c r="J81" s="679"/>
      <c r="K81" s="679"/>
      <c r="L81" s="680"/>
      <c r="M81" s="681"/>
      <c r="N81" s="3224"/>
      <c r="O81" s="2044"/>
      <c r="P81" s="2048"/>
      <c r="Q81" s="2049"/>
      <c r="R81" s="2047"/>
      <c r="S81" s="2047"/>
      <c r="T81" s="2047"/>
      <c r="U81" s="2047"/>
      <c r="V81" s="2047"/>
      <c r="W81" s="2047"/>
      <c r="X81" s="2047"/>
      <c r="Y81" s="2047"/>
      <c r="Z81" s="2047"/>
      <c r="AA81" s="2047"/>
      <c r="AB81" s="2047"/>
      <c r="AC81" s="2047"/>
    </row>
    <row r="82" spans="1:29" s="1291" customFormat="1" ht="15.75" thickBot="1">
      <c r="A82" s="677"/>
      <c r="B82" s="668"/>
      <c r="C82" s="682"/>
      <c r="D82" s="682"/>
      <c r="E82" s="682"/>
      <c r="F82" s="682"/>
      <c r="G82" s="682"/>
      <c r="H82" s="683"/>
      <c r="I82" s="683"/>
      <c r="J82" s="683"/>
      <c r="K82" s="683"/>
      <c r="L82" s="683"/>
      <c r="M82" s="684"/>
      <c r="N82" s="3224"/>
      <c r="O82" s="2044"/>
      <c r="P82" s="2045"/>
      <c r="Q82" s="2046"/>
      <c r="R82" s="2047"/>
      <c r="S82" s="2047"/>
      <c r="T82" s="2047"/>
      <c r="U82" s="2047"/>
      <c r="V82" s="2047"/>
      <c r="W82" s="2047"/>
      <c r="X82" s="2047"/>
      <c r="Y82" s="2047"/>
      <c r="Z82" s="2047"/>
      <c r="AA82" s="2047"/>
      <c r="AB82" s="2047"/>
      <c r="AC82" s="2047"/>
    </row>
    <row r="83" spans="1:29" s="1291" customFormat="1" ht="15.75" thickTop="1">
      <c r="A83" s="677"/>
      <c r="B83" s="671">
        <f>B16</f>
        <v>111</v>
      </c>
      <c r="C83" s="651"/>
      <c r="D83" s="651"/>
      <c r="E83" s="651"/>
      <c r="F83" s="651"/>
      <c r="G83" s="651"/>
      <c r="H83" s="685"/>
      <c r="I83" s="685"/>
      <c r="J83" s="685"/>
      <c r="K83" s="685"/>
      <c r="L83" s="686"/>
      <c r="M83" s="687"/>
      <c r="N83" s="3224"/>
      <c r="O83" s="2044"/>
      <c r="P83" s="2050"/>
      <c r="Q83" s="2046"/>
      <c r="R83" s="2047"/>
      <c r="S83" s="2047"/>
      <c r="T83" s="2047"/>
      <c r="U83" s="2047"/>
      <c r="V83" s="2047"/>
      <c r="W83" s="2047"/>
      <c r="X83" s="2047"/>
      <c r="Y83" s="2047"/>
      <c r="Z83" s="2047"/>
      <c r="AA83" s="2047"/>
      <c r="AB83" s="2047"/>
      <c r="AC83" s="2047"/>
    </row>
    <row r="84" spans="1:29" s="1291" customFormat="1" ht="15.75" thickBot="1">
      <c r="A84" s="688"/>
      <c r="B84" s="689"/>
      <c r="C84" s="690"/>
      <c r="D84" s="690"/>
      <c r="E84" s="690"/>
      <c r="F84" s="690"/>
      <c r="G84" s="690"/>
      <c r="H84" s="691"/>
      <c r="I84" s="691"/>
      <c r="J84" s="691"/>
      <c r="K84" s="691"/>
      <c r="L84" s="691"/>
      <c r="M84" s="692"/>
      <c r="N84" s="3224"/>
      <c r="O84" s="2044"/>
      <c r="P84" s="2045"/>
      <c r="Q84" s="2046"/>
      <c r="R84" s="2047"/>
      <c r="S84" s="2047"/>
      <c r="T84" s="2047"/>
      <c r="U84" s="2047"/>
      <c r="V84" s="2047"/>
      <c r="W84" s="2047"/>
      <c r="X84" s="2047"/>
      <c r="Y84" s="2047"/>
      <c r="Z84" s="2047"/>
      <c r="AA84" s="2047"/>
      <c r="AB84" s="2047"/>
      <c r="AC84" s="2047"/>
    </row>
    <row r="85" spans="1:29">
      <c r="A85" s="654" t="s">
        <v>533</v>
      </c>
      <c r="B85" s="655" t="s">
        <v>596</v>
      </c>
      <c r="C85" s="693" t="s">
        <v>573</v>
      </c>
      <c r="D85" s="693" t="s">
        <v>574</v>
      </c>
      <c r="E85" s="693" t="s">
        <v>575</v>
      </c>
      <c r="F85" s="693" t="s">
        <v>576</v>
      </c>
      <c r="G85" s="693" t="s">
        <v>577</v>
      </c>
      <c r="H85" s="694"/>
      <c r="I85" s="694"/>
      <c r="J85" s="694"/>
      <c r="K85" s="695"/>
      <c r="L85" s="696"/>
      <c r="M85" s="697"/>
      <c r="N85" s="3222"/>
      <c r="O85" s="2041"/>
      <c r="P85" s="2051"/>
      <c r="Q85" s="2035"/>
      <c r="R85" s="2023"/>
      <c r="S85" s="2023"/>
      <c r="T85" s="2023"/>
      <c r="U85" s="2023"/>
      <c r="V85" s="2023"/>
      <c r="W85" s="2023"/>
      <c r="X85" s="2023"/>
      <c r="Y85" s="2023"/>
      <c r="Z85" s="2023"/>
      <c r="AA85" s="2023"/>
      <c r="AB85" s="2023"/>
      <c r="AC85" s="2023"/>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3"/>
      <c r="O86" s="2043"/>
      <c r="P86" s="2042"/>
      <c r="Q86" s="2035"/>
      <c r="R86" s="2023"/>
      <c r="S86" s="2023"/>
      <c r="T86" s="2023"/>
      <c r="U86" s="2023"/>
      <c r="V86" s="2023"/>
      <c r="W86" s="2023"/>
      <c r="X86" s="2023"/>
      <c r="Y86" s="2023"/>
      <c r="Z86" s="2023"/>
      <c r="AA86" s="2023"/>
      <c r="AB86" s="2023"/>
      <c r="AC86" s="2023"/>
    </row>
    <row r="87" spans="1:29" ht="15.75" thickTop="1">
      <c r="A87" s="659"/>
      <c r="B87" s="663" t="s">
        <v>580</v>
      </c>
      <c r="C87" s="698" t="s">
        <v>573</v>
      </c>
      <c r="D87" s="698" t="s">
        <v>574</v>
      </c>
      <c r="E87" s="698" t="s">
        <v>575</v>
      </c>
      <c r="F87" s="698" t="s">
        <v>576</v>
      </c>
      <c r="G87" s="698" t="s">
        <v>577</v>
      </c>
      <c r="H87" s="664"/>
      <c r="I87" s="664"/>
      <c r="J87" s="664"/>
      <c r="K87" s="665"/>
      <c r="L87" s="666"/>
      <c r="M87" s="667"/>
      <c r="N87" s="3222"/>
      <c r="O87" s="2041"/>
      <c r="P87" s="2042"/>
      <c r="Q87" s="2035"/>
      <c r="R87" s="2023"/>
      <c r="S87" s="2023"/>
      <c r="T87" s="2023"/>
      <c r="U87" s="2023"/>
      <c r="V87" s="2023"/>
      <c r="W87" s="2023"/>
      <c r="X87" s="2023"/>
      <c r="Y87" s="2023"/>
      <c r="Z87" s="2023"/>
      <c r="AA87" s="2023"/>
      <c r="AB87" s="2023"/>
      <c r="AC87" s="2023"/>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3"/>
      <c r="O88" s="2043"/>
      <c r="P88" s="2042"/>
      <c r="Q88" s="2035"/>
      <c r="R88" s="2023"/>
      <c r="S88" s="2023"/>
      <c r="T88" s="2023"/>
      <c r="U88" s="2023"/>
      <c r="V88" s="2023"/>
      <c r="W88" s="2023"/>
      <c r="X88" s="2023"/>
      <c r="Y88" s="2023"/>
      <c r="Z88" s="2023"/>
      <c r="AA88" s="2023"/>
      <c r="AB88" s="2023"/>
      <c r="AC88" s="2023"/>
    </row>
    <row r="89" spans="1:29" s="1201" customFormat="1" ht="27.75" thickTop="1">
      <c r="A89" s="699"/>
      <c r="B89" s="663" t="s">
        <v>581</v>
      </c>
      <c r="C89" s="698" t="s">
        <v>573</v>
      </c>
      <c r="D89" s="698" t="s">
        <v>574</v>
      </c>
      <c r="E89" s="698" t="s">
        <v>575</v>
      </c>
      <c r="F89" s="698" t="s">
        <v>576</v>
      </c>
      <c r="G89" s="698" t="s">
        <v>577</v>
      </c>
      <c r="H89" s="698"/>
      <c r="I89" s="698"/>
      <c r="J89" s="698"/>
      <c r="K89" s="698"/>
      <c r="L89" s="700"/>
      <c r="M89" s="701"/>
      <c r="N89" s="3221"/>
      <c r="O89" s="2039"/>
      <c r="P89" s="2042"/>
      <c r="Q89" s="2035"/>
      <c r="R89" s="1901"/>
      <c r="S89" s="1901"/>
      <c r="T89" s="1901"/>
      <c r="U89" s="1901"/>
      <c r="V89" s="1901"/>
      <c r="W89" s="1901"/>
      <c r="X89" s="1901"/>
      <c r="Y89" s="1901"/>
      <c r="Z89" s="1901"/>
      <c r="AA89" s="1901"/>
      <c r="AB89" s="1901"/>
      <c r="AC89" s="1901"/>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3"/>
      <c r="O90" s="2043"/>
      <c r="P90" s="2042"/>
      <c r="Q90" s="2035"/>
      <c r="R90" s="1901"/>
      <c r="S90" s="1901"/>
      <c r="T90" s="1901"/>
      <c r="U90" s="1901"/>
      <c r="V90" s="1901"/>
      <c r="W90" s="1901"/>
      <c r="X90" s="1901"/>
      <c r="Y90" s="1901"/>
      <c r="Z90" s="1901"/>
      <c r="AA90" s="1901"/>
      <c r="AB90" s="1901"/>
      <c r="AC90" s="1901"/>
    </row>
    <row r="91" spans="1:29" s="1201" customFormat="1" ht="27.75" thickTop="1">
      <c r="A91" s="699"/>
      <c r="B91" s="663" t="s">
        <v>582</v>
      </c>
      <c r="C91" s="693" t="s">
        <v>573</v>
      </c>
      <c r="D91" s="693" t="s">
        <v>574</v>
      </c>
      <c r="E91" s="693" t="s">
        <v>575</v>
      </c>
      <c r="F91" s="693" t="s">
        <v>576</v>
      </c>
      <c r="G91" s="693" t="s">
        <v>577</v>
      </c>
      <c r="H91" s="698"/>
      <c r="I91" s="698"/>
      <c r="J91" s="698"/>
      <c r="K91" s="698"/>
      <c r="L91" s="698"/>
      <c r="M91" s="701"/>
      <c r="N91" s="3221"/>
      <c r="O91" s="2039"/>
      <c r="P91" s="2042"/>
      <c r="Q91" s="2035"/>
      <c r="R91" s="1901"/>
      <c r="S91" s="1901"/>
      <c r="T91" s="1901"/>
      <c r="U91" s="1901"/>
      <c r="V91" s="1901"/>
      <c r="W91" s="1901"/>
      <c r="X91" s="1901"/>
      <c r="Y91" s="1901"/>
      <c r="Z91" s="1901"/>
      <c r="AA91" s="1901"/>
      <c r="AB91" s="1901"/>
      <c r="AC91" s="1901"/>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3"/>
      <c r="O92" s="2043"/>
      <c r="P92" s="2042"/>
      <c r="Q92" s="2035"/>
      <c r="R92" s="1901"/>
      <c r="S92" s="1901"/>
      <c r="T92" s="1901"/>
      <c r="U92" s="1901"/>
      <c r="V92" s="1901"/>
      <c r="W92" s="1901"/>
      <c r="X92" s="1901"/>
      <c r="Y92" s="1901"/>
      <c r="Z92" s="1901"/>
      <c r="AA92" s="1901"/>
      <c r="AB92" s="1901"/>
      <c r="AC92" s="1901"/>
    </row>
    <row r="93" spans="1:29" s="1291" customFormat="1" ht="15.75" thickTop="1">
      <c r="A93" s="677"/>
      <c r="B93" s="1806" t="s">
        <v>2529</v>
      </c>
      <c r="C93" s="693" t="s">
        <v>573</v>
      </c>
      <c r="D93" s="693" t="s">
        <v>574</v>
      </c>
      <c r="E93" s="693" t="s">
        <v>575</v>
      </c>
      <c r="F93" s="693" t="s">
        <v>576</v>
      </c>
      <c r="G93" s="693" t="s">
        <v>577</v>
      </c>
      <c r="H93" s="703"/>
      <c r="I93" s="703"/>
      <c r="J93" s="703"/>
      <c r="K93" s="703"/>
      <c r="L93" s="704"/>
      <c r="M93" s="705"/>
      <c r="N93" s="3224"/>
      <c r="O93" s="2044"/>
      <c r="P93" s="2045"/>
      <c r="Q93" s="2046"/>
      <c r="R93" s="2047"/>
      <c r="S93" s="2047"/>
      <c r="T93" s="2047"/>
      <c r="U93" s="2047"/>
      <c r="V93" s="2047"/>
      <c r="W93" s="2047"/>
      <c r="X93" s="2047"/>
      <c r="Y93" s="2047"/>
      <c r="Z93" s="2047"/>
      <c r="AA93" s="2047"/>
      <c r="AB93" s="2047"/>
      <c r="AC93" s="2047"/>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4"/>
      <c r="O94" s="2044"/>
      <c r="P94" s="2045"/>
      <c r="Q94" s="2046"/>
      <c r="R94" s="2047"/>
      <c r="S94" s="2047"/>
      <c r="T94" s="2047"/>
      <c r="U94" s="2047"/>
      <c r="V94" s="2047"/>
      <c r="W94" s="2047"/>
      <c r="X94" s="2047"/>
      <c r="Y94" s="2047"/>
      <c r="Z94" s="2047"/>
      <c r="AA94" s="2047"/>
      <c r="AB94" s="2047"/>
      <c r="AC94" s="2047"/>
    </row>
    <row r="95" spans="1:29" s="1291" customFormat="1" ht="15.75" thickTop="1">
      <c r="A95" s="677"/>
      <c r="B95" s="2437" t="s">
        <v>2531</v>
      </c>
      <c r="C95" s="2438" t="s">
        <v>2532</v>
      </c>
      <c r="D95" s="2438" t="s">
        <v>2533</v>
      </c>
      <c r="E95" s="2438" t="s">
        <v>2534</v>
      </c>
      <c r="F95" s="2438" t="s">
        <v>2535</v>
      </c>
      <c r="G95" s="2438" t="s">
        <v>2536</v>
      </c>
      <c r="H95" s="703"/>
      <c r="I95" s="703"/>
      <c r="J95" s="703"/>
      <c r="K95" s="703"/>
      <c r="L95" s="703"/>
      <c r="M95" s="705"/>
      <c r="N95" s="3224"/>
      <c r="O95" s="2044"/>
      <c r="P95" s="2045"/>
      <c r="Q95" s="2046"/>
      <c r="R95" s="2047"/>
      <c r="S95" s="2047"/>
      <c r="T95" s="2047"/>
      <c r="U95" s="2047"/>
      <c r="V95" s="2047"/>
      <c r="W95" s="2047"/>
      <c r="X95" s="2047"/>
      <c r="Y95" s="2047"/>
      <c r="Z95" s="2047"/>
      <c r="AA95" s="2047"/>
      <c r="AB95" s="2047"/>
      <c r="AC95" s="2047"/>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0"/>
      <c r="N96" s="3224"/>
      <c r="O96" s="2044"/>
      <c r="P96" s="2045"/>
      <c r="Q96" s="2046"/>
      <c r="R96" s="2047"/>
      <c r="S96" s="2047"/>
      <c r="T96" s="2047"/>
      <c r="U96" s="2047"/>
      <c r="V96" s="2047"/>
      <c r="W96" s="2047"/>
      <c r="X96" s="2047"/>
      <c r="Y96" s="2047"/>
      <c r="Z96" s="2047"/>
      <c r="AA96" s="2047"/>
      <c r="AB96" s="2047"/>
      <c r="AC96" s="2047"/>
    </row>
    <row r="97" spans="1:29" ht="15.75" thickTop="1">
      <c r="A97" s="659"/>
      <c r="B97" s="663" t="str">
        <f>B29</f>
        <v>临街状况</v>
      </c>
      <c r="C97" s="664" t="s">
        <v>583</v>
      </c>
      <c r="D97" s="664" t="s">
        <v>584</v>
      </c>
      <c r="E97" s="664" t="s">
        <v>585</v>
      </c>
      <c r="F97" s="664" t="s">
        <v>586</v>
      </c>
      <c r="G97" s="664"/>
      <c r="H97" s="664"/>
      <c r="I97" s="664"/>
      <c r="J97" s="664"/>
      <c r="K97" s="665"/>
      <c r="L97" s="666"/>
      <c r="M97" s="667"/>
      <c r="N97" s="3222"/>
      <c r="O97" s="2041"/>
      <c r="P97" s="2042"/>
      <c r="Q97" s="2035"/>
      <c r="R97" s="2023"/>
      <c r="S97" s="2023"/>
      <c r="T97" s="2023"/>
      <c r="U97" s="2023"/>
      <c r="V97" s="2023"/>
      <c r="W97" s="2023"/>
      <c r="X97" s="2023"/>
      <c r="Y97" s="2023"/>
      <c r="Z97" s="2023"/>
      <c r="AA97" s="2023"/>
      <c r="AB97" s="2023"/>
      <c r="AC97" s="2023"/>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3"/>
      <c r="O98" s="2043"/>
      <c r="P98" s="2042"/>
      <c r="Q98" s="2035"/>
      <c r="R98" s="2023"/>
      <c r="S98" s="2023"/>
      <c r="T98" s="2023"/>
      <c r="U98" s="2023"/>
      <c r="V98" s="2023"/>
      <c r="W98" s="2023"/>
      <c r="X98" s="2023"/>
      <c r="Y98" s="2023"/>
      <c r="Z98" s="2023"/>
      <c r="AA98" s="2023"/>
      <c r="AB98" s="2023"/>
      <c r="AC98" s="2023"/>
    </row>
    <row r="99" spans="1:29" ht="27.75" thickTop="1">
      <c r="A99" s="659"/>
      <c r="B99" s="663" t="s">
        <v>542</v>
      </c>
      <c r="C99" s="678"/>
      <c r="D99" s="678"/>
      <c r="E99" s="678"/>
      <c r="F99" s="678"/>
      <c r="G99" s="678"/>
      <c r="H99" s="708"/>
      <c r="I99" s="708"/>
      <c r="J99" s="708"/>
      <c r="K99" s="709"/>
      <c r="L99" s="710"/>
      <c r="M99" s="711"/>
      <c r="N99" s="3222"/>
      <c r="O99" s="2041"/>
      <c r="P99" s="2042"/>
      <c r="Q99" s="2035"/>
      <c r="R99" s="2023"/>
      <c r="S99" s="2023"/>
      <c r="T99" s="2023"/>
      <c r="U99" s="2023"/>
      <c r="V99" s="2023"/>
      <c r="W99" s="2023"/>
      <c r="X99" s="2023"/>
      <c r="Y99" s="2023"/>
      <c r="Z99" s="2023"/>
      <c r="AA99" s="2023"/>
      <c r="AB99" s="2023"/>
      <c r="AC99" s="2023"/>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3"/>
      <c r="O100" s="2043"/>
      <c r="P100" s="2042"/>
      <c r="Q100" s="2035"/>
      <c r="R100" s="2023"/>
      <c r="S100" s="2023"/>
      <c r="T100" s="2023"/>
      <c r="U100" s="2023"/>
      <c r="V100" s="2023"/>
      <c r="W100" s="2023"/>
      <c r="X100" s="2023"/>
      <c r="Y100" s="2023"/>
      <c r="Z100" s="2023"/>
      <c r="AA100" s="2023"/>
      <c r="AB100" s="2023"/>
      <c r="AC100" s="2023"/>
    </row>
    <row r="101" spans="1:29" ht="15.75" thickTop="1">
      <c r="A101" s="659"/>
      <c r="B101" s="663" t="s">
        <v>543</v>
      </c>
      <c r="C101" s="708"/>
      <c r="D101" s="708"/>
      <c r="E101" s="708"/>
      <c r="F101" s="708"/>
      <c r="G101" s="708"/>
      <c r="H101" s="708"/>
      <c r="I101" s="708"/>
      <c r="J101" s="708"/>
      <c r="K101" s="709"/>
      <c r="L101" s="710"/>
      <c r="M101" s="711"/>
      <c r="N101" s="3222"/>
      <c r="O101" s="2041"/>
      <c r="P101" s="2042"/>
      <c r="Q101" s="2035"/>
      <c r="R101" s="2023"/>
      <c r="S101" s="2023"/>
      <c r="T101" s="2023"/>
      <c r="U101" s="2023"/>
      <c r="V101" s="2023"/>
      <c r="W101" s="2023"/>
      <c r="X101" s="2023"/>
      <c r="Y101" s="2023"/>
      <c r="Z101" s="2023"/>
      <c r="AA101" s="2023"/>
      <c r="AB101" s="2023"/>
      <c r="AC101" s="2023"/>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3"/>
      <c r="O102" s="2043"/>
      <c r="P102" s="2042"/>
      <c r="Q102" s="2035"/>
      <c r="R102" s="2023"/>
      <c r="S102" s="2023"/>
      <c r="T102" s="2023"/>
      <c r="U102" s="2023"/>
      <c r="V102" s="2023"/>
      <c r="W102" s="2023"/>
      <c r="X102" s="2023"/>
      <c r="Y102" s="2023"/>
      <c r="Z102" s="2023"/>
      <c r="AA102" s="2023"/>
      <c r="AB102" s="2023"/>
      <c r="AC102" s="2023"/>
    </row>
    <row r="103" spans="1:29" ht="15.75" thickTop="1">
      <c r="A103" s="659"/>
      <c r="B103" s="671">
        <f>B33</f>
        <v>111</v>
      </c>
      <c r="C103" s="678"/>
      <c r="D103" s="678"/>
      <c r="E103" s="678"/>
      <c r="F103" s="678"/>
      <c r="G103" s="712"/>
      <c r="H103" s="712"/>
      <c r="I103" s="712"/>
      <c r="J103" s="712"/>
      <c r="K103" s="713"/>
      <c r="L103" s="714"/>
      <c r="M103" s="715"/>
      <c r="N103" s="3222"/>
      <c r="O103" s="2041"/>
      <c r="P103" s="2042"/>
      <c r="Q103" s="2035"/>
      <c r="R103" s="2023"/>
      <c r="S103" s="2023"/>
      <c r="T103" s="2023"/>
      <c r="U103" s="2023"/>
      <c r="V103" s="2023"/>
      <c r="W103" s="2023"/>
      <c r="X103" s="2023"/>
      <c r="Y103" s="2023"/>
      <c r="Z103" s="2023"/>
      <c r="AA103" s="2023"/>
      <c r="AB103" s="2023"/>
      <c r="AC103" s="2023"/>
    </row>
    <row r="104" spans="1:29" ht="15.75" thickBot="1">
      <c r="A104" s="659"/>
      <c r="B104" s="689"/>
      <c r="C104" s="682"/>
      <c r="D104" s="661"/>
      <c r="E104" s="661"/>
      <c r="F104" s="661"/>
      <c r="G104" s="716"/>
      <c r="H104" s="716"/>
      <c r="I104" s="716"/>
      <c r="J104" s="716"/>
      <c r="K104" s="716"/>
      <c r="L104" s="716"/>
      <c r="M104" s="717"/>
      <c r="N104" s="3223"/>
      <c r="O104" s="2043"/>
      <c r="P104" s="2042"/>
      <c r="Q104" s="2035"/>
      <c r="R104" s="2023"/>
      <c r="S104" s="2023"/>
      <c r="T104" s="2023"/>
      <c r="U104" s="2023"/>
      <c r="V104" s="2023"/>
      <c r="W104" s="2023"/>
      <c r="X104" s="2023"/>
      <c r="Y104" s="2023"/>
      <c r="Z104" s="2023"/>
      <c r="AA104" s="2023"/>
      <c r="AB104" s="2023"/>
      <c r="AC104" s="2023"/>
    </row>
    <row r="105" spans="1:29" ht="15" thickTop="1">
      <c r="A105" s="579"/>
      <c r="B105" s="663">
        <f>B34</f>
        <v>111</v>
      </c>
      <c r="C105" s="678"/>
      <c r="D105" s="678"/>
      <c r="E105" s="678"/>
      <c r="F105" s="678"/>
      <c r="G105" s="708"/>
      <c r="H105" s="708"/>
      <c r="I105" s="708"/>
      <c r="J105" s="708"/>
      <c r="K105" s="709"/>
      <c r="L105" s="710"/>
      <c r="M105" s="711"/>
      <c r="N105" s="3222"/>
      <c r="O105" s="2041"/>
      <c r="P105" s="2042"/>
      <c r="Q105" s="2035"/>
      <c r="R105" s="2023"/>
      <c r="S105" s="2023"/>
      <c r="T105" s="2023"/>
      <c r="U105" s="2023"/>
      <c r="V105" s="2023"/>
      <c r="W105" s="2023"/>
      <c r="X105" s="2023"/>
      <c r="Y105" s="2023"/>
      <c r="Z105" s="2023"/>
      <c r="AA105" s="2023"/>
      <c r="AB105" s="2023"/>
      <c r="AC105" s="2023"/>
    </row>
    <row r="106" spans="1:29" ht="15.75" thickBot="1">
      <c r="A106" s="659"/>
      <c r="B106" s="668"/>
      <c r="C106" s="682"/>
      <c r="D106" s="682"/>
      <c r="E106" s="682"/>
      <c r="F106" s="682"/>
      <c r="G106" s="661"/>
      <c r="H106" s="661"/>
      <c r="I106" s="661"/>
      <c r="J106" s="661"/>
      <c r="K106" s="661"/>
      <c r="L106" s="661"/>
      <c r="M106" s="662"/>
      <c r="N106" s="3223"/>
      <c r="O106" s="2043"/>
      <c r="P106" s="2042"/>
      <c r="Q106" s="2035"/>
      <c r="R106" s="2023"/>
      <c r="S106" s="2023"/>
      <c r="T106" s="2023"/>
      <c r="U106" s="2023"/>
      <c r="V106" s="2023"/>
      <c r="W106" s="2023"/>
      <c r="X106" s="2023"/>
      <c r="Y106" s="2023"/>
      <c r="Z106" s="2023"/>
      <c r="AA106" s="2023"/>
      <c r="AB106" s="2023"/>
      <c r="AC106" s="2023"/>
    </row>
    <row r="107" spans="1:29" s="1291" customFormat="1" ht="15" thickTop="1">
      <c r="A107" s="718"/>
      <c r="B107" s="719">
        <f>B35</f>
        <v>111</v>
      </c>
      <c r="C107" s="651"/>
      <c r="D107" s="651"/>
      <c r="E107" s="651"/>
      <c r="F107" s="651"/>
      <c r="G107" s="720"/>
      <c r="H107" s="720"/>
      <c r="I107" s="720"/>
      <c r="J107" s="721"/>
      <c r="K107" s="721"/>
      <c r="L107" s="722"/>
      <c r="M107" s="723"/>
      <c r="N107" s="3224"/>
      <c r="O107" s="2044"/>
      <c r="P107" s="2045"/>
      <c r="Q107" s="2046"/>
      <c r="R107" s="2047"/>
      <c r="S107" s="2047"/>
      <c r="T107" s="2047"/>
      <c r="U107" s="2047"/>
      <c r="V107" s="2047"/>
      <c r="W107" s="2047"/>
      <c r="X107" s="2047"/>
      <c r="Y107" s="2047"/>
      <c r="Z107" s="2047"/>
      <c r="AA107" s="2047"/>
      <c r="AB107" s="2047"/>
      <c r="AC107" s="2047"/>
    </row>
    <row r="108" spans="1:29" s="1291" customFormat="1" ht="15.75" thickBot="1">
      <c r="A108" s="677"/>
      <c r="B108" s="671"/>
      <c r="C108" s="690"/>
      <c r="D108" s="690"/>
      <c r="E108" s="690"/>
      <c r="F108" s="690"/>
      <c r="G108" s="584"/>
      <c r="H108" s="584"/>
      <c r="I108" s="584"/>
      <c r="J108" s="584"/>
      <c r="K108" s="584"/>
      <c r="L108" s="584"/>
      <c r="M108" s="724"/>
      <c r="N108" s="3223"/>
      <c r="O108" s="2043"/>
      <c r="P108" s="2045"/>
      <c r="Q108" s="2046"/>
      <c r="R108" s="2047"/>
      <c r="S108" s="2047"/>
      <c r="T108" s="2047"/>
      <c r="U108" s="2047"/>
      <c r="V108" s="2047"/>
      <c r="W108" s="2047"/>
      <c r="X108" s="2047"/>
      <c r="Y108" s="2047"/>
      <c r="Z108" s="2047"/>
      <c r="AA108" s="2047"/>
      <c r="AB108" s="2047"/>
      <c r="AC108" s="2047"/>
    </row>
    <row r="109" spans="1:29">
      <c r="A109" s="654" t="s">
        <v>545</v>
      </c>
      <c r="B109" s="655" t="s">
        <v>587</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4" t="str">
        <f t="shared" si="25"/>
        <v>(含)-</v>
      </c>
      <c r="L109" s="2775" t="str">
        <f t="shared" si="25"/>
        <v>(含)-</v>
      </c>
      <c r="M109" s="2776" t="str">
        <f>M110&amp;"(含)"&amp;"-"&amp;P110</f>
        <v>(含)-</v>
      </c>
      <c r="N109" s="3222"/>
      <c r="O109" s="2041"/>
      <c r="P109" s="2042"/>
      <c r="Q109" s="2035"/>
      <c r="R109" s="2023"/>
      <c r="S109" s="2023"/>
      <c r="T109" s="2023"/>
      <c r="U109" s="2023"/>
      <c r="V109" s="2023"/>
      <c r="W109" s="2023"/>
      <c r="X109" s="2023"/>
      <c r="Y109" s="2023"/>
      <c r="Z109" s="2023"/>
      <c r="AA109" s="2023"/>
      <c r="AB109" s="2023"/>
      <c r="AC109" s="2023"/>
    </row>
    <row r="110" spans="1:29" ht="15">
      <c r="A110" s="659"/>
      <c r="B110" s="671"/>
      <c r="C110" s="720"/>
      <c r="D110" s="720"/>
      <c r="E110" s="720"/>
      <c r="F110" s="720"/>
      <c r="G110" s="720"/>
      <c r="H110" s="720"/>
      <c r="I110" s="720"/>
      <c r="J110" s="721"/>
      <c r="K110" s="721"/>
      <c r="L110" s="722"/>
      <c r="M110" s="723"/>
      <c r="N110" s="3222"/>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90"/>
      <c r="D111" s="716"/>
      <c r="E111" s="716"/>
      <c r="F111" s="716"/>
      <c r="G111" s="716"/>
      <c r="H111" s="716"/>
      <c r="I111" s="716"/>
      <c r="J111" s="716"/>
      <c r="K111" s="716"/>
      <c r="L111" s="716"/>
      <c r="M111" s="717"/>
      <c r="N111" s="3223"/>
      <c r="O111" s="2043"/>
      <c r="P111" s="2042"/>
      <c r="Q111" s="2035"/>
      <c r="R111" s="2023"/>
      <c r="S111" s="2023"/>
      <c r="T111" s="2023"/>
      <c r="U111" s="2023"/>
      <c r="V111" s="2023"/>
      <c r="W111" s="2023"/>
      <c r="X111" s="2023"/>
      <c r="Y111" s="2023"/>
      <c r="Z111" s="2023"/>
      <c r="AA111" s="2023"/>
      <c r="AB111" s="2023"/>
      <c r="AC111" s="2023"/>
    </row>
    <row r="112" spans="1:29" ht="15" thickTop="1">
      <c r="A112" s="725"/>
      <c r="B112" s="663" t="s">
        <v>588</v>
      </c>
      <c r="C112" s="708"/>
      <c r="D112" s="708"/>
      <c r="E112" s="708"/>
      <c r="F112" s="708"/>
      <c r="G112" s="708"/>
      <c r="H112" s="708"/>
      <c r="I112" s="708"/>
      <c r="J112" s="708"/>
      <c r="K112" s="709"/>
      <c r="L112" s="710"/>
      <c r="M112" s="711"/>
      <c r="N112" s="3222"/>
      <c r="O112" s="2041"/>
      <c r="P112" s="2042"/>
      <c r="Q112" s="2035"/>
      <c r="R112" s="2023"/>
      <c r="S112" s="2023"/>
      <c r="T112" s="2023"/>
      <c r="U112" s="2023"/>
      <c r="V112" s="2023"/>
      <c r="W112" s="2023"/>
      <c r="X112" s="2023"/>
      <c r="Y112" s="2023"/>
      <c r="Z112" s="2023"/>
      <c r="AA112" s="2023"/>
      <c r="AB112" s="2023"/>
      <c r="AC112" s="2023"/>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3"/>
      <c r="O113" s="2043"/>
      <c r="P113" s="2042"/>
      <c r="Q113" s="2035"/>
      <c r="R113" s="2023"/>
      <c r="S113" s="2023"/>
      <c r="T113" s="2023"/>
      <c r="U113" s="2023"/>
      <c r="V113" s="2023"/>
      <c r="W113" s="2023"/>
      <c r="X113" s="2023"/>
      <c r="Y113" s="2023"/>
      <c r="Z113" s="2023"/>
      <c r="AA113" s="2023"/>
      <c r="AB113" s="2023"/>
      <c r="AC113" s="2023"/>
    </row>
    <row r="114" spans="1:29" s="1291" customFormat="1" ht="15" thickTop="1">
      <c r="A114" s="718"/>
      <c r="B114" s="1806" t="s">
        <v>2409</v>
      </c>
      <c r="C114" s="1324"/>
      <c r="D114" s="1324"/>
      <c r="E114" s="1324"/>
      <c r="F114" s="1324"/>
      <c r="G114" s="1324"/>
      <c r="H114" s="708"/>
      <c r="I114" s="708"/>
      <c r="J114" s="708"/>
      <c r="K114" s="709"/>
      <c r="L114" s="710"/>
      <c r="M114" s="711"/>
      <c r="N114" s="3224"/>
      <c r="O114" s="2044"/>
      <c r="P114" s="2045"/>
      <c r="Q114" s="2046"/>
      <c r="R114" s="2047"/>
      <c r="S114" s="2047"/>
      <c r="T114" s="2047"/>
      <c r="U114" s="2047"/>
      <c r="V114" s="2047"/>
      <c r="W114" s="2047"/>
      <c r="X114" s="2047"/>
      <c r="Y114" s="2047"/>
      <c r="Z114" s="2047"/>
      <c r="AA114" s="2047"/>
      <c r="AB114" s="2047"/>
      <c r="AC114" s="2047"/>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4"/>
      <c r="O115" s="2044"/>
      <c r="P115" s="2045"/>
      <c r="Q115" s="2046"/>
      <c r="R115" s="2047"/>
      <c r="S115" s="2047"/>
      <c r="T115" s="2047"/>
      <c r="U115" s="2047"/>
      <c r="V115" s="2047"/>
      <c r="W115" s="2047"/>
      <c r="X115" s="2047"/>
      <c r="Y115" s="2047"/>
      <c r="Z115" s="2047"/>
      <c r="AA115" s="2047"/>
      <c r="AB115" s="2047"/>
      <c r="AC115" s="2047"/>
    </row>
    <row r="116" spans="1:29" ht="15" thickTop="1">
      <c r="A116" s="725"/>
      <c r="B116" s="663" t="s">
        <v>590</v>
      </c>
      <c r="C116" s="678"/>
      <c r="D116" s="678"/>
      <c r="E116" s="708"/>
      <c r="F116" s="708"/>
      <c r="G116" s="708"/>
      <c r="H116" s="708"/>
      <c r="I116" s="708"/>
      <c r="J116" s="708"/>
      <c r="K116" s="709"/>
      <c r="L116" s="710"/>
      <c r="M116" s="711"/>
      <c r="N116" s="3222"/>
      <c r="O116" s="2041"/>
      <c r="P116" s="2042"/>
      <c r="Q116" s="2035"/>
      <c r="R116" s="2023"/>
      <c r="S116" s="2023"/>
      <c r="T116" s="2023"/>
      <c r="U116" s="2023"/>
      <c r="V116" s="2023"/>
      <c r="W116" s="2023"/>
      <c r="X116" s="2023"/>
      <c r="Y116" s="2023"/>
      <c r="Z116" s="2023"/>
      <c r="AA116" s="2023"/>
      <c r="AB116" s="2023"/>
      <c r="AC116" s="2023"/>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3"/>
      <c r="O117" s="2043"/>
      <c r="P117" s="2042"/>
      <c r="Q117" s="2035"/>
      <c r="R117" s="2023"/>
      <c r="S117" s="2023"/>
      <c r="T117" s="2023"/>
      <c r="U117" s="2023"/>
      <c r="V117" s="2023"/>
      <c r="W117" s="2023"/>
      <c r="X117" s="2023"/>
      <c r="Y117" s="2023"/>
      <c r="Z117" s="2023"/>
      <c r="AA117" s="2023"/>
      <c r="AB117" s="2023"/>
      <c r="AC117" s="2023"/>
    </row>
    <row r="118" spans="1:29" ht="15" thickTop="1">
      <c r="A118" s="725"/>
      <c r="B118" s="663">
        <f>B40</f>
        <v>111</v>
      </c>
      <c r="C118" s="678"/>
      <c r="D118" s="678"/>
      <c r="E118" s="678"/>
      <c r="F118" s="678"/>
      <c r="G118" s="678"/>
      <c r="H118" s="708"/>
      <c r="I118" s="708"/>
      <c r="J118" s="708"/>
      <c r="K118" s="709"/>
      <c r="L118" s="710"/>
      <c r="M118" s="711"/>
      <c r="N118" s="3222"/>
      <c r="O118" s="2041"/>
      <c r="P118" s="2042"/>
      <c r="Q118" s="2035"/>
      <c r="R118" s="2023"/>
      <c r="S118" s="2023"/>
      <c r="T118" s="2023"/>
      <c r="U118" s="2023"/>
      <c r="V118" s="2023"/>
      <c r="W118" s="2023"/>
      <c r="X118" s="2023"/>
      <c r="Y118" s="2023"/>
      <c r="Z118" s="2023"/>
      <c r="AA118" s="2023"/>
      <c r="AB118" s="2023"/>
      <c r="AC118" s="2023"/>
    </row>
    <row r="119" spans="1:29" ht="15.75" thickBot="1">
      <c r="A119" s="659"/>
      <c r="B119" s="668"/>
      <c r="C119" s="682"/>
      <c r="D119" s="661"/>
      <c r="E119" s="661"/>
      <c r="F119" s="661"/>
      <c r="G119" s="661"/>
      <c r="H119" s="661"/>
      <c r="I119" s="661"/>
      <c r="J119" s="661"/>
      <c r="K119" s="661"/>
      <c r="L119" s="661"/>
      <c r="M119" s="662"/>
      <c r="N119" s="3223"/>
      <c r="O119" s="2043"/>
      <c r="P119" s="2042"/>
      <c r="Q119" s="2035"/>
      <c r="R119" s="2023"/>
      <c r="S119" s="2023"/>
      <c r="T119" s="2023"/>
      <c r="U119" s="2023"/>
      <c r="V119" s="2023"/>
      <c r="W119" s="2023"/>
      <c r="X119" s="2023"/>
      <c r="Y119" s="2023"/>
      <c r="Z119" s="2023"/>
      <c r="AA119" s="2023"/>
      <c r="AB119" s="2023"/>
      <c r="AC119" s="2023"/>
    </row>
    <row r="120" spans="1:29" ht="15" thickTop="1">
      <c r="A120" s="725"/>
      <c r="B120" s="663">
        <f>B41</f>
        <v>111</v>
      </c>
      <c r="C120" s="678"/>
      <c r="D120" s="678"/>
      <c r="E120" s="678"/>
      <c r="F120" s="678"/>
      <c r="G120" s="708"/>
      <c r="H120" s="708"/>
      <c r="I120" s="708"/>
      <c r="J120" s="708"/>
      <c r="K120" s="709"/>
      <c r="L120" s="710"/>
      <c r="M120" s="711"/>
      <c r="N120" s="3222"/>
      <c r="O120" s="2041"/>
      <c r="P120" s="2042"/>
      <c r="Q120" s="2035"/>
      <c r="R120" s="2023"/>
      <c r="S120" s="2023"/>
      <c r="T120" s="2023"/>
      <c r="U120" s="2023"/>
      <c r="V120" s="2023"/>
      <c r="W120" s="2023"/>
      <c r="X120" s="2023"/>
      <c r="Y120" s="2023"/>
      <c r="Z120" s="2023"/>
      <c r="AA120" s="2023"/>
      <c r="AB120" s="2023"/>
      <c r="AC120" s="2023"/>
    </row>
    <row r="121" spans="1:29" ht="15.75" thickBot="1">
      <c r="A121" s="659"/>
      <c r="B121" s="668"/>
      <c r="C121" s="682"/>
      <c r="D121" s="682"/>
      <c r="E121" s="682"/>
      <c r="F121" s="682"/>
      <c r="G121" s="661"/>
      <c r="H121" s="661"/>
      <c r="I121" s="661"/>
      <c r="J121" s="661"/>
      <c r="K121" s="661"/>
      <c r="L121" s="661"/>
      <c r="M121" s="662"/>
      <c r="N121" s="3223"/>
      <c r="O121" s="2043"/>
      <c r="P121" s="2042"/>
      <c r="Q121" s="2035"/>
      <c r="R121" s="2023"/>
      <c r="S121" s="2023"/>
      <c r="T121" s="2023"/>
      <c r="U121" s="2023"/>
      <c r="V121" s="2023"/>
      <c r="W121" s="2023"/>
      <c r="X121" s="2023"/>
      <c r="Y121" s="2023"/>
      <c r="Z121" s="2023"/>
      <c r="AA121" s="2023"/>
      <c r="AB121" s="2023"/>
      <c r="AC121" s="2023"/>
    </row>
    <row r="122" spans="1:29" s="1291" customFormat="1" ht="15" thickTop="1">
      <c r="A122" s="718"/>
      <c r="B122" s="663">
        <f>B42</f>
        <v>111</v>
      </c>
      <c r="C122" s="651"/>
      <c r="D122" s="651"/>
      <c r="E122" s="651"/>
      <c r="F122" s="651"/>
      <c r="G122" s="679"/>
      <c r="H122" s="679"/>
      <c r="I122" s="679"/>
      <c r="J122" s="679"/>
      <c r="K122" s="679"/>
      <c r="L122" s="680"/>
      <c r="M122" s="681"/>
      <c r="N122" s="3224"/>
      <c r="O122" s="2044"/>
      <c r="P122" s="2045"/>
      <c r="Q122" s="2046"/>
      <c r="R122" s="2047"/>
      <c r="S122" s="2047"/>
      <c r="T122" s="2047"/>
      <c r="U122" s="2047"/>
      <c r="V122" s="2047"/>
      <c r="W122" s="2047"/>
      <c r="X122" s="2047"/>
      <c r="Y122" s="2047"/>
      <c r="Z122" s="2047"/>
      <c r="AA122" s="2047"/>
      <c r="AB122" s="2047"/>
      <c r="AC122" s="2047"/>
    </row>
    <row r="123" spans="1:29" s="1291" customFormat="1" ht="15.75" thickBot="1">
      <c r="A123" s="688"/>
      <c r="B123" s="726"/>
      <c r="C123" s="690"/>
      <c r="D123" s="690"/>
      <c r="E123" s="690"/>
      <c r="F123" s="690"/>
      <c r="G123" s="716"/>
      <c r="H123" s="716"/>
      <c r="I123" s="716"/>
      <c r="J123" s="716"/>
      <c r="K123" s="716"/>
      <c r="L123" s="716"/>
      <c r="M123" s="717"/>
      <c r="N123" s="3224"/>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20" priority="18" stopIfTrue="1" operator="containsText" text="超过">
      <formula>NOT(ISERROR(SEARCH("超过",F48)))</formula>
    </cfRule>
  </conditionalFormatting>
  <conditionalFormatting sqref="J50">
    <cfRule type="containsText" dxfId="219" priority="17" stopIfTrue="1" operator="containsText" text="超过">
      <formula>NOT(ISERROR(SEARCH("超过",J50)))</formula>
    </cfRule>
  </conditionalFormatting>
  <conditionalFormatting sqref="H50">
    <cfRule type="containsText" dxfId="218" priority="16" stopIfTrue="1" operator="containsText" text="超过">
      <formula>NOT(ISERROR(SEARCH("超过",H50)))</formula>
    </cfRule>
  </conditionalFormatting>
  <conditionalFormatting sqref="F50">
    <cfRule type="containsText" dxfId="217" priority="15" stopIfTrue="1" operator="containsText" text="超过">
      <formula>NOT(ISERROR(SEARCH("超过",F50)))</formula>
    </cfRule>
  </conditionalFormatting>
  <conditionalFormatting sqref="F49 H49 J49">
    <cfRule type="containsText" dxfId="216" priority="14" stopIfTrue="1" operator="containsText" text="超过">
      <formula>NOT(ISERROR(SEARCH("超过",F49)))</formula>
    </cfRule>
  </conditionalFormatting>
  <conditionalFormatting sqref="E48">
    <cfRule type="expression" dxfId="215" priority="13" stopIfTrue="1">
      <formula>$F$48="超过30%"</formula>
    </cfRule>
  </conditionalFormatting>
  <conditionalFormatting sqref="G50">
    <cfRule type="expression" dxfId="214" priority="12" stopIfTrue="1">
      <formula>$H$50="超过30%"</formula>
    </cfRule>
  </conditionalFormatting>
  <conditionalFormatting sqref="E50">
    <cfRule type="expression" dxfId="213" priority="10" stopIfTrue="1">
      <formula>$F$50="超过30%"</formula>
    </cfRule>
  </conditionalFormatting>
  <conditionalFormatting sqref="G48">
    <cfRule type="expression" dxfId="212" priority="9" stopIfTrue="1">
      <formula>$H$48="超过30%"</formula>
    </cfRule>
  </conditionalFormatting>
  <conditionalFormatting sqref="G49">
    <cfRule type="expression" dxfId="211" priority="8" stopIfTrue="1">
      <formula>$H$49="超过20%"</formula>
    </cfRule>
  </conditionalFormatting>
  <conditionalFormatting sqref="I48">
    <cfRule type="expression" dxfId="210" priority="7" stopIfTrue="1">
      <formula>$J$48="超过30%"</formula>
    </cfRule>
  </conditionalFormatting>
  <conditionalFormatting sqref="I49">
    <cfRule type="expression" dxfId="209" priority="6" stopIfTrue="1">
      <formula>$J$49="超过20%"</formula>
    </cfRule>
  </conditionalFormatting>
  <conditionalFormatting sqref="I50">
    <cfRule type="expression" dxfId="208" priority="5" stopIfTrue="1">
      <formula>$J$50="超过30%"</formula>
    </cfRule>
  </conditionalFormatting>
  <conditionalFormatting sqref="E49">
    <cfRule type="expression" dxfId="207" priority="51" stopIfTrue="1">
      <formula>#REF!+$F$49="超过20%"</formula>
    </cfRule>
  </conditionalFormatting>
  <conditionalFormatting sqref="F44">
    <cfRule type="expression" dxfId="206" priority="4">
      <formula>$D$44="简单平均"</formula>
    </cfRule>
  </conditionalFormatting>
  <conditionalFormatting sqref="H44">
    <cfRule type="expression" dxfId="205" priority="3">
      <formula>$D$44="简单平均"</formula>
    </cfRule>
  </conditionalFormatting>
  <conditionalFormatting sqref="J44">
    <cfRule type="expression" dxfId="204" priority="2">
      <formula>$D$44="简单平均"</formula>
    </cfRule>
  </conditionalFormatting>
  <conditionalFormatting sqref="F9:F42 H9:H42 J9:J42">
    <cfRule type="cellIs" dxfId="20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4">
    <tabColor rgb="FF92D050"/>
    <pageSetUpPr fitToPage="1"/>
  </sheetPr>
  <dimension ref="A1:AC794"/>
  <sheetViews>
    <sheetView view="pageBreakPreview" topLeftCell="A43" zoomScale="85" zoomScaleNormal="60" zoomScaleSheetLayoutView="85" workbookViewId="0">
      <selection activeCell="E31" sqref="E31"/>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751</v>
      </c>
      <c r="C1" s="496" t="s">
        <v>714</v>
      </c>
      <c r="D1" s="2221" t="s">
        <v>3006</v>
      </c>
      <c r="E1" s="498"/>
      <c r="F1" s="2520" t="s">
        <v>3094</v>
      </c>
      <c r="G1" s="1528" t="s">
        <v>715</v>
      </c>
      <c r="H1" s="498"/>
      <c r="I1" s="498"/>
      <c r="J1" s="498"/>
      <c r="K1" s="49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461</v>
      </c>
      <c r="B2" s="837">
        <f>ROUND(B3*D3/10000,0)</f>
        <v>23542</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thickBot="1">
      <c r="A3" s="501" t="s">
        <v>513</v>
      </c>
      <c r="B3" s="502">
        <f>C49</f>
        <v>36471</v>
      </c>
      <c r="C3" s="839" t="s">
        <v>716</v>
      </c>
      <c r="D3" s="838">
        <f>SUMIF('数据-汇总表'!$C19:$C33,D1,'数据-汇总表'!$E19:$E33)</f>
        <v>6455.06</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4" t="s">
        <v>515</v>
      </c>
      <c r="B4" s="505"/>
      <c r="C4" s="3782" t="s">
        <v>516</v>
      </c>
      <c r="D4" s="3783"/>
      <c r="E4" s="3784" t="s">
        <v>517</v>
      </c>
      <c r="F4" s="3785"/>
      <c r="G4" s="3782" t="s">
        <v>518</v>
      </c>
      <c r="H4" s="3783"/>
      <c r="I4" s="3782" t="s">
        <v>519</v>
      </c>
      <c r="J4" s="3783"/>
      <c r="K4" s="506" t="s">
        <v>520</v>
      </c>
      <c r="L4" s="2011"/>
      <c r="M4" s="2012"/>
      <c r="N4" s="2012"/>
      <c r="O4" s="2012"/>
      <c r="P4" s="3786" t="s">
        <v>521</v>
      </c>
      <c r="Q4" s="3787"/>
      <c r="R4" s="3792" t="s">
        <v>517</v>
      </c>
      <c r="S4" s="3793"/>
      <c r="T4" s="3792" t="s">
        <v>518</v>
      </c>
      <c r="U4" s="3793"/>
      <c r="V4" s="3798" t="s">
        <v>519</v>
      </c>
      <c r="W4" s="3798"/>
      <c r="X4" s="1498"/>
      <c r="Y4" s="3792" t="s">
        <v>521</v>
      </c>
      <c r="Z4" s="3793"/>
      <c r="AA4" s="3779" t="s">
        <v>517</v>
      </c>
      <c r="AB4" s="3798" t="s">
        <v>518</v>
      </c>
      <c r="AC4" s="3779" t="s">
        <v>519</v>
      </c>
    </row>
    <row r="5" spans="1:29" ht="15">
      <c r="A5" s="507"/>
      <c r="B5" s="508"/>
      <c r="C5" s="3801" t="s">
        <v>2893</v>
      </c>
      <c r="D5" s="3802"/>
      <c r="E5" s="3821" t="s">
        <v>3295</v>
      </c>
      <c r="F5" s="3810"/>
      <c r="G5" s="3820" t="s">
        <v>3104</v>
      </c>
      <c r="H5" s="3802"/>
      <c r="I5" s="3820" t="s">
        <v>3105</v>
      </c>
      <c r="J5" s="3802"/>
      <c r="K5" s="506"/>
      <c r="L5" s="2011"/>
      <c r="M5" s="2012"/>
      <c r="N5" s="2012"/>
      <c r="O5" s="2012"/>
      <c r="P5" s="3788"/>
      <c r="Q5" s="3789"/>
      <c r="R5" s="3794"/>
      <c r="S5" s="3795"/>
      <c r="T5" s="3794"/>
      <c r="U5" s="3795"/>
      <c r="V5" s="3798"/>
      <c r="W5" s="3798"/>
      <c r="X5" s="1498"/>
      <c r="Y5" s="3794"/>
      <c r="Z5" s="3795"/>
      <c r="AA5" s="3780"/>
      <c r="AB5" s="3798"/>
      <c r="AC5" s="3780"/>
    </row>
    <row r="6" spans="1:29" ht="15.75" thickBot="1">
      <c r="A6" s="509"/>
      <c r="B6" s="510"/>
      <c r="C6" s="3806" t="s">
        <v>2897</v>
      </c>
      <c r="D6" s="3800"/>
      <c r="E6" s="3811" t="s">
        <v>2897</v>
      </c>
      <c r="F6" s="3808"/>
      <c r="G6" s="3806" t="s">
        <v>2897</v>
      </c>
      <c r="H6" s="3800"/>
      <c r="I6" s="3806" t="s">
        <v>2897</v>
      </c>
      <c r="J6" s="3800"/>
      <c r="K6" s="506" t="s">
        <v>522</v>
      </c>
      <c r="L6" s="2011"/>
      <c r="M6" s="2012"/>
      <c r="N6" s="2012"/>
      <c r="O6" s="2012"/>
      <c r="P6" s="3790"/>
      <c r="Q6" s="3791"/>
      <c r="R6" s="3794"/>
      <c r="S6" s="3795"/>
      <c r="T6" s="3796"/>
      <c r="U6" s="3797"/>
      <c r="V6" s="3798"/>
      <c r="W6" s="3798"/>
      <c r="X6" s="1498"/>
      <c r="Y6" s="3796"/>
      <c r="Z6" s="3797"/>
      <c r="AA6" s="3781"/>
      <c r="AB6" s="3798"/>
      <c r="AC6" s="3781"/>
    </row>
    <row r="7" spans="1:29" s="1201" customFormat="1" ht="15.75" thickBot="1">
      <c r="A7" s="2625"/>
      <c r="B7" s="2632" t="s">
        <v>523</v>
      </c>
      <c r="C7" s="511">
        <f>'数据-取费表'!B2</f>
        <v>44412</v>
      </c>
      <c r="D7" s="512">
        <v>100</v>
      </c>
      <c r="E7" s="513">
        <f>C7</f>
        <v>44412</v>
      </c>
      <c r="F7" s="514">
        <f>SUMIF(58:58,YEAR(E7)&amp;"-"&amp;MONTH(E7),59:59)</f>
        <v>100</v>
      </c>
      <c r="G7" s="513">
        <f>C7</f>
        <v>44412</v>
      </c>
      <c r="H7" s="512">
        <f>SUMIF(58:58,YEAR(G7)&amp;"-"&amp;MONTH(G7),59:59)</f>
        <v>100</v>
      </c>
      <c r="I7" s="513">
        <f>C7</f>
        <v>44412</v>
      </c>
      <c r="J7" s="512">
        <f>SUMIF(58:58,YEAR(I7)&amp;"-"&amp;MONTH(I7),59:59)</f>
        <v>100</v>
      </c>
      <c r="K7" s="516"/>
      <c r="L7" s="2013"/>
      <c r="M7" s="2014"/>
      <c r="N7" s="2014"/>
      <c r="O7" s="2014"/>
      <c r="P7" s="3803" t="s">
        <v>524</v>
      </c>
      <c r="Q7" s="3805"/>
      <c r="R7" s="1499" t="s">
        <v>8</v>
      </c>
      <c r="S7" s="1500">
        <f t="shared" ref="S7:S15" si="0">F7</f>
        <v>100</v>
      </c>
      <c r="T7" s="1499" t="s">
        <v>8</v>
      </c>
      <c r="U7" s="1500">
        <f t="shared" ref="U7:U15" si="1">H7</f>
        <v>100</v>
      </c>
      <c r="V7" s="1499" t="s">
        <v>8</v>
      </c>
      <c r="W7" s="1500">
        <f t="shared" ref="W7:W15" si="2">J7</f>
        <v>100</v>
      </c>
      <c r="X7" s="1501"/>
      <c r="Y7" s="3803" t="s">
        <v>524</v>
      </c>
      <c r="Z7" s="3804"/>
      <c r="AA7" s="1502">
        <f>D7/F7</f>
        <v>1</v>
      </c>
      <c r="AB7" s="1502">
        <f>D7/H7</f>
        <v>1</v>
      </c>
      <c r="AC7" s="1502">
        <f>D7/J7</f>
        <v>1</v>
      </c>
    </row>
    <row r="8" spans="1:29" s="1201" customFormat="1" ht="15.75" thickBot="1">
      <c r="A8" s="2626"/>
      <c r="B8" s="2633" t="s">
        <v>525</v>
      </c>
      <c r="C8" s="517" t="s">
        <v>570</v>
      </c>
      <c r="D8" s="512">
        <v>100</v>
      </c>
      <c r="E8" s="517" t="s">
        <v>3053</v>
      </c>
      <c r="F8" s="514">
        <f>SUMIF(61:61,E8,62:62)-SUMIF(61:61,C8,62:62)+100</f>
        <v>100</v>
      </c>
      <c r="G8" s="517" t="s">
        <v>3053</v>
      </c>
      <c r="H8" s="512">
        <f>SUMIF(61:61,G8,62:62)-SUMIF(61:61,C8,62:62)+100</f>
        <v>100</v>
      </c>
      <c r="I8" s="517" t="s">
        <v>3053</v>
      </c>
      <c r="J8" s="512">
        <f>SUMIF(61:61,I8,62:62)-SUMIF(61:61,C8,62:62)+100</f>
        <v>100</v>
      </c>
      <c r="K8" s="516"/>
      <c r="L8" s="2013"/>
      <c r="M8" s="2014"/>
      <c r="N8" s="2014"/>
      <c r="O8" s="2014"/>
      <c r="P8" s="3803" t="s">
        <v>527</v>
      </c>
      <c r="Q8" s="3804"/>
      <c r="R8" s="1499" t="s">
        <v>8</v>
      </c>
      <c r="S8" s="1500">
        <f t="shared" si="0"/>
        <v>100</v>
      </c>
      <c r="T8" s="1499" t="s">
        <v>8</v>
      </c>
      <c r="U8" s="1500">
        <f t="shared" si="1"/>
        <v>100</v>
      </c>
      <c r="V8" s="1499" t="s">
        <v>8</v>
      </c>
      <c r="W8" s="1500">
        <f t="shared" si="2"/>
        <v>100</v>
      </c>
      <c r="X8" s="1501"/>
      <c r="Y8" s="3803" t="s">
        <v>527</v>
      </c>
      <c r="Z8" s="3804"/>
      <c r="AA8" s="1502">
        <f t="shared" ref="AA8:AA46" si="3">D8/F8</f>
        <v>1</v>
      </c>
      <c r="AB8" s="1502">
        <f t="shared" ref="AB8:AB46" si="4">D8/H8</f>
        <v>1</v>
      </c>
      <c r="AC8" s="1502">
        <f t="shared" ref="AC8:AC46" si="5">D8/J8</f>
        <v>1</v>
      </c>
    </row>
    <row r="9" spans="1:29" s="1201" customFormat="1" ht="15">
      <c r="A9" s="2627"/>
      <c r="B9" s="2634" t="s">
        <v>2735</v>
      </c>
      <c r="C9" s="844"/>
      <c r="D9" s="250">
        <v>100</v>
      </c>
      <c r="E9" s="847"/>
      <c r="F9" s="250">
        <f>SUMIF(63:63,E9,64:64)-SUMIF(63:63,C9,64:64)+100</f>
        <v>100</v>
      </c>
      <c r="G9" s="845"/>
      <c r="H9" s="250">
        <f>SUMIF(63:63,G9,64:64)-SUMIF(63:63,C9,64:64)+100</f>
        <v>100</v>
      </c>
      <c r="I9" s="845"/>
      <c r="J9" s="250">
        <f>SUMIF(63:63,I9,64:64)-SUMIF(63:63,C9,64:64)+100</f>
        <v>100</v>
      </c>
      <c r="K9" s="516"/>
      <c r="L9" s="2013"/>
      <c r="M9" s="2014"/>
      <c r="N9" s="2014"/>
      <c r="O9" s="2015"/>
      <c r="P9" s="3772" t="s">
        <v>529</v>
      </c>
      <c r="Q9" s="1132" t="str">
        <f t="shared" ref="Q9:Q15" si="6">B9</f>
        <v>用途</v>
      </c>
      <c r="R9" s="1499" t="s">
        <v>8</v>
      </c>
      <c r="S9" s="1500">
        <f t="shared" si="0"/>
        <v>100</v>
      </c>
      <c r="T9" s="1499" t="s">
        <v>8</v>
      </c>
      <c r="U9" s="1500">
        <f t="shared" si="1"/>
        <v>100</v>
      </c>
      <c r="V9" s="1499" t="s">
        <v>8</v>
      </c>
      <c r="W9" s="1500">
        <f t="shared" si="2"/>
        <v>100</v>
      </c>
      <c r="X9" s="1501"/>
      <c r="Y9" s="3675" t="s">
        <v>530</v>
      </c>
      <c r="Z9" s="1131" t="str">
        <f t="shared" ref="Z9:Z15" si="7">Q9</f>
        <v>用途</v>
      </c>
      <c r="AA9" s="1502">
        <f t="shared" si="3"/>
        <v>1</v>
      </c>
      <c r="AB9" s="1502">
        <f t="shared" si="4"/>
        <v>1</v>
      </c>
      <c r="AC9" s="1502">
        <f t="shared" si="5"/>
        <v>1</v>
      </c>
    </row>
    <row r="10" spans="1:29" s="1290" customFormat="1" ht="27">
      <c r="A10" s="2628"/>
      <c r="B10" s="2633" t="s">
        <v>2736</v>
      </c>
      <c r="C10" s="848" t="s">
        <v>3106</v>
      </c>
      <c r="D10" s="251">
        <v>100</v>
      </c>
      <c r="E10" s="848" t="s">
        <v>3106</v>
      </c>
      <c r="F10" s="251">
        <f>SUMIF(65:65,E10,66:66)-SUMIF(65:65,C10,66:66)+100</f>
        <v>100</v>
      </c>
      <c r="G10" s="849" t="s">
        <v>3106</v>
      </c>
      <c r="H10" s="251">
        <f>SUMIF(65:65,G10,66:66)-SUMIF(65:65,C10,66:66)+100</f>
        <v>100</v>
      </c>
      <c r="I10" s="848" t="s">
        <v>3106</v>
      </c>
      <c r="J10" s="251">
        <f>SUMIF(65:65,I10,66:66)-SUMIF(65:65,C10,66:66)+100</f>
        <v>100</v>
      </c>
      <c r="K10" s="3395">
        <v>1</v>
      </c>
      <c r="L10" s="2016"/>
      <c r="M10" s="2055"/>
      <c r="N10" s="2055"/>
      <c r="O10" s="2017"/>
      <c r="P10" s="3772"/>
      <c r="Q10" s="1132" t="str">
        <f t="shared" si="6"/>
        <v>土地使用年限（年）</v>
      </c>
      <c r="R10" s="1499" t="s">
        <v>8</v>
      </c>
      <c r="S10" s="1500">
        <f t="shared" si="0"/>
        <v>100</v>
      </c>
      <c r="T10" s="1499" t="s">
        <v>8</v>
      </c>
      <c r="U10" s="1500">
        <f t="shared" si="1"/>
        <v>100</v>
      </c>
      <c r="V10" s="1499" t="s">
        <v>8</v>
      </c>
      <c r="W10" s="1500">
        <f t="shared" si="2"/>
        <v>100</v>
      </c>
      <c r="X10" s="1501"/>
      <c r="Y10" s="3675"/>
      <c r="Z10" s="1131" t="str">
        <f t="shared" si="7"/>
        <v>土地使用年限（年）</v>
      </c>
      <c r="AA10" s="1502">
        <f t="shared" si="3"/>
        <v>1</v>
      </c>
      <c r="AB10" s="1502">
        <f t="shared" si="4"/>
        <v>1</v>
      </c>
      <c r="AC10" s="1502">
        <f t="shared" si="5"/>
        <v>1</v>
      </c>
    </row>
    <row r="11" spans="1:29" ht="15">
      <c r="A11" s="2629"/>
      <c r="B11" s="2633" t="s">
        <v>2737</v>
      </c>
      <c r="C11" s="525"/>
      <c r="D11" s="251">
        <v>100</v>
      </c>
      <c r="E11" s="525"/>
      <c r="F11" s="251">
        <f>LOOKUP(E11,68:68,69:69)-LOOKUP(C11,68:68,69:69)+100</f>
        <v>100</v>
      </c>
      <c r="G11" s="526"/>
      <c r="H11" s="251">
        <f>LOOKUP(G11,68:68,69:69)-LOOKUP(C11,68:68,69:69)+100</f>
        <v>100</v>
      </c>
      <c r="I11" s="525"/>
      <c r="J11" s="251">
        <f>LOOKUP(I11,68:68,69:69)-LOOKUP(C11,68:68,69:69)+100</f>
        <v>100</v>
      </c>
      <c r="K11" s="576"/>
      <c r="L11" s="2018"/>
      <c r="M11" s="2012"/>
      <c r="N11" s="2012"/>
      <c r="O11" s="2019"/>
      <c r="P11" s="3772"/>
      <c r="Q11" s="1132" t="str">
        <f t="shared" si="6"/>
        <v>容积率</v>
      </c>
      <c r="R11" s="1499" t="s">
        <v>8</v>
      </c>
      <c r="S11" s="1500">
        <f t="shared" si="0"/>
        <v>100</v>
      </c>
      <c r="T11" s="1499" t="s">
        <v>8</v>
      </c>
      <c r="U11" s="1500">
        <f t="shared" si="1"/>
        <v>100</v>
      </c>
      <c r="V11" s="1499" t="s">
        <v>8</v>
      </c>
      <c r="W11" s="1500">
        <f t="shared" si="2"/>
        <v>100</v>
      </c>
      <c r="X11" s="1501"/>
      <c r="Y11" s="3675"/>
      <c r="Z11" s="1131" t="str">
        <f t="shared" si="7"/>
        <v>容积率</v>
      </c>
      <c r="AA11" s="1502">
        <f t="shared" si="3"/>
        <v>1</v>
      </c>
      <c r="AB11" s="1502">
        <f t="shared" si="4"/>
        <v>1</v>
      </c>
      <c r="AC11" s="1502">
        <f t="shared" si="5"/>
        <v>1</v>
      </c>
    </row>
    <row r="12" spans="1:29" s="1201" customFormat="1" ht="15">
      <c r="A12" s="2630"/>
      <c r="B12" s="2636">
        <v>111</v>
      </c>
      <c r="C12" s="520"/>
      <c r="D12" s="530">
        <v>100</v>
      </c>
      <c r="E12" s="531"/>
      <c r="F12" s="251">
        <f>SUMIF(70:70,E12,71:71)-SUMIF(70:70,C12,71:71)+100</f>
        <v>100</v>
      </c>
      <c r="G12" s="899"/>
      <c r="H12" s="251">
        <f>SUMIF(70:70,G12,71:71)-SUMIF(70:70,C12,71:71)+100</f>
        <v>100</v>
      </c>
      <c r="I12" s="531"/>
      <c r="J12" s="251">
        <f>SUMIF(70:70,I12,71:71)-SUMIF(70:70,C12,71:71)+100</f>
        <v>100</v>
      </c>
      <c r="K12" s="573"/>
      <c r="L12" s="2013"/>
      <c r="M12" s="2014"/>
      <c r="N12" s="2014"/>
      <c r="O12" s="2015"/>
      <c r="P12" s="3772"/>
      <c r="Q12" s="1132">
        <f t="shared" si="6"/>
        <v>111</v>
      </c>
      <c r="R12" s="1499" t="s">
        <v>8</v>
      </c>
      <c r="S12" s="1500">
        <f t="shared" si="0"/>
        <v>100</v>
      </c>
      <c r="T12" s="1499" t="s">
        <v>8</v>
      </c>
      <c r="U12" s="1500">
        <f t="shared" si="1"/>
        <v>100</v>
      </c>
      <c r="V12" s="1499" t="s">
        <v>8</v>
      </c>
      <c r="W12" s="1500">
        <f t="shared" si="2"/>
        <v>100</v>
      </c>
      <c r="X12" s="1501"/>
      <c r="Y12" s="3675"/>
      <c r="Z12" s="1131">
        <f t="shared" si="7"/>
        <v>111</v>
      </c>
      <c r="AA12" s="1502">
        <f>D12/F12</f>
        <v>1</v>
      </c>
      <c r="AB12" s="1502">
        <f>D12/H12</f>
        <v>1</v>
      </c>
      <c r="AC12" s="1502">
        <f>D12/J12</f>
        <v>1</v>
      </c>
    </row>
    <row r="13" spans="1:29" ht="15">
      <c r="A13" s="2630"/>
      <c r="B13" s="2636">
        <v>111</v>
      </c>
      <c r="C13" s="531"/>
      <c r="D13" s="532">
        <v>100</v>
      </c>
      <c r="E13" s="531"/>
      <c r="F13" s="251">
        <f>SUMIF(72:72,E13,73:73)-SUMIF(72:72,C13,73:73)+100</f>
        <v>100</v>
      </c>
      <c r="G13" s="899"/>
      <c r="H13" s="532">
        <f>SUMIF(72:72,G13,73:73)-SUMIF(72:72,C13,73:73)+100</f>
        <v>100</v>
      </c>
      <c r="I13" s="531"/>
      <c r="J13" s="532">
        <f>SUMIF(72:72,I13,73:73)-SUMIF(72:72,C13,73:73)+100</f>
        <v>100</v>
      </c>
      <c r="K13" s="573"/>
      <c r="L13" s="2020"/>
      <c r="M13" s="2012"/>
      <c r="N13" s="2012"/>
      <c r="O13" s="2019"/>
      <c r="P13" s="3772"/>
      <c r="Q13" s="1132">
        <f t="shared" si="6"/>
        <v>111</v>
      </c>
      <c r="R13" s="1499" t="s">
        <v>8</v>
      </c>
      <c r="S13" s="1500">
        <f t="shared" si="0"/>
        <v>100</v>
      </c>
      <c r="T13" s="1499" t="s">
        <v>8</v>
      </c>
      <c r="U13" s="1500">
        <f t="shared" si="1"/>
        <v>100</v>
      </c>
      <c r="V13" s="1499" t="s">
        <v>8</v>
      </c>
      <c r="W13" s="1500">
        <f t="shared" si="2"/>
        <v>100</v>
      </c>
      <c r="X13" s="1501"/>
      <c r="Y13" s="3675"/>
      <c r="Z13" s="1131">
        <f t="shared" si="7"/>
        <v>111</v>
      </c>
      <c r="AA13" s="1502">
        <f t="shared" si="3"/>
        <v>1</v>
      </c>
      <c r="AB13" s="1502">
        <f t="shared" si="4"/>
        <v>1</v>
      </c>
      <c r="AC13" s="1502">
        <f t="shared" si="5"/>
        <v>1</v>
      </c>
    </row>
    <row r="14" spans="1:29" ht="15.75" thickBot="1">
      <c r="A14" s="2631"/>
      <c r="B14" s="2637">
        <v>111</v>
      </c>
      <c r="C14" s="537"/>
      <c r="D14" s="538">
        <v>100</v>
      </c>
      <c r="E14" s="537"/>
      <c r="F14" s="538">
        <f>SUMIF(74:74,E14,75:75)-SUMIF(74:74,C14,75:75)+100</f>
        <v>100</v>
      </c>
      <c r="G14" s="899"/>
      <c r="H14" s="538">
        <f>SUMIF(74:74,G14,75:75)-SUMIF(74:74,C14,75:75)+100</f>
        <v>100</v>
      </c>
      <c r="I14" s="531"/>
      <c r="J14" s="538">
        <f>SUMIF(74:74,I14,75:75)-SUMIF(74:74,C14,75:75)+100</f>
        <v>100</v>
      </c>
      <c r="K14" s="573"/>
      <c r="L14" s="2020"/>
      <c r="M14" s="2012"/>
      <c r="N14" s="2012"/>
      <c r="O14" s="2019"/>
      <c r="P14" s="3772"/>
      <c r="Q14" s="1132">
        <f t="shared" si="6"/>
        <v>111</v>
      </c>
      <c r="R14" s="1499" t="s">
        <v>8</v>
      </c>
      <c r="S14" s="1500">
        <f t="shared" si="0"/>
        <v>100</v>
      </c>
      <c r="T14" s="1499" t="s">
        <v>8</v>
      </c>
      <c r="U14" s="1500">
        <f t="shared" si="1"/>
        <v>100</v>
      </c>
      <c r="V14" s="1499" t="s">
        <v>8</v>
      </c>
      <c r="W14" s="1500">
        <f t="shared" si="2"/>
        <v>100</v>
      </c>
      <c r="X14" s="1501"/>
      <c r="Y14" s="3675"/>
      <c r="Z14" s="1131">
        <f t="shared" si="7"/>
        <v>111</v>
      </c>
      <c r="AA14" s="1502">
        <f t="shared" si="3"/>
        <v>1</v>
      </c>
      <c r="AB14" s="1502">
        <f t="shared" si="4"/>
        <v>1</v>
      </c>
      <c r="AC14" s="1502">
        <f t="shared" si="5"/>
        <v>1</v>
      </c>
    </row>
    <row r="15" spans="1:29" ht="42.75">
      <c r="A15" s="2623" t="s">
        <v>2733</v>
      </c>
      <c r="B15" s="162" t="s">
        <v>535</v>
      </c>
      <c r="C15" s="854" t="str">
        <f>估价对象房地状况!C4</f>
        <v>安泰购购物中心 1.2，商业繁华度一般</v>
      </c>
      <c r="D15" s="541">
        <v>100</v>
      </c>
      <c r="E15" s="542"/>
      <c r="F15" s="543">
        <f>SUMIF(76:76,E16,77:77)-SUMIF(76:76,C16,77:77)+100</f>
        <v>95</v>
      </c>
      <c r="G15" s="544"/>
      <c r="H15" s="541">
        <f>SUMIF(76:76,G16,77:77)-SUMIF(76:76,C16,77:77)+100</f>
        <v>95</v>
      </c>
      <c r="I15" s="542"/>
      <c r="J15" s="541">
        <f>SUMIF(76:76,I16,77:77)-SUMIF(76:76,C16,77:77)+100</f>
        <v>95</v>
      </c>
      <c r="K15" s="885">
        <v>5</v>
      </c>
      <c r="L15" s="2020"/>
      <c r="M15" s="2012"/>
      <c r="N15" s="2012"/>
      <c r="O15" s="2019"/>
      <c r="P15" s="3774" t="s">
        <v>534</v>
      </c>
      <c r="Q15" s="1503" t="str">
        <f t="shared" si="6"/>
        <v>商业繁华度</v>
      </c>
      <c r="R15" s="1504" t="s">
        <v>8</v>
      </c>
      <c r="S15" s="1505">
        <f t="shared" si="0"/>
        <v>95</v>
      </c>
      <c r="T15" s="1504" t="s">
        <v>8</v>
      </c>
      <c r="U15" s="1505">
        <f t="shared" si="1"/>
        <v>95</v>
      </c>
      <c r="V15" s="1504" t="s">
        <v>8</v>
      </c>
      <c r="W15" s="1505">
        <f t="shared" si="2"/>
        <v>95</v>
      </c>
      <c r="X15" s="1498"/>
      <c r="Y15" s="3774" t="s">
        <v>534</v>
      </c>
      <c r="Z15" s="1506" t="str">
        <f t="shared" si="7"/>
        <v>商业繁华度</v>
      </c>
      <c r="AA15" s="1507">
        <f t="shared" si="3"/>
        <v>1.0526315789473684</v>
      </c>
      <c r="AB15" s="1507">
        <f t="shared" si="4"/>
        <v>1.0526315789473684</v>
      </c>
      <c r="AC15" s="1507">
        <f t="shared" si="5"/>
        <v>1.0526315789473684</v>
      </c>
    </row>
    <row r="16" spans="1:29" ht="15">
      <c r="A16" s="524"/>
      <c r="B16" s="856"/>
      <c r="C16" s="568" t="s">
        <v>3042</v>
      </c>
      <c r="D16" s="547"/>
      <c r="E16" s="568" t="s">
        <v>3040</v>
      </c>
      <c r="F16" s="549"/>
      <c r="G16" s="568" t="s">
        <v>3040</v>
      </c>
      <c r="H16" s="551"/>
      <c r="I16" s="568" t="s">
        <v>3040</v>
      </c>
      <c r="J16" s="547"/>
      <c r="K16" s="886"/>
      <c r="L16" s="2020"/>
      <c r="M16" s="2012"/>
      <c r="N16" s="2012"/>
      <c r="O16" s="2019"/>
      <c r="P16" s="3775"/>
      <c r="Q16" s="1503"/>
      <c r="R16" s="1504"/>
      <c r="S16" s="1505"/>
      <c r="T16" s="1504"/>
      <c r="U16" s="1505"/>
      <c r="V16" s="1504"/>
      <c r="W16" s="1505"/>
      <c r="X16" s="1498"/>
      <c r="Y16" s="3775"/>
      <c r="Z16" s="1506"/>
      <c r="AA16" s="1507">
        <v>1</v>
      </c>
      <c r="AB16" s="1507">
        <v>1</v>
      </c>
      <c r="AC16" s="1507">
        <v>1</v>
      </c>
    </row>
    <row r="17" spans="1:29" ht="171">
      <c r="A17" s="524"/>
      <c r="B17" s="858" t="s">
        <v>296</v>
      </c>
      <c r="C17" s="859" t="str">
        <f>估价对象房地状况!C6</f>
        <v>紧邻地铁16号线（西北旺站），周边有333路、384路、438路、570路、575路、623路、902路、908路、909路、快速直达专线152路、专143路等多条公交线路，交通便捷度好</v>
      </c>
      <c r="D17" s="551">
        <v>100</v>
      </c>
      <c r="E17" s="554"/>
      <c r="F17" s="555">
        <f>SUMIF(78:78,E18,79:79)-SUMIF(78:78,C18,79:79)+100</f>
        <v>95</v>
      </c>
      <c r="G17" s="556"/>
      <c r="H17" s="557">
        <f>SUMIF(78:78,G18,79:79)-SUMIF(78:78,C18,79:79)+100</f>
        <v>100</v>
      </c>
      <c r="I17" s="554"/>
      <c r="J17" s="557">
        <f>SUMIF(78:78,I18,79:79)-SUMIF(78:78,C18,79:79)+100</f>
        <v>95</v>
      </c>
      <c r="K17" s="885">
        <v>5</v>
      </c>
      <c r="L17" s="2020"/>
      <c r="M17" s="2012"/>
      <c r="N17" s="2012"/>
      <c r="O17" s="2019"/>
      <c r="P17" s="3775"/>
      <c r="Q17" s="1503" t="str">
        <f>B17</f>
        <v>交通便捷度</v>
      </c>
      <c r="R17" s="1504" t="s">
        <v>8</v>
      </c>
      <c r="S17" s="1505">
        <f>F17</f>
        <v>95</v>
      </c>
      <c r="T17" s="1504" t="s">
        <v>8</v>
      </c>
      <c r="U17" s="1505">
        <f>H17</f>
        <v>100</v>
      </c>
      <c r="V17" s="1504" t="s">
        <v>8</v>
      </c>
      <c r="W17" s="1505">
        <f>J17</f>
        <v>95</v>
      </c>
      <c r="X17" s="1498"/>
      <c r="Y17" s="3775"/>
      <c r="Z17" s="1506" t="str">
        <f>Q17</f>
        <v>交通便捷度</v>
      </c>
      <c r="AA17" s="1507">
        <f t="shared" si="3"/>
        <v>1.0526315789473684</v>
      </c>
      <c r="AB17" s="1507">
        <f t="shared" si="4"/>
        <v>1</v>
      </c>
      <c r="AC17" s="1507">
        <f t="shared" si="5"/>
        <v>1.0526315789473684</v>
      </c>
    </row>
    <row r="18" spans="1:29" ht="15">
      <c r="A18" s="524"/>
      <c r="B18" s="587"/>
      <c r="C18" s="860" t="s">
        <v>3042</v>
      </c>
      <c r="D18" s="551"/>
      <c r="E18" s="560" t="s">
        <v>3040</v>
      </c>
      <c r="F18" s="555"/>
      <c r="G18" s="561" t="s">
        <v>3042</v>
      </c>
      <c r="H18" s="547"/>
      <c r="I18" s="560" t="s">
        <v>3040</v>
      </c>
      <c r="J18" s="547"/>
      <c r="K18" s="886"/>
      <c r="L18" s="2020"/>
      <c r="M18" s="2012"/>
      <c r="N18" s="2012"/>
      <c r="O18" s="2019"/>
      <c r="P18" s="3775"/>
      <c r="Q18" s="1503"/>
      <c r="R18" s="1504"/>
      <c r="S18" s="1505"/>
      <c r="T18" s="1504"/>
      <c r="U18" s="1505"/>
      <c r="V18" s="1504"/>
      <c r="W18" s="1505"/>
      <c r="X18" s="1498"/>
      <c r="Y18" s="3775"/>
      <c r="Z18" s="1506"/>
      <c r="AA18" s="1507">
        <v>1</v>
      </c>
      <c r="AB18" s="1507">
        <v>1</v>
      </c>
      <c r="AC18" s="1507">
        <v>1</v>
      </c>
    </row>
    <row r="19" spans="1:29" ht="299.25">
      <c r="A19" s="524"/>
      <c r="B19" s="2440" t="s">
        <v>2527</v>
      </c>
      <c r="C19" s="859"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562"/>
      <c r="F19" s="563">
        <f>SUMIF(80:80,E20,81:81)-SUMIF(80:80,C20,81:81)+100</f>
        <v>100</v>
      </c>
      <c r="G19" s="564"/>
      <c r="H19" s="551">
        <f>SUMIF(80:80,G20,81:81)-SUMIF(80:80,C20,81:81)+100</f>
        <v>100</v>
      </c>
      <c r="I19" s="562"/>
      <c r="J19" s="551">
        <f>SUMIF(80:80,I20,81:81)-SUMIF(80:80,C20,81:81)+100</f>
        <v>100</v>
      </c>
      <c r="K19" s="885"/>
      <c r="L19" s="2020"/>
      <c r="M19" s="2012"/>
      <c r="N19" s="2012"/>
      <c r="O19" s="2019"/>
      <c r="P19" s="3775"/>
      <c r="Q19" s="1503" t="str">
        <f>B19</f>
        <v>公共配套设施</v>
      </c>
      <c r="R19" s="1504" t="s">
        <v>8</v>
      </c>
      <c r="S19" s="1505">
        <f>F19</f>
        <v>100</v>
      </c>
      <c r="T19" s="1504" t="s">
        <v>8</v>
      </c>
      <c r="U19" s="1505">
        <f>H19</f>
        <v>100</v>
      </c>
      <c r="V19" s="1504" t="s">
        <v>8</v>
      </c>
      <c r="W19" s="1505">
        <f>J19</f>
        <v>100</v>
      </c>
      <c r="X19" s="1498"/>
      <c r="Y19" s="3775"/>
      <c r="Z19" s="1506" t="str">
        <f>Q19</f>
        <v>公共配套设施</v>
      </c>
      <c r="AA19" s="1507">
        <f t="shared" si="3"/>
        <v>1</v>
      </c>
      <c r="AB19" s="1507">
        <f t="shared" si="4"/>
        <v>1</v>
      </c>
      <c r="AC19" s="1507">
        <f t="shared" si="5"/>
        <v>1</v>
      </c>
    </row>
    <row r="20" spans="1:29" ht="15">
      <c r="A20" s="524"/>
      <c r="B20" s="587"/>
      <c r="C20" s="568" t="s">
        <v>3042</v>
      </c>
      <c r="D20" s="547"/>
      <c r="E20" s="548" t="s">
        <v>3042</v>
      </c>
      <c r="F20" s="549"/>
      <c r="G20" s="550" t="s">
        <v>3042</v>
      </c>
      <c r="H20" s="547"/>
      <c r="I20" s="548" t="s">
        <v>3042</v>
      </c>
      <c r="J20" s="547"/>
      <c r="K20" s="886"/>
      <c r="L20" s="2020"/>
      <c r="M20" s="2012"/>
      <c r="N20" s="2012"/>
      <c r="O20" s="2019"/>
      <c r="P20" s="3775"/>
      <c r="Q20" s="1503"/>
      <c r="R20" s="1504"/>
      <c r="S20" s="1505"/>
      <c r="T20" s="1504"/>
      <c r="U20" s="1505"/>
      <c r="V20" s="1504"/>
      <c r="W20" s="1505"/>
      <c r="X20" s="1498"/>
      <c r="Y20" s="3775"/>
      <c r="Z20" s="1506"/>
      <c r="AA20" s="1507">
        <v>1</v>
      </c>
      <c r="AB20" s="1507">
        <v>1</v>
      </c>
      <c r="AC20" s="1507">
        <v>1</v>
      </c>
    </row>
    <row r="21" spans="1:29" ht="15">
      <c r="A21" s="524"/>
      <c r="B21" s="2433" t="s">
        <v>2539</v>
      </c>
      <c r="C21" s="859" t="str">
        <f>估价对象房地状况!C8</f>
        <v>七通</v>
      </c>
      <c r="D21" s="557">
        <v>100</v>
      </c>
      <c r="E21" s="564"/>
      <c r="F21" s="563">
        <f>SUMIF(82:82,E22,83:83)-SUMIF(82:82,C22,83:83)+100</f>
        <v>100</v>
      </c>
      <c r="G21" s="564"/>
      <c r="H21" s="557">
        <f>SUMIF(82:82,G22,83:83)-SUMIF(82:82,C22,83:83)+100</f>
        <v>100</v>
      </c>
      <c r="I21" s="562"/>
      <c r="J21" s="557">
        <f>SUMIF(82:82,I22,83:83)-SUMIF(82:82,C22,83:83)+100</f>
        <v>100</v>
      </c>
      <c r="K21" s="885"/>
      <c r="L21" s="2020"/>
      <c r="M21" s="2012"/>
      <c r="N21" s="2012"/>
      <c r="O21" s="2019"/>
      <c r="P21" s="3775"/>
      <c r="Q21" s="2425" t="str">
        <f>B21</f>
        <v>基础设施水平</v>
      </c>
      <c r="R21" s="1504" t="s">
        <v>8</v>
      </c>
      <c r="S21" s="1505">
        <f>F21</f>
        <v>100</v>
      </c>
      <c r="T21" s="1504" t="s">
        <v>8</v>
      </c>
      <c r="U21" s="1505">
        <f>H21</f>
        <v>100</v>
      </c>
      <c r="V21" s="1504" t="s">
        <v>8</v>
      </c>
      <c r="W21" s="1505">
        <f>J21</f>
        <v>100</v>
      </c>
      <c r="X21" s="2427"/>
      <c r="Y21" s="3775"/>
      <c r="Z21" s="2426" t="str">
        <f>Q21</f>
        <v>基础设施水平</v>
      </c>
      <c r="AA21" s="1507">
        <f t="shared" ref="AA21" si="8">D21/F21</f>
        <v>1</v>
      </c>
      <c r="AB21" s="1507">
        <f t="shared" ref="AB21" si="9">D21/H21</f>
        <v>1</v>
      </c>
      <c r="AC21" s="1507">
        <f t="shared" ref="AC21" si="10">D21/J21</f>
        <v>1</v>
      </c>
    </row>
    <row r="22" spans="1:29" ht="15">
      <c r="A22" s="524"/>
      <c r="B22" s="909"/>
      <c r="C22" s="860" t="s">
        <v>3027</v>
      </c>
      <c r="D22" s="547"/>
      <c r="E22" s="568" t="s">
        <v>3027</v>
      </c>
      <c r="F22" s="549"/>
      <c r="G22" s="568" t="s">
        <v>3027</v>
      </c>
      <c r="H22" s="547"/>
      <c r="I22" s="568" t="s">
        <v>3027</v>
      </c>
      <c r="J22" s="547"/>
      <c r="K22" s="2442"/>
      <c r="L22" s="2020"/>
      <c r="M22" s="2012"/>
      <c r="N22" s="2012"/>
      <c r="O22" s="2019"/>
      <c r="P22" s="3775"/>
      <c r="Q22" s="2425"/>
      <c r="R22" s="1504"/>
      <c r="S22" s="1505"/>
      <c r="T22" s="1504"/>
      <c r="U22" s="1505"/>
      <c r="V22" s="1504"/>
      <c r="W22" s="1505"/>
      <c r="X22" s="2427"/>
      <c r="Y22" s="3775"/>
      <c r="Z22" s="2426"/>
      <c r="AA22" s="1507">
        <v>1</v>
      </c>
      <c r="AB22" s="1507">
        <v>1</v>
      </c>
      <c r="AC22" s="1507">
        <v>1</v>
      </c>
    </row>
    <row r="23" spans="1:29" ht="156.75">
      <c r="A23" s="524"/>
      <c r="B23" s="858" t="s">
        <v>297</v>
      </c>
      <c r="C23" s="887" t="str">
        <f>估价对象房地状况!C9</f>
        <v>区域自然环境：百望山、药用植物园、百旺公园、首师大附中口袋公园、中关村公园、小关村公园、京密引水渠等；人文环境：西北旺镇政府；综合评价环境状况较好</v>
      </c>
      <c r="D23" s="551">
        <v>100</v>
      </c>
      <c r="E23" s="554"/>
      <c r="F23" s="555">
        <f>SUMIF(84:84,E24,85:85)-SUMIF(84:84,C24,85:85)+100</f>
        <v>98</v>
      </c>
      <c r="G23" s="556"/>
      <c r="H23" s="551">
        <f>SUMIF(84:84,G24,85:85)-SUMIF(84:84,C24,85:85)+100</f>
        <v>96</v>
      </c>
      <c r="I23" s="554"/>
      <c r="J23" s="551">
        <f>SUMIF(84:84,I24,85:85)-SUMIF(84:84,C24,85:85)+100</f>
        <v>98</v>
      </c>
      <c r="K23" s="885">
        <v>2</v>
      </c>
      <c r="L23" s="2020"/>
      <c r="M23" s="2012"/>
      <c r="N23" s="2012"/>
      <c r="O23" s="2019"/>
      <c r="P23" s="3775"/>
      <c r="Q23" s="1503" t="str">
        <f>B23</f>
        <v>自然及人文环境</v>
      </c>
      <c r="R23" s="1504" t="s">
        <v>8</v>
      </c>
      <c r="S23" s="1505">
        <f>F23</f>
        <v>98</v>
      </c>
      <c r="T23" s="1504" t="s">
        <v>8</v>
      </c>
      <c r="U23" s="1505">
        <f>H23</f>
        <v>96</v>
      </c>
      <c r="V23" s="1504" t="s">
        <v>8</v>
      </c>
      <c r="W23" s="1505">
        <f>J23</f>
        <v>98</v>
      </c>
      <c r="X23" s="1498"/>
      <c r="Y23" s="3775"/>
      <c r="Z23" s="1506" t="str">
        <f>Q23</f>
        <v>自然及人文环境</v>
      </c>
      <c r="AA23" s="1507">
        <f t="shared" si="3"/>
        <v>1.0204081632653061</v>
      </c>
      <c r="AB23" s="1507">
        <f t="shared" si="4"/>
        <v>1.0416666666666667</v>
      </c>
      <c r="AC23" s="1507">
        <f t="shared" si="5"/>
        <v>1.0204081632653061</v>
      </c>
    </row>
    <row r="24" spans="1:29" ht="16.5">
      <c r="A24" s="524"/>
      <c r="B24" s="587"/>
      <c r="C24" s="568" t="s">
        <v>3041</v>
      </c>
      <c r="D24" s="547"/>
      <c r="E24" s="548" t="s">
        <v>3042</v>
      </c>
      <c r="F24" s="549"/>
      <c r="G24" s="550" t="s">
        <v>3040</v>
      </c>
      <c r="H24" s="547"/>
      <c r="I24" s="3333" t="s">
        <v>3112</v>
      </c>
      <c r="J24" s="547"/>
      <c r="K24" s="886"/>
      <c r="L24" s="2020"/>
      <c r="M24" s="2012"/>
      <c r="N24" s="2012"/>
      <c r="O24" s="2019"/>
      <c r="P24" s="3775"/>
      <c r="Q24" s="1503"/>
      <c r="R24" s="1504"/>
      <c r="S24" s="1505"/>
      <c r="T24" s="1504"/>
      <c r="U24" s="1505"/>
      <c r="V24" s="1504"/>
      <c r="W24" s="1505"/>
      <c r="X24" s="1498"/>
      <c r="Y24" s="3775"/>
      <c r="Z24" s="1506"/>
      <c r="AA24" s="1507">
        <v>1</v>
      </c>
      <c r="AB24" s="1507">
        <v>1</v>
      </c>
      <c r="AC24" s="1507">
        <v>1</v>
      </c>
    </row>
    <row r="25" spans="1:29" ht="15">
      <c r="A25" s="524"/>
      <c r="B25" s="519" t="s">
        <v>541</v>
      </c>
      <c r="C25" s="575" t="s">
        <v>3107</v>
      </c>
      <c r="D25" s="532">
        <v>100</v>
      </c>
      <c r="E25" s="575" t="s">
        <v>3107</v>
      </c>
      <c r="F25" s="567">
        <f>SUMIF(86:86,E25,87:87)-SUMIF(86:86,C25,87:87)+100</f>
        <v>100</v>
      </c>
      <c r="G25" s="575" t="s">
        <v>3107</v>
      </c>
      <c r="H25" s="532">
        <f>SUMIF(86:86,G25,87:87)-SUMIF(86:86,C25,87:87)+100</f>
        <v>100</v>
      </c>
      <c r="I25" s="575" t="s">
        <v>3107</v>
      </c>
      <c r="J25" s="532">
        <f>SUMIF(86:86,I25,87:87)-SUMIF(86:86,C25,87:87)+100</f>
        <v>100</v>
      </c>
      <c r="K25" s="576"/>
      <c r="L25" s="2020"/>
      <c r="M25" s="2012"/>
      <c r="N25" s="2012"/>
      <c r="O25" s="2019"/>
      <c r="P25" s="3775"/>
      <c r="Q25" s="1503" t="str">
        <f t="shared" ref="Q25:Q46" si="11">B25</f>
        <v>临街状况</v>
      </c>
      <c r="R25" s="1504" t="s">
        <v>8</v>
      </c>
      <c r="S25" s="1505">
        <f>F25</f>
        <v>100</v>
      </c>
      <c r="T25" s="1504" t="s">
        <v>8</v>
      </c>
      <c r="U25" s="1505">
        <f>H25</f>
        <v>100</v>
      </c>
      <c r="V25" s="1504" t="s">
        <v>8</v>
      </c>
      <c r="W25" s="1505">
        <f>J25</f>
        <v>100</v>
      </c>
      <c r="X25" s="1498"/>
      <c r="Y25" s="3775"/>
      <c r="Z25" s="1506" t="str">
        <f>Q25</f>
        <v>临街状况</v>
      </c>
      <c r="AA25" s="1507">
        <f t="shared" si="3"/>
        <v>1</v>
      </c>
      <c r="AB25" s="1507">
        <f t="shared" si="4"/>
        <v>1</v>
      </c>
      <c r="AC25" s="1507">
        <f t="shared" si="5"/>
        <v>1</v>
      </c>
    </row>
    <row r="26" spans="1:29" ht="15">
      <c r="A26" s="524"/>
      <c r="B26" s="864" t="s">
        <v>752</v>
      </c>
      <c r="C26" s="3335" t="s">
        <v>3142</v>
      </c>
      <c r="D26" s="532">
        <v>100</v>
      </c>
      <c r="E26" s="3335" t="s">
        <v>3143</v>
      </c>
      <c r="F26" s="567">
        <f>SUMIF(88:88,E26,89:89)-SUMIF(88:88,C26,89:89)+100</f>
        <v>98</v>
      </c>
      <c r="G26" s="3335" t="s">
        <v>3143</v>
      </c>
      <c r="H26" s="532">
        <f>SUMIF(88:88,G26,89:89)-SUMIF(88:88,C26,89:89)+100</f>
        <v>98</v>
      </c>
      <c r="I26" s="3335" t="s">
        <v>3143</v>
      </c>
      <c r="J26" s="532">
        <f>SUMIF(88:88,I26,89:89)-SUMIF(88:88,C26,89:89)+100</f>
        <v>98</v>
      </c>
      <c r="K26" s="573"/>
      <c r="L26" s="2020"/>
      <c r="M26" s="2012"/>
      <c r="N26" s="2012"/>
      <c r="O26" s="2019"/>
      <c r="P26" s="3775"/>
      <c r="Q26" s="1503" t="str">
        <f t="shared" si="11"/>
        <v>平面位置/可视性</v>
      </c>
      <c r="R26" s="1504" t="s">
        <v>8</v>
      </c>
      <c r="S26" s="1505">
        <f>F26</f>
        <v>98</v>
      </c>
      <c r="T26" s="1504" t="s">
        <v>8</v>
      </c>
      <c r="U26" s="1505">
        <f>H26</f>
        <v>98</v>
      </c>
      <c r="V26" s="1504" t="s">
        <v>8</v>
      </c>
      <c r="W26" s="1505">
        <f>J26</f>
        <v>98</v>
      </c>
      <c r="X26" s="1498"/>
      <c r="Y26" s="3775"/>
      <c r="Z26" s="1506" t="str">
        <f>Q26</f>
        <v>平面位置/可视性</v>
      </c>
      <c r="AA26" s="1507">
        <f t="shared" si="3"/>
        <v>1.0204081632653061</v>
      </c>
      <c r="AB26" s="1507">
        <f t="shared" si="4"/>
        <v>1.0204081632653061</v>
      </c>
      <c r="AC26" s="1507">
        <f t="shared" si="5"/>
        <v>1.0204081632653061</v>
      </c>
    </row>
    <row r="27" spans="1:29" s="1201" customFormat="1" ht="15">
      <c r="A27" s="528"/>
      <c r="B27" s="858" t="s">
        <v>753</v>
      </c>
      <c r="C27" s="888" t="s">
        <v>3101</v>
      </c>
      <c r="D27" s="862">
        <v>100</v>
      </c>
      <c r="E27" s="888" t="s">
        <v>3101</v>
      </c>
      <c r="F27" s="863">
        <f>SUMIF(90:90,E27,91:91)-SUMIF(90:90,C27,91:91)+100</f>
        <v>100</v>
      </c>
      <c r="G27" s="888" t="s">
        <v>3101</v>
      </c>
      <c r="H27" s="862">
        <f>SUMIF(90:90,G27,91:91)-SUMIF(90:90,C27,91:91)+100</f>
        <v>100</v>
      </c>
      <c r="I27" s="888" t="s">
        <v>3101</v>
      </c>
      <c r="J27" s="862">
        <f>SUMIF(90:90,I27,91:91)-SUMIF(90:90,C27,91:91)+100</f>
        <v>100</v>
      </c>
      <c r="K27" s="576"/>
      <c r="L27" s="2013"/>
      <c r="M27" s="2014"/>
      <c r="N27" s="2014"/>
      <c r="O27" s="2015"/>
      <c r="P27" s="3775"/>
      <c r="Q27" s="1132" t="str">
        <f t="shared" si="11"/>
        <v>人流量</v>
      </c>
      <c r="R27" s="1499" t="s">
        <v>8</v>
      </c>
      <c r="S27" s="1500">
        <f>F27</f>
        <v>100</v>
      </c>
      <c r="T27" s="1499" t="s">
        <v>8</v>
      </c>
      <c r="U27" s="1500">
        <f>H27</f>
        <v>100</v>
      </c>
      <c r="V27" s="1499" t="s">
        <v>8</v>
      </c>
      <c r="W27" s="1500">
        <f>J27</f>
        <v>100</v>
      </c>
      <c r="X27" s="1501"/>
      <c r="Y27" s="3775"/>
      <c r="Z27" s="1131" t="str">
        <f>Q27</f>
        <v>人流量</v>
      </c>
      <c r="AA27" s="1507">
        <f>D27/F27</f>
        <v>1</v>
      </c>
      <c r="AB27" s="1507">
        <f>D27/H27</f>
        <v>1</v>
      </c>
      <c r="AC27" s="1507">
        <f>D27/J27</f>
        <v>1</v>
      </c>
    </row>
    <row r="28" spans="1:29" ht="15">
      <c r="A28" s="524"/>
      <c r="B28" s="519" t="s">
        <v>755</v>
      </c>
      <c r="C28" s="575"/>
      <c r="D28" s="532">
        <v>100</v>
      </c>
      <c r="E28" s="575"/>
      <c r="F28" s="567">
        <f>SUMIF(92:92,E28,93:93)-SUMIF(92:92,C28,93:93)+100</f>
        <v>100</v>
      </c>
      <c r="G28" s="575"/>
      <c r="H28" s="532">
        <f>SUMIF(92:92,G28,93:93)-SUMIF(92:92,C28,93:93)+100</f>
        <v>100</v>
      </c>
      <c r="I28" s="575"/>
      <c r="J28" s="532">
        <f>SUMIF(92:92,I28,93:93)-SUMIF(92:92,C28,93:93)+100</f>
        <v>100</v>
      </c>
      <c r="K28" s="573"/>
      <c r="L28" s="2020"/>
      <c r="M28" s="2012"/>
      <c r="N28" s="2012"/>
      <c r="O28" s="2019"/>
      <c r="P28" s="3775"/>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775"/>
      <c r="Z28" s="1506" t="str">
        <f t="shared" ref="Z28:Z46" si="15">Q28</f>
        <v>楼层</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0"/>
      <c r="M29" s="2012"/>
      <c r="N29" s="2012"/>
      <c r="O29" s="2019"/>
      <c r="P29" s="3775"/>
      <c r="Q29" s="1503">
        <f t="shared" si="11"/>
        <v>111</v>
      </c>
      <c r="R29" s="1504" t="s">
        <v>8</v>
      </c>
      <c r="S29" s="1505">
        <f t="shared" si="12"/>
        <v>100</v>
      </c>
      <c r="T29" s="1504" t="s">
        <v>8</v>
      </c>
      <c r="U29" s="1505">
        <f t="shared" si="13"/>
        <v>100</v>
      </c>
      <c r="V29" s="1504" t="s">
        <v>8</v>
      </c>
      <c r="W29" s="1505">
        <f t="shared" si="14"/>
        <v>100</v>
      </c>
      <c r="X29" s="1498"/>
      <c r="Y29" s="3775"/>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0"/>
      <c r="M30" s="2012"/>
      <c r="N30" s="2012"/>
      <c r="O30" s="2019"/>
      <c r="P30" s="3775"/>
      <c r="Q30" s="1503">
        <f t="shared" si="11"/>
        <v>111</v>
      </c>
      <c r="R30" s="1504" t="s">
        <v>8</v>
      </c>
      <c r="S30" s="1505">
        <f t="shared" si="12"/>
        <v>100</v>
      </c>
      <c r="T30" s="1504" t="s">
        <v>8</v>
      </c>
      <c r="U30" s="1505">
        <f t="shared" si="13"/>
        <v>100</v>
      </c>
      <c r="V30" s="1504" t="s">
        <v>8</v>
      </c>
      <c r="W30" s="1505">
        <f t="shared" si="14"/>
        <v>100</v>
      </c>
      <c r="X30" s="1498"/>
      <c r="Y30" s="3775"/>
      <c r="Z30" s="1506">
        <f t="shared" si="15"/>
        <v>111</v>
      </c>
      <c r="AA30" s="1507">
        <f t="shared" si="3"/>
        <v>1</v>
      </c>
      <c r="AB30" s="1507">
        <f t="shared" si="4"/>
        <v>1</v>
      </c>
      <c r="AC30" s="1507">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0"/>
      <c r="M31" s="2012"/>
      <c r="N31" s="2012"/>
      <c r="O31" s="2019"/>
      <c r="P31" s="3775"/>
      <c r="Q31" s="1503">
        <f t="shared" si="11"/>
        <v>111</v>
      </c>
      <c r="R31" s="1504" t="s">
        <v>8</v>
      </c>
      <c r="S31" s="1505">
        <f t="shared" si="12"/>
        <v>100</v>
      </c>
      <c r="T31" s="1504" t="s">
        <v>8</v>
      </c>
      <c r="U31" s="1505">
        <f t="shared" si="13"/>
        <v>100</v>
      </c>
      <c r="V31" s="1504" t="s">
        <v>8</v>
      </c>
      <c r="W31" s="1505">
        <f t="shared" si="14"/>
        <v>100</v>
      </c>
      <c r="X31" s="1498"/>
      <c r="Y31" s="3775"/>
      <c r="Z31" s="1506">
        <f t="shared" si="15"/>
        <v>111</v>
      </c>
      <c r="AA31" s="1507">
        <f t="shared" si="3"/>
        <v>1</v>
      </c>
      <c r="AB31" s="1507">
        <f t="shared" si="4"/>
        <v>1</v>
      </c>
      <c r="AC31" s="1507">
        <f t="shared" si="5"/>
        <v>1</v>
      </c>
    </row>
    <row r="32" spans="1:29" ht="15">
      <c r="A32" s="2620" t="s">
        <v>2734</v>
      </c>
      <c r="B32" s="168" t="s">
        <v>756</v>
      </c>
      <c r="C32" s="865" t="s">
        <v>3710</v>
      </c>
      <c r="D32" s="589">
        <v>100</v>
      </c>
      <c r="E32" s="865" t="s">
        <v>3121</v>
      </c>
      <c r="F32" s="567">
        <f>SUMIF(100:100,E32,101:101)-SUMIF(100:100,C32,101:101)+100</f>
        <v>104</v>
      </c>
      <c r="G32" s="865" t="s">
        <v>3121</v>
      </c>
      <c r="H32" s="532">
        <f>SUMIF(100:100,G32,101:101)-SUMIF(100:100,C32,101:101)+100</f>
        <v>104</v>
      </c>
      <c r="I32" s="865" t="s">
        <v>3114</v>
      </c>
      <c r="J32" s="589">
        <f>SUMIF(100:100,I32,101:101)-SUMIF(100:100,C32,101:101)+100</f>
        <v>102</v>
      </c>
      <c r="K32" s="576">
        <v>2</v>
      </c>
      <c r="L32" s="2020"/>
      <c r="M32" s="2012"/>
      <c r="N32" s="2012"/>
      <c r="O32" s="2019"/>
      <c r="P32" s="3776" t="s">
        <v>544</v>
      </c>
      <c r="Q32" s="1503" t="str">
        <f t="shared" si="11"/>
        <v>商业类型</v>
      </c>
      <c r="R32" s="1504" t="s">
        <v>8</v>
      </c>
      <c r="S32" s="1505">
        <f t="shared" si="12"/>
        <v>104</v>
      </c>
      <c r="T32" s="1504" t="s">
        <v>8</v>
      </c>
      <c r="U32" s="1505">
        <f t="shared" si="13"/>
        <v>104</v>
      </c>
      <c r="V32" s="1504" t="s">
        <v>8</v>
      </c>
      <c r="W32" s="1505">
        <f t="shared" si="14"/>
        <v>102</v>
      </c>
      <c r="X32" s="1498"/>
      <c r="Y32" s="3777" t="s">
        <v>544</v>
      </c>
      <c r="Z32" s="1506" t="str">
        <f t="shared" si="15"/>
        <v>商业类型</v>
      </c>
      <c r="AA32" s="1507">
        <f t="shared" si="3"/>
        <v>0.96153846153846156</v>
      </c>
      <c r="AB32" s="1507">
        <f t="shared" si="4"/>
        <v>0.96153846153846156</v>
      </c>
      <c r="AC32" s="1507">
        <f t="shared" si="5"/>
        <v>0.98039215686274506</v>
      </c>
    </row>
    <row r="33" spans="1:29" s="1291" customFormat="1" ht="15">
      <c r="A33" s="595"/>
      <c r="B33" s="519" t="s">
        <v>720</v>
      </c>
      <c r="C33" s="3326">
        <f>面积信息!F4</f>
        <v>6455.06</v>
      </c>
      <c r="D33" s="251">
        <v>100</v>
      </c>
      <c r="E33" s="526">
        <v>878.56</v>
      </c>
      <c r="F33" s="850">
        <f>LOOKUP(E33,103:103,104:104)-LOOKUP(C33,103:103,104:104)+100</f>
        <v>102</v>
      </c>
      <c r="G33" s="525">
        <v>1634</v>
      </c>
      <c r="H33" s="251">
        <f>LOOKUP(G33,103:103,104:104)-LOOKUP(C33,103:103,104:104)+100</f>
        <v>101</v>
      </c>
      <c r="I33" s="525">
        <v>185</v>
      </c>
      <c r="J33" s="251">
        <f>LOOKUP(I33,103:103,104:104)-LOOKUP(C33,103:103,104:104)+100</f>
        <v>101</v>
      </c>
      <c r="K33" s="573"/>
      <c r="L33" s="2018"/>
      <c r="M33" s="2048"/>
      <c r="N33" s="2048"/>
      <c r="O33" s="2021"/>
      <c r="P33" s="3777"/>
      <c r="Q33" s="1532" t="str">
        <f t="shared" si="11"/>
        <v>项目建筑规模</v>
      </c>
      <c r="R33" s="1508" t="s">
        <v>8</v>
      </c>
      <c r="S33" s="1509">
        <f t="shared" si="12"/>
        <v>102</v>
      </c>
      <c r="T33" s="1508" t="s">
        <v>8</v>
      </c>
      <c r="U33" s="1509">
        <f t="shared" si="13"/>
        <v>101</v>
      </c>
      <c r="V33" s="1508" t="s">
        <v>8</v>
      </c>
      <c r="W33" s="1509">
        <f t="shared" si="14"/>
        <v>101</v>
      </c>
      <c r="X33" s="1510"/>
      <c r="Y33" s="3777"/>
      <c r="Z33" s="1511" t="str">
        <f t="shared" si="15"/>
        <v>项目建筑规模</v>
      </c>
      <c r="AA33" s="1507">
        <f t="shared" si="3"/>
        <v>0.98039215686274506</v>
      </c>
      <c r="AB33" s="1507">
        <f t="shared" si="4"/>
        <v>0.99009900990099009</v>
      </c>
      <c r="AC33" s="1507">
        <f t="shared" si="5"/>
        <v>0.99009900990099009</v>
      </c>
    </row>
    <row r="34" spans="1:29" ht="15">
      <c r="A34" s="586"/>
      <c r="B34" s="519" t="s">
        <v>721</v>
      </c>
      <c r="C34" s="868" t="s">
        <v>3072</v>
      </c>
      <c r="D34" s="532">
        <v>100</v>
      </c>
      <c r="E34" s="3331" t="s">
        <v>3116</v>
      </c>
      <c r="F34" s="567">
        <f>SUMIF(105:105,E34,106:106)-SUMIF(105:105,C34,106:106)+100</f>
        <v>100</v>
      </c>
      <c r="G34" s="3332" t="s">
        <v>3116</v>
      </c>
      <c r="H34" s="532">
        <f>SUMIF(105:105,G34,106:106)-SUMIF(105:105,C34,106:106)+100</f>
        <v>100</v>
      </c>
      <c r="I34" s="3332" t="s">
        <v>3116</v>
      </c>
      <c r="J34" s="532">
        <f>SUMIF(105:105,I34,106:106)-SUMIF(105:105,C34,106:106)+100</f>
        <v>100</v>
      </c>
      <c r="K34" s="576"/>
      <c r="L34" s="2020"/>
      <c r="M34" s="2012"/>
      <c r="N34" s="2012"/>
      <c r="O34" s="2019"/>
      <c r="P34" s="3777"/>
      <c r="Q34" s="1503" t="str">
        <f t="shared" si="11"/>
        <v>建筑结构</v>
      </c>
      <c r="R34" s="1504" t="s">
        <v>8</v>
      </c>
      <c r="S34" s="1505">
        <f t="shared" si="12"/>
        <v>100</v>
      </c>
      <c r="T34" s="1504" t="s">
        <v>8</v>
      </c>
      <c r="U34" s="1505">
        <f t="shared" si="13"/>
        <v>100</v>
      </c>
      <c r="V34" s="1504" t="s">
        <v>8</v>
      </c>
      <c r="W34" s="1505">
        <f t="shared" si="14"/>
        <v>100</v>
      </c>
      <c r="X34" s="1498"/>
      <c r="Y34" s="3777"/>
      <c r="Z34" s="1506" t="str">
        <f t="shared" si="15"/>
        <v>建筑结构</v>
      </c>
      <c r="AA34" s="1507">
        <f t="shared" si="3"/>
        <v>1</v>
      </c>
      <c r="AB34" s="1507">
        <f t="shared" si="4"/>
        <v>1</v>
      </c>
      <c r="AC34" s="1507">
        <f t="shared" si="5"/>
        <v>1</v>
      </c>
    </row>
    <row r="35" spans="1:29" ht="15">
      <c r="A35" s="586"/>
      <c r="B35" s="519" t="s">
        <v>757</v>
      </c>
      <c r="C35" s="591" t="s">
        <v>3074</v>
      </c>
      <c r="D35" s="532">
        <v>100</v>
      </c>
      <c r="E35" s="591" t="s">
        <v>3074</v>
      </c>
      <c r="F35" s="567">
        <f>SUMIF(107:107,E35,108:108)-SUMIF(107:107,C35,108:108)+100</f>
        <v>100</v>
      </c>
      <c r="G35" s="591" t="s">
        <v>3074</v>
      </c>
      <c r="H35" s="532">
        <f>SUMIF(107:107,G35,108:108)-SUMIF(107:107,C35,108:108)+100</f>
        <v>100</v>
      </c>
      <c r="I35" s="591" t="s">
        <v>3074</v>
      </c>
      <c r="J35" s="532">
        <f>SUMIF(107:107,I35,108:108)-SUMIF(107:107,C35,108:108)+100</f>
        <v>100</v>
      </c>
      <c r="K35" s="576"/>
      <c r="L35" s="2020"/>
      <c r="M35" s="2012"/>
      <c r="N35" s="2012"/>
      <c r="O35" s="2019"/>
      <c r="P35" s="3777"/>
      <c r="Q35" s="1503" t="str">
        <f t="shared" si="11"/>
        <v>公共部分装修</v>
      </c>
      <c r="R35" s="1504" t="s">
        <v>8</v>
      </c>
      <c r="S35" s="1505">
        <f t="shared" si="12"/>
        <v>100</v>
      </c>
      <c r="T35" s="1504" t="s">
        <v>8</v>
      </c>
      <c r="U35" s="1505">
        <f t="shared" si="13"/>
        <v>100</v>
      </c>
      <c r="V35" s="1504" t="s">
        <v>8</v>
      </c>
      <c r="W35" s="1505">
        <f t="shared" si="14"/>
        <v>100</v>
      </c>
      <c r="X35" s="1498"/>
      <c r="Y35" s="3777"/>
      <c r="Z35" s="1506" t="str">
        <f t="shared" si="15"/>
        <v>公共部分装修</v>
      </c>
      <c r="AA35" s="1507">
        <f t="shared" si="3"/>
        <v>1</v>
      </c>
      <c r="AB35" s="1507">
        <f t="shared" si="4"/>
        <v>1</v>
      </c>
      <c r="AC35" s="1507">
        <f t="shared" si="5"/>
        <v>1</v>
      </c>
    </row>
    <row r="36" spans="1:29" ht="15">
      <c r="A36" s="586"/>
      <c r="B36" s="519" t="s">
        <v>758</v>
      </c>
      <c r="C36" s="870">
        <v>1</v>
      </c>
      <c r="D36" s="532">
        <v>100</v>
      </c>
      <c r="E36" s="870">
        <v>0.85</v>
      </c>
      <c r="F36" s="567">
        <f>LOOKUP(E36,110:110,111:111)-LOOKUP(C36,110:110,111:111)+100</f>
        <v>94</v>
      </c>
      <c r="G36" s="870">
        <v>0.85</v>
      </c>
      <c r="H36" s="567">
        <f>LOOKUP(G36,110:110,111:111)-LOOKUP(C36,110:110,111:111)+100</f>
        <v>94</v>
      </c>
      <c r="I36" s="870">
        <v>0.85</v>
      </c>
      <c r="J36" s="532">
        <f>LOOKUP(I36,110:110,111:111)-LOOKUP(C36,110:110,111:111)+100</f>
        <v>94</v>
      </c>
      <c r="K36" s="576">
        <v>6</v>
      </c>
      <c r="L36" s="2020"/>
      <c r="M36" s="2012"/>
      <c r="N36" s="2012"/>
      <c r="O36" s="2019"/>
      <c r="P36" s="3777"/>
      <c r="Q36" s="1503" t="str">
        <f t="shared" si="11"/>
        <v>成新度</v>
      </c>
      <c r="R36" s="1504" t="s">
        <v>8</v>
      </c>
      <c r="S36" s="1505">
        <f t="shared" si="12"/>
        <v>94</v>
      </c>
      <c r="T36" s="1504" t="s">
        <v>8</v>
      </c>
      <c r="U36" s="1505">
        <f t="shared" si="13"/>
        <v>94</v>
      </c>
      <c r="V36" s="1504" t="s">
        <v>8</v>
      </c>
      <c r="W36" s="1505">
        <f t="shared" si="14"/>
        <v>94</v>
      </c>
      <c r="X36" s="1498"/>
      <c r="Y36" s="3777"/>
      <c r="Z36" s="1506" t="str">
        <f t="shared" si="15"/>
        <v>成新度</v>
      </c>
      <c r="AA36" s="1507">
        <f t="shared" si="3"/>
        <v>1.0638297872340425</v>
      </c>
      <c r="AB36" s="1507">
        <f t="shared" si="4"/>
        <v>1.0638297872340425</v>
      </c>
      <c r="AC36" s="1507">
        <f t="shared" si="5"/>
        <v>1.0638297872340425</v>
      </c>
    </row>
    <row r="37" spans="1:29" s="1201" customFormat="1" ht="15">
      <c r="A37" s="592"/>
      <c r="B37" s="1805" t="s">
        <v>2546</v>
      </c>
      <c r="C37" s="591" t="s">
        <v>3081</v>
      </c>
      <c r="D37" s="251">
        <v>100</v>
      </c>
      <c r="E37" s="591" t="s">
        <v>3081</v>
      </c>
      <c r="F37" s="567">
        <f>SUMIF(112:112,E37,113:113)-SUMIF(112:112,C37,113:113)+100</f>
        <v>100</v>
      </c>
      <c r="G37" s="591" t="s">
        <v>3081</v>
      </c>
      <c r="H37" s="532">
        <f>SUMIF(112:112,G37,113:113)-SUMIF(112:112,C37,113:113)+100</f>
        <v>100</v>
      </c>
      <c r="I37" s="591" t="s">
        <v>3081</v>
      </c>
      <c r="J37" s="532">
        <f>SUMIF(112:112,I37,113:113)-SUMIF(112:112,C37,113:113)+100</f>
        <v>100</v>
      </c>
      <c r="K37" s="576"/>
      <c r="L37" s="2013"/>
      <c r="M37" s="2014"/>
      <c r="N37" s="2014"/>
      <c r="O37" s="2015"/>
      <c r="P37" s="3777"/>
      <c r="Q37" s="1132" t="str">
        <f t="shared" si="11"/>
        <v>市政基础设施</v>
      </c>
      <c r="R37" s="1499" t="s">
        <v>8</v>
      </c>
      <c r="S37" s="1500">
        <f t="shared" si="12"/>
        <v>100</v>
      </c>
      <c r="T37" s="1499" t="s">
        <v>8</v>
      </c>
      <c r="U37" s="1500">
        <f t="shared" si="13"/>
        <v>100</v>
      </c>
      <c r="V37" s="1499" t="s">
        <v>8</v>
      </c>
      <c r="W37" s="1500">
        <f t="shared" si="14"/>
        <v>100</v>
      </c>
      <c r="X37" s="1501"/>
      <c r="Y37" s="3777"/>
      <c r="Z37" s="1131" t="str">
        <f t="shared" si="15"/>
        <v>市政基础设施</v>
      </c>
      <c r="AA37" s="1502">
        <f t="shared" si="3"/>
        <v>1</v>
      </c>
      <c r="AB37" s="1502">
        <f t="shared" si="4"/>
        <v>1</v>
      </c>
      <c r="AC37" s="1502">
        <f t="shared" si="5"/>
        <v>1</v>
      </c>
    </row>
    <row r="38" spans="1:29" ht="15">
      <c r="A38" s="586"/>
      <c r="B38" s="519" t="s">
        <v>759</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0"/>
      <c r="M38" s="2012"/>
      <c r="N38" s="2012"/>
      <c r="O38" s="2019"/>
      <c r="P38" s="3777" t="s">
        <v>760</v>
      </c>
      <c r="Q38" s="1503" t="str">
        <f t="shared" si="11"/>
        <v>业态</v>
      </c>
      <c r="R38" s="1504" t="s">
        <v>8</v>
      </c>
      <c r="S38" s="1505">
        <f t="shared" si="12"/>
        <v>100</v>
      </c>
      <c r="T38" s="1504" t="s">
        <v>8</v>
      </c>
      <c r="U38" s="1505">
        <f t="shared" si="13"/>
        <v>100</v>
      </c>
      <c r="V38" s="1504" t="s">
        <v>8</v>
      </c>
      <c r="W38" s="1505">
        <f t="shared" si="14"/>
        <v>100</v>
      </c>
      <c r="X38" s="1498"/>
      <c r="Y38" s="3777" t="s">
        <v>760</v>
      </c>
      <c r="Z38" s="1506" t="str">
        <f t="shared" si="15"/>
        <v>业态</v>
      </c>
      <c r="AA38" s="1507">
        <f t="shared" si="3"/>
        <v>1</v>
      </c>
      <c r="AB38" s="1507">
        <f t="shared" si="4"/>
        <v>1</v>
      </c>
      <c r="AC38" s="1507">
        <f t="shared" si="5"/>
        <v>1</v>
      </c>
    </row>
    <row r="39" spans="1:29" ht="15">
      <c r="A39" s="586"/>
      <c r="B39" s="519" t="s">
        <v>761</v>
      </c>
      <c r="C39" s="591" t="s">
        <v>3098</v>
      </c>
      <c r="D39" s="532">
        <v>100</v>
      </c>
      <c r="E39" s="591" t="s">
        <v>3098</v>
      </c>
      <c r="F39" s="567">
        <f>SUMIF(116:116,E39,117:117)-SUMIF(116:116,C39,117:117)+100</f>
        <v>100</v>
      </c>
      <c r="G39" s="591" t="s">
        <v>3098</v>
      </c>
      <c r="H39" s="532">
        <f>SUMIF(116:116,G39,117:117)-SUMIF(116:116,C39,117:117)+100</f>
        <v>100</v>
      </c>
      <c r="I39" s="591" t="s">
        <v>3124</v>
      </c>
      <c r="J39" s="532">
        <f>SUMIF(116:116,I39,117:117)-SUMIF(116:116,C39,117:117)+100</f>
        <v>102</v>
      </c>
      <c r="K39" s="576">
        <v>2</v>
      </c>
      <c r="L39" s="2020"/>
      <c r="M39" s="2012"/>
      <c r="N39" s="2012"/>
      <c r="O39" s="2019"/>
      <c r="P39" s="3777"/>
      <c r="Q39" s="1503" t="str">
        <f t="shared" si="11"/>
        <v>层高</v>
      </c>
      <c r="R39" s="1504" t="s">
        <v>8</v>
      </c>
      <c r="S39" s="1505">
        <f t="shared" si="12"/>
        <v>100</v>
      </c>
      <c r="T39" s="1504" t="s">
        <v>8</v>
      </c>
      <c r="U39" s="1505">
        <f t="shared" si="13"/>
        <v>100</v>
      </c>
      <c r="V39" s="1504" t="s">
        <v>8</v>
      </c>
      <c r="W39" s="1505">
        <f t="shared" si="14"/>
        <v>102</v>
      </c>
      <c r="X39" s="1498"/>
      <c r="Y39" s="3777"/>
      <c r="Z39" s="1506" t="str">
        <f t="shared" si="15"/>
        <v>层高</v>
      </c>
      <c r="AA39" s="1507">
        <f t="shared" si="3"/>
        <v>1</v>
      </c>
      <c r="AB39" s="1507">
        <f t="shared" si="4"/>
        <v>1</v>
      </c>
      <c r="AC39" s="1507">
        <f t="shared" si="5"/>
        <v>0.98039215686274506</v>
      </c>
    </row>
    <row r="40" spans="1:29" ht="15">
      <c r="A40" s="586"/>
      <c r="B40" s="519" t="s">
        <v>762</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0"/>
      <c r="M40" s="2012"/>
      <c r="N40" s="2012"/>
      <c r="O40" s="2019"/>
      <c r="P40" s="3777"/>
      <c r="Q40" s="1503" t="str">
        <f t="shared" si="11"/>
        <v>单套建筑面积</v>
      </c>
      <c r="R40" s="1504" t="s">
        <v>8</v>
      </c>
      <c r="S40" s="1505">
        <f t="shared" si="12"/>
        <v>100</v>
      </c>
      <c r="T40" s="1504" t="s">
        <v>8</v>
      </c>
      <c r="U40" s="1505">
        <f t="shared" si="13"/>
        <v>100</v>
      </c>
      <c r="V40" s="1504" t="s">
        <v>8</v>
      </c>
      <c r="W40" s="1505">
        <f t="shared" si="14"/>
        <v>100</v>
      </c>
      <c r="X40" s="1498"/>
      <c r="Y40" s="3777"/>
      <c r="Z40" s="1506" t="str">
        <f t="shared" si="15"/>
        <v>单套建筑面积</v>
      </c>
      <c r="AA40" s="1507">
        <f t="shared" si="3"/>
        <v>1</v>
      </c>
      <c r="AB40" s="1507">
        <f t="shared" si="4"/>
        <v>1</v>
      </c>
      <c r="AC40" s="1507">
        <f t="shared" si="5"/>
        <v>1</v>
      </c>
    </row>
    <row r="41" spans="1:29" s="1291" customFormat="1" ht="15">
      <c r="A41" s="595"/>
      <c r="B41" s="891" t="s">
        <v>763</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8"/>
      <c r="M41" s="2048"/>
      <c r="N41" s="2048"/>
      <c r="O41" s="2021"/>
      <c r="P41" s="3777"/>
      <c r="Q41" s="1532" t="str">
        <f t="shared" si="11"/>
        <v>进深比</v>
      </c>
      <c r="R41" s="1508" t="s">
        <v>8</v>
      </c>
      <c r="S41" s="1509">
        <f t="shared" si="12"/>
        <v>100</v>
      </c>
      <c r="T41" s="1508" t="s">
        <v>8</v>
      </c>
      <c r="U41" s="1509">
        <f t="shared" si="13"/>
        <v>100</v>
      </c>
      <c r="V41" s="1508" t="s">
        <v>8</v>
      </c>
      <c r="W41" s="1509">
        <f t="shared" si="14"/>
        <v>100</v>
      </c>
      <c r="X41" s="1510"/>
      <c r="Y41" s="3777"/>
      <c r="Z41" s="1511" t="str">
        <f t="shared" si="15"/>
        <v>进深比</v>
      </c>
      <c r="AA41" s="1507">
        <f t="shared" si="3"/>
        <v>1</v>
      </c>
      <c r="AB41" s="1507">
        <f t="shared" si="4"/>
        <v>1</v>
      </c>
      <c r="AC41" s="1507">
        <f t="shared" si="5"/>
        <v>1</v>
      </c>
    </row>
    <row r="42" spans="1:29" ht="15">
      <c r="A42" s="586"/>
      <c r="B42" s="519" t="s">
        <v>764</v>
      </c>
      <c r="C42" s="591" t="s">
        <v>3074</v>
      </c>
      <c r="D42" s="532">
        <v>100</v>
      </c>
      <c r="E42" s="591" t="s">
        <v>3074</v>
      </c>
      <c r="F42" s="567">
        <f>SUMIF(122:122,E42,123:123)-SUMIF(122:122,C42,123:123)+100</f>
        <v>100</v>
      </c>
      <c r="G42" s="591" t="s">
        <v>3074</v>
      </c>
      <c r="H42" s="532">
        <f>SUMIF(122:122,G42,123:123)-SUMIF(122:122,C42,123:123)+100</f>
        <v>100</v>
      </c>
      <c r="I42" s="591" t="s">
        <v>3074</v>
      </c>
      <c r="J42" s="532">
        <f>SUMIF(122:122,I42,123:123)-SUMIF(122:122,C42,123:123)+100</f>
        <v>100</v>
      </c>
      <c r="K42" s="576"/>
      <c r="L42" s="2020"/>
      <c r="M42" s="2012"/>
      <c r="N42" s="2012"/>
      <c r="O42" s="2019"/>
      <c r="P42" s="3777"/>
      <c r="Q42" s="1503" t="str">
        <f t="shared" si="11"/>
        <v>内部装修</v>
      </c>
      <c r="R42" s="1504" t="s">
        <v>8</v>
      </c>
      <c r="S42" s="1505">
        <f t="shared" si="12"/>
        <v>100</v>
      </c>
      <c r="T42" s="1504" t="s">
        <v>8</v>
      </c>
      <c r="U42" s="1505">
        <f t="shared" si="13"/>
        <v>100</v>
      </c>
      <c r="V42" s="1504" t="s">
        <v>8</v>
      </c>
      <c r="W42" s="1505">
        <f t="shared" si="14"/>
        <v>100</v>
      </c>
      <c r="X42" s="1498"/>
      <c r="Y42" s="3777"/>
      <c r="Z42" s="1506" t="str">
        <f t="shared" si="15"/>
        <v>内部装修</v>
      </c>
      <c r="AA42" s="1507">
        <f t="shared" si="3"/>
        <v>1</v>
      </c>
      <c r="AB42" s="1507">
        <f t="shared" si="4"/>
        <v>1</v>
      </c>
      <c r="AC42" s="1507">
        <f t="shared" si="5"/>
        <v>1</v>
      </c>
    </row>
    <row r="43" spans="1:29" ht="27">
      <c r="A43" s="586"/>
      <c r="B43" s="519" t="s">
        <v>729</v>
      </c>
      <c r="C43" s="591" t="s">
        <v>3042</v>
      </c>
      <c r="D43" s="532">
        <v>100</v>
      </c>
      <c r="E43" s="591" t="s">
        <v>3042</v>
      </c>
      <c r="F43" s="567">
        <f>SUMIF(124:124,E43,125:125)-SUMIF(124:124,C43,125:125)+100</f>
        <v>100</v>
      </c>
      <c r="G43" s="591" t="s">
        <v>3042</v>
      </c>
      <c r="H43" s="532">
        <f>SUMIF(124:124,G43,125:125)-SUMIF(124:124,C43,125:125)+100</f>
        <v>100</v>
      </c>
      <c r="I43" s="591" t="s">
        <v>3042</v>
      </c>
      <c r="J43" s="532">
        <f>SUMIF(124:124,I43,125:125)-SUMIF(124:124,C43,125:125)+100</f>
        <v>100</v>
      </c>
      <c r="K43" s="576"/>
      <c r="L43" s="2020"/>
      <c r="M43" s="2012"/>
      <c r="N43" s="2012"/>
      <c r="O43" s="2019"/>
      <c r="P43" s="3777"/>
      <c r="Q43" s="1503" t="str">
        <f t="shared" si="11"/>
        <v>内部装修维护情况</v>
      </c>
      <c r="R43" s="1504" t="s">
        <v>8</v>
      </c>
      <c r="S43" s="1505">
        <f t="shared" si="12"/>
        <v>100</v>
      </c>
      <c r="T43" s="1504" t="s">
        <v>8</v>
      </c>
      <c r="U43" s="1505">
        <f t="shared" si="13"/>
        <v>100</v>
      </c>
      <c r="V43" s="1504" t="s">
        <v>8</v>
      </c>
      <c r="W43" s="1505">
        <f t="shared" si="14"/>
        <v>100</v>
      </c>
      <c r="X43" s="1498"/>
      <c r="Y43" s="3777"/>
      <c r="Z43" s="1506" t="str">
        <f t="shared" si="15"/>
        <v>内部装修维护情况</v>
      </c>
      <c r="AA43" s="1507">
        <f t="shared" si="3"/>
        <v>1</v>
      </c>
      <c r="AB43" s="1507">
        <f t="shared" si="4"/>
        <v>1</v>
      </c>
      <c r="AC43" s="1507">
        <f t="shared" si="5"/>
        <v>1</v>
      </c>
    </row>
    <row r="44" spans="1:29" s="1201" customFormat="1" ht="15">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3"/>
      <c r="M44" s="2014"/>
      <c r="N44" s="2014"/>
      <c r="O44" s="2015"/>
      <c r="P44" s="3777"/>
      <c r="Q44" s="1132">
        <f t="shared" si="11"/>
        <v>111</v>
      </c>
      <c r="R44" s="1499" t="s">
        <v>8</v>
      </c>
      <c r="S44" s="1500">
        <f t="shared" si="12"/>
        <v>100</v>
      </c>
      <c r="T44" s="1499" t="s">
        <v>8</v>
      </c>
      <c r="U44" s="1500">
        <f t="shared" si="13"/>
        <v>100</v>
      </c>
      <c r="V44" s="1499" t="s">
        <v>8</v>
      </c>
      <c r="W44" s="1500">
        <f t="shared" si="14"/>
        <v>100</v>
      </c>
      <c r="X44" s="1501"/>
      <c r="Y44" s="3777"/>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0"/>
      <c r="M45" s="2012"/>
      <c r="N45" s="2012"/>
      <c r="O45" s="2019"/>
      <c r="P45" s="3777"/>
      <c r="Q45" s="1503">
        <f t="shared" si="11"/>
        <v>111</v>
      </c>
      <c r="R45" s="1504" t="s">
        <v>8</v>
      </c>
      <c r="S45" s="1505">
        <f t="shared" si="12"/>
        <v>100</v>
      </c>
      <c r="T45" s="1504" t="s">
        <v>8</v>
      </c>
      <c r="U45" s="1505">
        <f t="shared" si="13"/>
        <v>100</v>
      </c>
      <c r="V45" s="1504" t="s">
        <v>8</v>
      </c>
      <c r="W45" s="1505">
        <f t="shared" si="14"/>
        <v>100</v>
      </c>
      <c r="X45" s="1498"/>
      <c r="Y45" s="3777"/>
      <c r="Z45" s="1506">
        <f t="shared" si="15"/>
        <v>111</v>
      </c>
      <c r="AA45" s="1507">
        <f t="shared" si="3"/>
        <v>1</v>
      </c>
      <c r="AB45" s="1507">
        <f t="shared" si="4"/>
        <v>1</v>
      </c>
      <c r="AC45" s="1507">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0"/>
      <c r="M46" s="2012"/>
      <c r="N46" s="2012"/>
      <c r="O46" s="2019"/>
      <c r="P46" s="3778"/>
      <c r="Q46" s="1503">
        <f t="shared" si="11"/>
        <v>111</v>
      </c>
      <c r="R46" s="1504" t="s">
        <v>8</v>
      </c>
      <c r="S46" s="1505">
        <f t="shared" si="12"/>
        <v>100</v>
      </c>
      <c r="T46" s="1504" t="s">
        <v>8</v>
      </c>
      <c r="U46" s="1505">
        <f t="shared" si="13"/>
        <v>100</v>
      </c>
      <c r="V46" s="1504" t="s">
        <v>8</v>
      </c>
      <c r="W46" s="1505">
        <f t="shared" si="14"/>
        <v>100</v>
      </c>
      <c r="X46" s="1498"/>
      <c r="Y46" s="3778"/>
      <c r="Z46" s="1506">
        <f t="shared" si="15"/>
        <v>111</v>
      </c>
      <c r="AA46" s="1507">
        <f t="shared" si="3"/>
        <v>1</v>
      </c>
      <c r="AB46" s="1507">
        <f t="shared" si="4"/>
        <v>1</v>
      </c>
      <c r="AC46" s="1507">
        <f t="shared" si="5"/>
        <v>1</v>
      </c>
    </row>
    <row r="47" spans="1:29" ht="15">
      <c r="A47" s="599" t="s">
        <v>730</v>
      </c>
      <c r="B47" s="874"/>
      <c r="C47" s="2466" t="s">
        <v>1</v>
      </c>
      <c r="D47" s="2467"/>
      <c r="E47" s="2468">
        <v>30000</v>
      </c>
      <c r="F47" s="2469"/>
      <c r="G47" s="2470">
        <v>35000</v>
      </c>
      <c r="H47" s="2471"/>
      <c r="I47" s="2468">
        <v>30000</v>
      </c>
      <c r="J47" s="2471"/>
      <c r="K47" s="1537"/>
      <c r="L47" s="2022"/>
      <c r="M47" s="2023"/>
      <c r="N47" s="2012"/>
      <c r="O47" s="2023"/>
      <c r="P47" s="3772" t="str">
        <f>A47</f>
        <v>成交单价（元/平方米）</v>
      </c>
      <c r="Q47" s="3772"/>
      <c r="R47" s="3773">
        <f>E47</f>
        <v>30000</v>
      </c>
      <c r="S47" s="3773"/>
      <c r="T47" s="3773">
        <f>G47</f>
        <v>35000</v>
      </c>
      <c r="U47" s="3773"/>
      <c r="V47" s="3773">
        <f>I47</f>
        <v>30000</v>
      </c>
      <c r="W47" s="3773"/>
      <c r="X47" s="1493"/>
      <c r="Y47" s="1512"/>
      <c r="Z47" s="1493"/>
      <c r="AA47" s="1493"/>
      <c r="AB47" s="1493"/>
      <c r="AC47" s="1493"/>
    </row>
    <row r="48" spans="1:29" ht="15.75" thickBot="1">
      <c r="A48" s="607" t="s">
        <v>2739</v>
      </c>
      <c r="B48" s="875"/>
      <c r="C48" s="2472">
        <f>R49</f>
        <v>36471</v>
      </c>
      <c r="D48" s="3008" t="s">
        <v>2964</v>
      </c>
      <c r="E48" s="2473">
        <f>R48</f>
        <v>34710</v>
      </c>
      <c r="F48" s="3009"/>
      <c r="G48" s="2472">
        <f>T48</f>
        <v>39661</v>
      </c>
      <c r="H48" s="3009"/>
      <c r="I48" s="2473">
        <f>V48</f>
        <v>35041</v>
      </c>
      <c r="J48" s="3009"/>
      <c r="K48" s="3017">
        <f>F48+H48+J48</f>
        <v>0</v>
      </c>
      <c r="L48" s="2022"/>
      <c r="M48" s="2023"/>
      <c r="N48" s="2012"/>
      <c r="O48" s="2023"/>
      <c r="P48" s="3772" t="str">
        <f>A48</f>
        <v>比较价格（元/平方米）</v>
      </c>
      <c r="Q48" s="3772"/>
      <c r="R48" s="3773">
        <f>IF(F1="售价",ROUND(PRODUCT(R47,AA7:AA46),0),ROUND(PRODUCT(R47,AA7:AA46),1))</f>
        <v>34710</v>
      </c>
      <c r="S48" s="3773"/>
      <c r="T48" s="3773">
        <f>IF(F1="售价",ROUND(PRODUCT(T47,AB7:AB46),0),ROUND(PRODUCT(T47,AB7:AB46),1))</f>
        <v>39661</v>
      </c>
      <c r="U48" s="3773"/>
      <c r="V48" s="3773">
        <f>IF(F1="售价",ROUND(PRODUCT(V47,AC7:AC46),0),ROUND(PRODUCT(V47,AC7:AC46),1))</f>
        <v>35041</v>
      </c>
      <c r="W48" s="3773"/>
      <c r="X48" s="1493"/>
      <c r="Y48" s="1493"/>
      <c r="Z48" s="1493"/>
      <c r="AA48" s="1493"/>
      <c r="AB48" s="1493"/>
      <c r="AC48" s="1493"/>
    </row>
    <row r="49" spans="1:29" ht="15.75" thickBot="1">
      <c r="A49" s="611" t="s">
        <v>2899</v>
      </c>
      <c r="B49" s="612"/>
      <c r="C49" s="2474">
        <f>R49</f>
        <v>36471</v>
      </c>
      <c r="D49" s="2474"/>
      <c r="E49" s="2474"/>
      <c r="F49" s="2474"/>
      <c r="G49" s="2474"/>
      <c r="H49" s="2474"/>
      <c r="I49" s="2474"/>
      <c r="J49" s="2474"/>
      <c r="K49" s="1538"/>
      <c r="L49" s="2022"/>
      <c r="M49" s="2023"/>
      <c r="N49" s="2012"/>
      <c r="O49" s="2023"/>
      <c r="P49" s="3769" t="str">
        <f>A49</f>
        <v>估价对象XX用房的比较价格（楼面单价，元/平方米）</v>
      </c>
      <c r="Q49" s="3770"/>
      <c r="R49" s="3771">
        <f>IF(F1="售价",ROUND(IF(D48="简单平均",AVERAGE(R48:V48),R48*F48+T48*H48+V48*J48),0),ROUND(IF(D48="简单平均",AVERAGE(R48:V48),R48*F48+T48*H48+V48*J48),1))</f>
        <v>36471</v>
      </c>
      <c r="S49" s="3771"/>
      <c r="T49" s="3771"/>
      <c r="U49" s="3771"/>
      <c r="V49" s="3771"/>
      <c r="W49" s="3771"/>
      <c r="X49" s="1493"/>
      <c r="Y49" s="1493"/>
      <c r="Z49" s="1493"/>
      <c r="AA49" s="1493"/>
      <c r="AB49" s="1493"/>
      <c r="AC49" s="1493"/>
    </row>
    <row r="50" spans="1:29">
      <c r="A50" s="3207"/>
      <c r="B50" s="3207"/>
      <c r="C50" s="3207"/>
      <c r="D50" s="3207"/>
      <c r="E50" s="3207"/>
      <c r="F50" s="3207"/>
      <c r="G50" s="3209"/>
      <c r="H50" s="3207"/>
      <c r="I50" s="3207"/>
      <c r="J50" s="3207"/>
      <c r="K50" s="3210"/>
      <c r="L50" s="2027"/>
      <c r="M50" s="2023"/>
      <c r="N50" s="2023"/>
      <c r="O50" s="2023"/>
      <c r="P50" s="2023"/>
      <c r="Q50" s="2023"/>
      <c r="R50" s="2023"/>
      <c r="S50" s="2023"/>
      <c r="T50" s="2023"/>
      <c r="U50" s="2023"/>
      <c r="V50" s="2023"/>
      <c r="W50" s="2023"/>
      <c r="X50" s="2023"/>
      <c r="Y50" s="2023"/>
      <c r="Z50" s="2023"/>
      <c r="AA50" s="2023"/>
      <c r="AB50" s="2023"/>
      <c r="AC50" s="2023"/>
    </row>
    <row r="51" spans="1:29">
      <c r="A51" s="3207"/>
      <c r="B51" s="3207"/>
      <c r="C51" s="3207"/>
      <c r="D51" s="3207"/>
      <c r="E51" s="3207"/>
      <c r="F51" s="3207"/>
      <c r="G51" s="3207"/>
      <c r="H51" s="3207"/>
      <c r="I51" s="3207"/>
      <c r="J51" s="3207"/>
      <c r="K51" s="3210"/>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7"/>
      <c r="B52" s="3207"/>
      <c r="C52" s="614" t="s">
        <v>551</v>
      </c>
      <c r="D52" s="615"/>
      <c r="E52" s="616">
        <f>IF(E47&lt;E48,E48/E47-1,E47/E48-1)</f>
        <v>0.15700000000000003</v>
      </c>
      <c r="F52" s="617" t="str">
        <f>IF(OR(E52&gt;=0.3,E52&lt;=-0.3),"超过30%","")</f>
        <v/>
      </c>
      <c r="G52" s="616">
        <f>IF(G47&lt;G48,G48/G47-1,G47/G48-1)</f>
        <v>0.1331714285714285</v>
      </c>
      <c r="H52" s="617" t="str">
        <f>IF(OR(G52&gt;=0.3,G52&lt;=-0.3),"超过30%","")</f>
        <v/>
      </c>
      <c r="I52" s="616">
        <f>IF(I47&lt;I48,I48/I47-1,I47/I48-1)</f>
        <v>0.16803333333333326</v>
      </c>
      <c r="J52" s="617" t="str">
        <f>IF(OR(I52&gt;=0.3,I52&lt;=-0.3),"超过30%","")</f>
        <v/>
      </c>
      <c r="K52" s="3210"/>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7"/>
      <c r="B53" s="3207"/>
      <c r="C53" s="614" t="s">
        <v>552</v>
      </c>
      <c r="D53" s="618"/>
      <c r="E53" s="616">
        <f>IF(E48&lt;G48,G48/E48-1,E48/G48-1)</f>
        <v>0.14263900893114378</v>
      </c>
      <c r="F53" s="617" t="str">
        <f>IF(OR(E53&gt;=0.2,E53&lt;=-0.2),"超过20%","")</f>
        <v/>
      </c>
      <c r="G53" s="616">
        <f>IF(G48&lt;I48,I48/G48-1,G48/I48-1)</f>
        <v>0.13184555235295803</v>
      </c>
      <c r="H53" s="617" t="str">
        <f>IF(OR(G53&gt;=0.2,G53&lt;=-0.2),"超过20%","")</f>
        <v/>
      </c>
      <c r="I53" s="616">
        <f>IF(I48&lt;E48,E48/I48-1,I48/E48-1)</f>
        <v>9.5361567271678993E-3</v>
      </c>
      <c r="J53" s="617" t="str">
        <f>IF(OR(I53&gt;=0.2,I53&lt;=-0.2),"超过20%","")</f>
        <v/>
      </c>
      <c r="K53" s="3210"/>
      <c r="L53" s="2027"/>
      <c r="M53" s="2023"/>
      <c r="N53" s="2023"/>
      <c r="O53" s="2023"/>
      <c r="P53" s="2023"/>
      <c r="Q53" s="2023"/>
      <c r="R53" s="2023"/>
      <c r="S53" s="2023"/>
      <c r="T53" s="2023"/>
      <c r="U53" s="2023"/>
      <c r="V53" s="2023"/>
      <c r="W53" s="2023"/>
      <c r="X53" s="2023"/>
      <c r="Y53" s="2023"/>
      <c r="Z53" s="2023"/>
      <c r="AA53" s="2023"/>
      <c r="AB53" s="2023"/>
      <c r="AC53" s="2023"/>
    </row>
    <row r="54" spans="1:29" s="1296" customFormat="1" ht="13.5" customHeight="1">
      <c r="A54" s="3208"/>
      <c r="B54" s="3208"/>
      <c r="C54" s="614" t="s">
        <v>553</v>
      </c>
      <c r="D54" s="618"/>
      <c r="E54" s="616">
        <f>IF(E47&lt;G47,G47/E47-1,E47/G47-1)</f>
        <v>0.16666666666666674</v>
      </c>
      <c r="F54" s="617" t="str">
        <f>IF(OR(E54&gt;=0.3,E54&lt;=-0.3),"超过30%","")</f>
        <v/>
      </c>
      <c r="G54" s="616">
        <f>IF(G47&lt;I47,I47/G47-1,G47/I47-1)</f>
        <v>0.16666666666666674</v>
      </c>
      <c r="H54" s="617" t="str">
        <f>IF(OR(G54&gt;=0.3,G54&lt;=-0.3),"超过30%","")</f>
        <v/>
      </c>
      <c r="I54" s="616">
        <f>IF(I47&lt;E47,E47/I47-1,I47/E47-1)</f>
        <v>0</v>
      </c>
      <c r="J54" s="617" t="str">
        <f>IF(OR(I54&gt;=0.3,I54&lt;=-0.3),"超过30%","")</f>
        <v/>
      </c>
      <c r="K54" s="3211"/>
      <c r="L54" s="2030"/>
      <c r="M54" s="2024"/>
      <c r="N54" s="2024"/>
      <c r="O54" s="2024"/>
      <c r="P54" s="2024"/>
      <c r="Q54" s="2024"/>
      <c r="R54" s="2024"/>
      <c r="S54" s="2024"/>
      <c r="T54" s="2024"/>
      <c r="U54" s="2024"/>
      <c r="V54" s="2024"/>
      <c r="W54" s="2024"/>
      <c r="X54" s="2024"/>
      <c r="Y54" s="2024"/>
      <c r="Z54" s="2024"/>
      <c r="AA54" s="2024"/>
      <c r="AB54" s="2024"/>
      <c r="AC54" s="2024"/>
    </row>
    <row r="55" spans="1:29" s="1296"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8" customFormat="1" ht="15">
      <c r="A58" s="635" t="s">
        <v>523</v>
      </c>
      <c r="B58" s="636"/>
      <c r="C58" s="2515" t="str">
        <f>YEAR(C7)&amp;"-"&amp;MONTH(C7)</f>
        <v>2021-8</v>
      </c>
      <c r="D58" s="2517">
        <f>EDATE(C58,-1)</f>
        <v>44378</v>
      </c>
      <c r="E58" s="2517">
        <f t="shared" ref="E58:O58" si="16">EDATE(D58,-1)</f>
        <v>44348</v>
      </c>
      <c r="F58" s="2517">
        <f t="shared" si="16"/>
        <v>44317</v>
      </c>
      <c r="G58" s="2517">
        <f t="shared" si="16"/>
        <v>44287</v>
      </c>
      <c r="H58" s="2517">
        <f t="shared" si="16"/>
        <v>44256</v>
      </c>
      <c r="I58" s="2517">
        <f t="shared" si="16"/>
        <v>44228</v>
      </c>
      <c r="J58" s="2517">
        <f t="shared" si="16"/>
        <v>44197</v>
      </c>
      <c r="K58" s="2517">
        <f t="shared" si="16"/>
        <v>44166</v>
      </c>
      <c r="L58" s="2517">
        <f t="shared" si="16"/>
        <v>44136</v>
      </c>
      <c r="M58" s="2517">
        <f t="shared" si="16"/>
        <v>44105</v>
      </c>
      <c r="N58" s="2517">
        <f t="shared" si="16"/>
        <v>44075</v>
      </c>
      <c r="O58" s="2517">
        <f t="shared" si="16"/>
        <v>44044</v>
      </c>
      <c r="P58" s="2037"/>
      <c r="Q58" s="2038"/>
      <c r="R58" s="2038"/>
      <c r="S58" s="2038"/>
      <c r="T58" s="2038"/>
      <c r="U58" s="2038"/>
      <c r="V58" s="2038"/>
      <c r="W58" s="2038"/>
      <c r="X58" s="2038"/>
      <c r="Y58" s="2038"/>
      <c r="Z58" s="2038"/>
      <c r="AA58" s="2038"/>
      <c r="AB58" s="2038"/>
      <c r="AC58" s="2038"/>
    </row>
    <row r="59" spans="1:29" s="1201" customFormat="1" ht="15">
      <c r="A59" s="637"/>
      <c r="B59" s="638"/>
      <c r="C59" s="639">
        <v>100</v>
      </c>
      <c r="D59" s="640"/>
      <c r="E59" s="640"/>
      <c r="F59" s="640"/>
      <c r="G59" s="640"/>
      <c r="H59" s="640"/>
      <c r="I59" s="640"/>
      <c r="J59" s="640"/>
      <c r="K59" s="640"/>
      <c r="L59" s="640"/>
      <c r="M59" s="641"/>
      <c r="N59" s="640"/>
      <c r="O59" s="642"/>
      <c r="P59" s="2035"/>
      <c r="Q59" s="1901"/>
      <c r="R59" s="1901"/>
      <c r="S59" s="1901"/>
      <c r="T59" s="1901"/>
      <c r="U59" s="1901"/>
      <c r="V59" s="1901"/>
      <c r="W59" s="1901"/>
      <c r="X59" s="1901"/>
      <c r="Y59" s="1901"/>
      <c r="Z59" s="1901"/>
      <c r="AA59" s="1901"/>
      <c r="AB59" s="1901"/>
      <c r="AC59" s="1901"/>
    </row>
    <row r="60" spans="1:29" s="1201" customFormat="1" ht="15.75" thickBot="1">
      <c r="A60" s="643" t="s">
        <v>569</v>
      </c>
      <c r="B60" s="644"/>
      <c r="C60" s="645"/>
      <c r="D60" s="646"/>
      <c r="E60" s="646"/>
      <c r="F60" s="646"/>
      <c r="G60" s="646"/>
      <c r="H60" s="646"/>
      <c r="I60" s="646"/>
      <c r="J60" s="646"/>
      <c r="K60" s="646"/>
      <c r="L60" s="646"/>
      <c r="M60" s="647"/>
      <c r="N60" s="646"/>
      <c r="O60" s="648"/>
      <c r="P60" s="2035"/>
      <c r="Q60" s="2035"/>
      <c r="R60" s="1901"/>
      <c r="S60" s="1901"/>
      <c r="T60" s="1901"/>
      <c r="U60" s="1901"/>
      <c r="V60" s="1901"/>
      <c r="W60" s="1901"/>
      <c r="X60" s="1901"/>
      <c r="Y60" s="1901"/>
      <c r="Z60" s="1901"/>
      <c r="AA60" s="1901"/>
      <c r="AB60" s="1901"/>
      <c r="AC60" s="1901"/>
    </row>
    <row r="61" spans="1:29" s="1201" customFormat="1" ht="15">
      <c r="A61" s="649" t="s">
        <v>525</v>
      </c>
      <c r="B61" s="638"/>
      <c r="C61" s="650" t="s">
        <v>570</v>
      </c>
      <c r="D61" s="651"/>
      <c r="E61" s="651"/>
      <c r="F61" s="651"/>
      <c r="G61" s="651"/>
      <c r="H61" s="651"/>
      <c r="I61" s="651"/>
      <c r="J61" s="651"/>
      <c r="K61" s="651"/>
      <c r="L61" s="652"/>
      <c r="M61" s="653"/>
      <c r="N61" s="2039"/>
      <c r="O61" s="2039"/>
      <c r="P61" s="2040"/>
      <c r="Q61" s="2035"/>
      <c r="R61" s="1901"/>
      <c r="S61" s="1901"/>
      <c r="T61" s="1901"/>
      <c r="U61" s="1901"/>
      <c r="V61" s="1901"/>
      <c r="W61" s="1901"/>
      <c r="X61" s="1901"/>
      <c r="Y61" s="1901"/>
      <c r="Z61" s="1901"/>
      <c r="AA61" s="1901"/>
      <c r="AB61" s="1901"/>
      <c r="AC61" s="1901"/>
    </row>
    <row r="62" spans="1:29" s="1201" customFormat="1" ht="15.75" thickBot="1">
      <c r="A62" s="649"/>
      <c r="B62" s="638"/>
      <c r="C62" s="876">
        <v>100</v>
      </c>
      <c r="D62" s="640"/>
      <c r="E62" s="640"/>
      <c r="F62" s="640"/>
      <c r="G62" s="640"/>
      <c r="H62" s="640"/>
      <c r="I62" s="640"/>
      <c r="J62" s="640"/>
      <c r="K62" s="640"/>
      <c r="L62" s="640"/>
      <c r="M62" s="642"/>
      <c r="N62" s="2039"/>
      <c r="O62" s="2039"/>
      <c r="P62" s="2035"/>
      <c r="Q62" s="2035"/>
      <c r="R62" s="1901"/>
      <c r="S62" s="1901"/>
      <c r="T62" s="1901"/>
      <c r="U62" s="1901"/>
      <c r="V62" s="1901"/>
      <c r="W62" s="1901"/>
      <c r="X62" s="1901"/>
      <c r="Y62" s="1901"/>
      <c r="Z62" s="1901"/>
      <c r="AA62" s="1901"/>
      <c r="AB62" s="1901"/>
      <c r="AC62" s="1186"/>
    </row>
    <row r="63" spans="1:29">
      <c r="A63" s="654" t="s">
        <v>571</v>
      </c>
      <c r="B63" s="655" t="s">
        <v>528</v>
      </c>
      <c r="C63" s="694">
        <f>C9</f>
        <v>0</v>
      </c>
      <c r="D63" s="590"/>
      <c r="E63" s="590"/>
      <c r="F63" s="590"/>
      <c r="G63" s="590"/>
      <c r="H63" s="590"/>
      <c r="I63" s="590"/>
      <c r="J63" s="590"/>
      <c r="K63" s="656"/>
      <c r="L63" s="657"/>
      <c r="M63" s="658"/>
      <c r="N63" s="2041"/>
      <c r="O63" s="2041"/>
      <c r="P63" s="2042"/>
      <c r="Q63" s="2035"/>
      <c r="R63" s="2023"/>
      <c r="S63" s="2023"/>
      <c r="T63" s="2023"/>
      <c r="U63" s="2023"/>
      <c r="V63" s="2023"/>
      <c r="W63" s="2023"/>
      <c r="X63" s="2023"/>
      <c r="Y63" s="2023"/>
      <c r="Z63" s="2023"/>
      <c r="AA63" s="2023"/>
      <c r="AB63" s="2023"/>
      <c r="AC63" s="2023"/>
    </row>
    <row r="64" spans="1:29" ht="15.75" thickBot="1">
      <c r="A64" s="659"/>
      <c r="B64" s="660"/>
      <c r="C64" s="661"/>
      <c r="D64" s="661"/>
      <c r="E64" s="661"/>
      <c r="F64" s="661"/>
      <c r="G64" s="661"/>
      <c r="H64" s="661"/>
      <c r="I64" s="661"/>
      <c r="J64" s="661"/>
      <c r="K64" s="661"/>
      <c r="L64" s="661"/>
      <c r="M64" s="662"/>
      <c r="N64" s="2043"/>
      <c r="O64" s="2043"/>
      <c r="P64" s="2042"/>
      <c r="Q64" s="2035"/>
      <c r="R64" s="2023"/>
      <c r="S64" s="2023"/>
      <c r="T64" s="2023"/>
      <c r="U64" s="2023"/>
      <c r="V64" s="2023"/>
      <c r="W64" s="2023"/>
      <c r="X64" s="2023"/>
      <c r="Y64" s="2023"/>
      <c r="Z64" s="2023"/>
      <c r="AA64" s="2023"/>
      <c r="AB64" s="2023"/>
      <c r="AC64" s="2023"/>
    </row>
    <row r="65" spans="1:29" ht="27.75" thickTop="1">
      <c r="A65" s="659"/>
      <c r="B65" s="663" t="s">
        <v>531</v>
      </c>
      <c r="C65" s="664" t="s">
        <v>731</v>
      </c>
      <c r="D65" s="664" t="s">
        <v>732</v>
      </c>
      <c r="E65" s="664" t="s">
        <v>733</v>
      </c>
      <c r="F65" s="664" t="s">
        <v>734</v>
      </c>
      <c r="G65" s="664" t="s">
        <v>735</v>
      </c>
      <c r="H65" s="664" t="s">
        <v>736</v>
      </c>
      <c r="I65" s="664" t="s">
        <v>737</v>
      </c>
      <c r="J65" s="664"/>
      <c r="K65" s="665"/>
      <c r="L65" s="666"/>
      <c r="M65" s="667"/>
      <c r="N65" s="2041"/>
      <c r="O65" s="2041"/>
      <c r="P65" s="2042"/>
      <c r="Q65" s="2035"/>
      <c r="R65" s="2023"/>
      <c r="S65" s="2023"/>
      <c r="T65" s="2023"/>
      <c r="U65" s="2023"/>
      <c r="V65" s="2023"/>
      <c r="W65" s="2023"/>
      <c r="X65" s="2023"/>
      <c r="Y65" s="2023"/>
      <c r="Z65" s="2023"/>
      <c r="AA65" s="2023"/>
      <c r="AB65" s="2023"/>
      <c r="AC65" s="2023"/>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3"/>
      <c r="O66" s="2043"/>
      <c r="P66" s="2042"/>
      <c r="Q66" s="2035"/>
      <c r="R66" s="2023"/>
      <c r="S66" s="2023"/>
      <c r="T66" s="2023"/>
      <c r="U66" s="2023"/>
      <c r="V66" s="2023"/>
      <c r="W66" s="2023"/>
      <c r="X66" s="2023"/>
      <c r="Y66" s="2023"/>
      <c r="Z66" s="2023"/>
      <c r="AA66" s="2023"/>
      <c r="AB66" s="2023"/>
      <c r="AC66" s="2023"/>
    </row>
    <row r="67" spans="1:29" ht="15.75" thickTop="1">
      <c r="A67" s="659"/>
      <c r="B67" s="671" t="s">
        <v>532</v>
      </c>
      <c r="C67" s="672" t="str">
        <f>C68&amp;"（含）"&amp;"-"&amp;D68</f>
        <v>0（含）-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9"/>
      <c r="B68" s="673"/>
      <c r="C68" s="533">
        <v>0</v>
      </c>
      <c r="D68" s="533"/>
      <c r="E68" s="533"/>
      <c r="F68" s="533"/>
      <c r="G68" s="533"/>
      <c r="H68" s="533"/>
      <c r="I68" s="533"/>
      <c r="J68" s="533"/>
      <c r="K68" s="674"/>
      <c r="L68" s="675"/>
      <c r="M68" s="676"/>
      <c r="N68" s="2041"/>
      <c r="O68" s="2041"/>
      <c r="P68" s="2042"/>
      <c r="Q68" s="2035"/>
      <c r="R68" s="2023"/>
      <c r="S68" s="2023"/>
      <c r="T68" s="2023"/>
      <c r="U68" s="2023"/>
      <c r="V68" s="2023"/>
      <c r="W68" s="2023"/>
      <c r="X68" s="2023"/>
      <c r="Y68" s="2023"/>
      <c r="Z68" s="2023"/>
      <c r="AA68" s="2023"/>
      <c r="AB68" s="2023"/>
      <c r="AC68" s="2023"/>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3"/>
      <c r="O69" s="2043"/>
      <c r="P69" s="2042"/>
      <c r="Q69" s="2035"/>
      <c r="R69" s="2023"/>
      <c r="S69" s="2023"/>
      <c r="T69" s="2023"/>
      <c r="U69" s="2023"/>
      <c r="V69" s="2023"/>
      <c r="W69" s="2023"/>
      <c r="X69" s="2023"/>
      <c r="Y69" s="2023"/>
      <c r="Z69" s="2023"/>
      <c r="AA69" s="2023"/>
      <c r="AB69" s="2023"/>
      <c r="AC69" s="2023"/>
    </row>
    <row r="70" spans="1:29" s="1291" customFormat="1" ht="15.75" thickTop="1">
      <c r="A70" s="677"/>
      <c r="B70" s="663">
        <f>B12</f>
        <v>111</v>
      </c>
      <c r="C70" s="678"/>
      <c r="D70" s="678"/>
      <c r="E70" s="678"/>
      <c r="F70" s="678"/>
      <c r="G70" s="678"/>
      <c r="H70" s="679"/>
      <c r="I70" s="679"/>
      <c r="J70" s="679"/>
      <c r="K70" s="679"/>
      <c r="L70" s="680"/>
      <c r="M70" s="681"/>
      <c r="N70" s="2044"/>
      <c r="O70" s="2044"/>
      <c r="P70" s="2045"/>
      <c r="Q70" s="2046"/>
      <c r="R70" s="2047"/>
      <c r="S70" s="2047"/>
      <c r="T70" s="2047"/>
      <c r="U70" s="2047"/>
      <c r="V70" s="2047"/>
      <c r="W70" s="2047"/>
      <c r="X70" s="2047"/>
      <c r="Y70" s="2047"/>
      <c r="Z70" s="2047"/>
      <c r="AA70" s="2047"/>
      <c r="AB70" s="2047"/>
      <c r="AC70" s="2047"/>
    </row>
    <row r="71" spans="1:29" s="1291" customFormat="1" ht="15.75" thickBot="1">
      <c r="A71" s="677"/>
      <c r="B71" s="668"/>
      <c r="C71" s="682"/>
      <c r="D71" s="661"/>
      <c r="E71" s="661"/>
      <c r="F71" s="661"/>
      <c r="G71" s="661"/>
      <c r="H71" s="661"/>
      <c r="I71" s="661"/>
      <c r="J71" s="661"/>
      <c r="K71" s="661"/>
      <c r="L71" s="661"/>
      <c r="M71" s="662"/>
      <c r="N71" s="2043"/>
      <c r="O71" s="2043"/>
      <c r="P71" s="2045"/>
      <c r="Q71" s="2046"/>
      <c r="R71" s="2047"/>
      <c r="S71" s="2047"/>
      <c r="T71" s="2047"/>
      <c r="U71" s="2047"/>
      <c r="V71" s="2047"/>
      <c r="W71" s="2047"/>
      <c r="X71" s="2047"/>
      <c r="Y71" s="2047"/>
      <c r="Z71" s="2047"/>
      <c r="AA71" s="2047"/>
      <c r="AB71" s="2047"/>
      <c r="AC71" s="2047"/>
    </row>
    <row r="72" spans="1:29" s="1291" customFormat="1" ht="15.75" thickTop="1">
      <c r="A72" s="677"/>
      <c r="B72" s="663">
        <f>B13</f>
        <v>111</v>
      </c>
      <c r="C72" s="678"/>
      <c r="D72" s="678"/>
      <c r="E72" s="678"/>
      <c r="F72" s="678"/>
      <c r="G72" s="678"/>
      <c r="H72" s="679"/>
      <c r="I72" s="679"/>
      <c r="J72" s="679"/>
      <c r="K72" s="679"/>
      <c r="L72" s="680"/>
      <c r="M72" s="681"/>
      <c r="N72" s="2044"/>
      <c r="O72" s="2044"/>
      <c r="P72" s="2048"/>
      <c r="Q72" s="2049"/>
      <c r="R72" s="2047"/>
      <c r="S72" s="2047"/>
      <c r="T72" s="2047"/>
      <c r="U72" s="2047"/>
      <c r="V72" s="2047"/>
      <c r="W72" s="2047"/>
      <c r="X72" s="2047"/>
      <c r="Y72" s="2047"/>
      <c r="Z72" s="2047"/>
      <c r="AA72" s="2047"/>
      <c r="AB72" s="2047"/>
      <c r="AC72" s="2047"/>
    </row>
    <row r="73" spans="1:29" s="1291" customFormat="1" ht="15.75" thickBot="1">
      <c r="A73" s="677"/>
      <c r="B73" s="668"/>
      <c r="C73" s="682"/>
      <c r="D73" s="661"/>
      <c r="E73" s="661"/>
      <c r="F73" s="661"/>
      <c r="G73" s="682"/>
      <c r="H73" s="683"/>
      <c r="I73" s="683"/>
      <c r="J73" s="683"/>
      <c r="K73" s="683"/>
      <c r="L73" s="683"/>
      <c r="M73" s="684"/>
      <c r="N73" s="2044"/>
      <c r="O73" s="2044"/>
      <c r="P73" s="2045"/>
      <c r="Q73" s="2046"/>
      <c r="R73" s="2047"/>
      <c r="S73" s="2047"/>
      <c r="T73" s="2047"/>
      <c r="U73" s="2047"/>
      <c r="V73" s="2047"/>
      <c r="W73" s="2047"/>
      <c r="X73" s="2047"/>
      <c r="Y73" s="2047"/>
      <c r="Z73" s="2047"/>
      <c r="AA73" s="2047"/>
      <c r="AB73" s="2047"/>
      <c r="AC73" s="2047"/>
    </row>
    <row r="74" spans="1:29" s="1291" customFormat="1" ht="15.75" thickTop="1">
      <c r="A74" s="677"/>
      <c r="B74" s="671">
        <f>B14</f>
        <v>111</v>
      </c>
      <c r="C74" s="678"/>
      <c r="D74" s="678"/>
      <c r="E74" s="678"/>
      <c r="F74" s="678"/>
      <c r="G74" s="651"/>
      <c r="H74" s="685"/>
      <c r="I74" s="685"/>
      <c r="J74" s="685"/>
      <c r="K74" s="685"/>
      <c r="L74" s="686"/>
      <c r="M74" s="687"/>
      <c r="N74" s="2044"/>
      <c r="O74" s="2044"/>
      <c r="P74" s="2050"/>
      <c r="Q74" s="2046"/>
      <c r="R74" s="2047"/>
      <c r="S74" s="2047"/>
      <c r="T74" s="2047"/>
      <c r="U74" s="2047"/>
      <c r="V74" s="2047"/>
      <c r="W74" s="2047"/>
      <c r="X74" s="2047"/>
      <c r="Y74" s="2047"/>
      <c r="Z74" s="2047"/>
      <c r="AA74" s="2047"/>
      <c r="AB74" s="2047"/>
      <c r="AC74" s="2047"/>
    </row>
    <row r="75" spans="1:29" s="1291" customFormat="1" ht="15.75" thickBot="1">
      <c r="A75" s="688"/>
      <c r="B75" s="689"/>
      <c r="C75" s="690"/>
      <c r="D75" s="690"/>
      <c r="E75" s="690"/>
      <c r="F75" s="690"/>
      <c r="G75" s="690"/>
      <c r="H75" s="691"/>
      <c r="I75" s="691"/>
      <c r="J75" s="691"/>
      <c r="K75" s="691"/>
      <c r="L75" s="691"/>
      <c r="M75" s="692"/>
      <c r="N75" s="2044"/>
      <c r="O75" s="2044"/>
      <c r="P75" s="2045"/>
      <c r="Q75" s="2046"/>
      <c r="R75" s="2047"/>
      <c r="S75" s="2047"/>
      <c r="T75" s="2047"/>
      <c r="U75" s="2047"/>
      <c r="V75" s="2047"/>
      <c r="W75" s="2047"/>
      <c r="X75" s="2047"/>
      <c r="Y75" s="2047"/>
      <c r="Z75" s="2047"/>
      <c r="AA75" s="2047"/>
      <c r="AB75" s="2047"/>
      <c r="AC75" s="2047"/>
    </row>
    <row r="76" spans="1:29">
      <c r="A76" s="654" t="s">
        <v>533</v>
      </c>
      <c r="B76" s="655" t="s">
        <v>572</v>
      </c>
      <c r="C76" s="693" t="s">
        <v>573</v>
      </c>
      <c r="D76" s="693" t="s">
        <v>574</v>
      </c>
      <c r="E76" s="693" t="s">
        <v>575</v>
      </c>
      <c r="F76" s="693" t="s">
        <v>576</v>
      </c>
      <c r="G76" s="693" t="s">
        <v>577</v>
      </c>
      <c r="H76" s="694"/>
      <c r="I76" s="694"/>
      <c r="J76" s="694"/>
      <c r="K76" s="695"/>
      <c r="L76" s="696"/>
      <c r="M76" s="697"/>
      <c r="N76" s="2041"/>
      <c r="O76" s="2041"/>
      <c r="P76" s="2051"/>
      <c r="Q76" s="2035"/>
      <c r="R76" s="2023"/>
      <c r="S76" s="2023"/>
      <c r="T76" s="2023"/>
      <c r="U76" s="2023"/>
      <c r="V76" s="2023"/>
      <c r="W76" s="2023"/>
      <c r="X76" s="2023"/>
      <c r="Y76" s="2023"/>
      <c r="Z76" s="2023"/>
      <c r="AA76" s="2023"/>
      <c r="AB76" s="2023"/>
      <c r="AC76" s="2023"/>
    </row>
    <row r="77" spans="1:29" ht="15.75" thickBot="1">
      <c r="A77" s="659"/>
      <c r="B77" s="668"/>
      <c r="C77" s="669">
        <v>100</v>
      </c>
      <c r="D77" s="669">
        <f>C77-$K15</f>
        <v>95</v>
      </c>
      <c r="E77" s="669">
        <f>D77-$K15</f>
        <v>90</v>
      </c>
      <c r="F77" s="669">
        <f>E77-$K15</f>
        <v>85</v>
      </c>
      <c r="G77" s="669">
        <f>F77-$K15</f>
        <v>80</v>
      </c>
      <c r="H77" s="669"/>
      <c r="I77" s="669"/>
      <c r="J77" s="669"/>
      <c r="K77" s="669"/>
      <c r="L77" s="669"/>
      <c r="M77" s="670"/>
      <c r="N77" s="2043"/>
      <c r="O77" s="2043"/>
      <c r="P77" s="2042"/>
      <c r="Q77" s="2035"/>
      <c r="R77" s="2023"/>
      <c r="S77" s="2023"/>
      <c r="T77" s="2023"/>
      <c r="U77" s="2023"/>
      <c r="V77" s="2023"/>
      <c r="W77" s="2023"/>
      <c r="X77" s="2023"/>
      <c r="Y77" s="2023"/>
      <c r="Z77" s="2023"/>
      <c r="AA77" s="2023"/>
      <c r="AB77" s="2023"/>
      <c r="AC77" s="2023"/>
    </row>
    <row r="78" spans="1:29" ht="15.75" thickTop="1">
      <c r="A78" s="659"/>
      <c r="B78" s="663" t="s">
        <v>580</v>
      </c>
      <c r="C78" s="698" t="s">
        <v>573</v>
      </c>
      <c r="D78" s="698" t="s">
        <v>574</v>
      </c>
      <c r="E78" s="698" t="s">
        <v>575</v>
      </c>
      <c r="F78" s="698" t="s">
        <v>576</v>
      </c>
      <c r="G78" s="698" t="s">
        <v>577</v>
      </c>
      <c r="H78" s="664"/>
      <c r="I78" s="664"/>
      <c r="J78" s="664"/>
      <c r="K78" s="665"/>
      <c r="L78" s="666"/>
      <c r="M78" s="667"/>
      <c r="N78" s="2041"/>
      <c r="O78" s="2041"/>
      <c r="P78" s="2042"/>
      <c r="Q78" s="2035"/>
      <c r="R78" s="2023"/>
      <c r="S78" s="2023"/>
      <c r="T78" s="2023"/>
      <c r="U78" s="2023"/>
      <c r="V78" s="2023"/>
      <c r="W78" s="2023"/>
      <c r="X78" s="2023"/>
      <c r="Y78" s="2023"/>
      <c r="Z78" s="2023"/>
      <c r="AA78" s="2023"/>
      <c r="AB78" s="2023"/>
      <c r="AC78" s="2023"/>
    </row>
    <row r="79" spans="1:29" ht="15.75" thickBot="1">
      <c r="A79" s="659"/>
      <c r="B79" s="668"/>
      <c r="C79" s="669">
        <v>100</v>
      </c>
      <c r="D79" s="669">
        <f>C79-$K17</f>
        <v>95</v>
      </c>
      <c r="E79" s="669">
        <f>D79-$K17</f>
        <v>90</v>
      </c>
      <c r="F79" s="669">
        <f>E79-$K17</f>
        <v>85</v>
      </c>
      <c r="G79" s="669">
        <f>F79-$K17</f>
        <v>80</v>
      </c>
      <c r="H79" s="669"/>
      <c r="I79" s="669"/>
      <c r="J79" s="669"/>
      <c r="K79" s="669"/>
      <c r="L79" s="669"/>
      <c r="M79" s="670"/>
      <c r="N79" s="2043"/>
      <c r="O79" s="2043"/>
      <c r="P79" s="2042"/>
      <c r="Q79" s="2035"/>
      <c r="R79" s="2023"/>
      <c r="S79" s="2023"/>
      <c r="T79" s="2023"/>
      <c r="U79" s="2023"/>
      <c r="V79" s="2023"/>
      <c r="W79" s="2023"/>
      <c r="X79" s="2023"/>
      <c r="Y79" s="2023"/>
      <c r="Z79" s="2023"/>
      <c r="AA79" s="2023"/>
      <c r="AB79" s="2023"/>
      <c r="AC79" s="2023"/>
    </row>
    <row r="80" spans="1:29" ht="15.75" thickTop="1">
      <c r="A80" s="659"/>
      <c r="B80" s="1806" t="s">
        <v>2538</v>
      </c>
      <c r="C80" s="698" t="s">
        <v>573</v>
      </c>
      <c r="D80" s="698" t="s">
        <v>574</v>
      </c>
      <c r="E80" s="698" t="s">
        <v>575</v>
      </c>
      <c r="F80" s="698" t="s">
        <v>576</v>
      </c>
      <c r="G80" s="698" t="s">
        <v>577</v>
      </c>
      <c r="H80" s="664"/>
      <c r="I80" s="664"/>
      <c r="J80" s="664"/>
      <c r="K80" s="665"/>
      <c r="L80" s="666"/>
      <c r="M80" s="667"/>
      <c r="N80" s="2041"/>
      <c r="O80" s="2041"/>
      <c r="P80" s="2042"/>
      <c r="Q80" s="2035"/>
      <c r="R80" s="2023"/>
      <c r="S80" s="2023"/>
      <c r="T80" s="2023"/>
      <c r="U80" s="2023"/>
      <c r="V80" s="2023"/>
      <c r="W80" s="2023"/>
      <c r="X80" s="2023"/>
      <c r="Y80" s="2023"/>
      <c r="Z80" s="2023"/>
      <c r="AA80" s="2023"/>
      <c r="AB80" s="2023"/>
      <c r="AC80" s="2023"/>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3"/>
      <c r="O81" s="2043"/>
      <c r="P81" s="2042"/>
      <c r="Q81" s="2035"/>
      <c r="R81" s="2023"/>
      <c r="S81" s="2023"/>
      <c r="T81" s="2023"/>
      <c r="U81" s="2023"/>
      <c r="V81" s="2023"/>
      <c r="W81" s="2023"/>
      <c r="X81" s="2023"/>
      <c r="Y81" s="2023"/>
      <c r="Z81" s="2023"/>
      <c r="AA81" s="2023"/>
      <c r="AB81" s="2023"/>
      <c r="AC81" s="2023"/>
    </row>
    <row r="82" spans="1:29" ht="15.75" thickTop="1">
      <c r="A82" s="659"/>
      <c r="B82" s="2437" t="s">
        <v>2539</v>
      </c>
      <c r="C82" s="2438" t="s">
        <v>2540</v>
      </c>
      <c r="D82" s="2438" t="s">
        <v>2541</v>
      </c>
      <c r="E82" s="2438" t="s">
        <v>2542</v>
      </c>
      <c r="F82" s="2438" t="s">
        <v>2543</v>
      </c>
      <c r="G82" s="2438" t="s">
        <v>2544</v>
      </c>
      <c r="H82" s="664"/>
      <c r="I82" s="664"/>
      <c r="J82" s="664"/>
      <c r="K82" s="664"/>
      <c r="L82" s="664"/>
      <c r="M82" s="2441"/>
      <c r="N82" s="2043"/>
      <c r="O82" s="2043"/>
      <c r="P82" s="2042"/>
      <c r="Q82" s="2035"/>
      <c r="R82" s="2023"/>
      <c r="S82" s="2023"/>
      <c r="T82" s="2023"/>
      <c r="U82" s="2023"/>
      <c r="V82" s="2023"/>
      <c r="W82" s="2023"/>
      <c r="X82" s="2023"/>
      <c r="Y82" s="2023"/>
      <c r="Z82" s="2023"/>
      <c r="AA82" s="2023"/>
      <c r="AB82" s="2023"/>
      <c r="AC82" s="2023"/>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3"/>
      <c r="O83" s="2043"/>
      <c r="P83" s="2042"/>
      <c r="Q83" s="2035"/>
      <c r="R83" s="2023"/>
      <c r="S83" s="2023"/>
      <c r="T83" s="2023"/>
      <c r="U83" s="2023"/>
      <c r="V83" s="2023"/>
      <c r="W83" s="2023"/>
      <c r="X83" s="2023"/>
      <c r="Y83" s="2023"/>
      <c r="Z83" s="2023"/>
      <c r="AA83" s="2023"/>
      <c r="AB83" s="2023"/>
      <c r="AC83" s="2023"/>
    </row>
    <row r="84" spans="1:29" ht="15.75" thickTop="1">
      <c r="A84" s="659"/>
      <c r="B84" s="663" t="s">
        <v>738</v>
      </c>
      <c r="C84" s="698" t="s">
        <v>573</v>
      </c>
      <c r="D84" s="698" t="s">
        <v>574</v>
      </c>
      <c r="E84" s="698" t="s">
        <v>575</v>
      </c>
      <c r="F84" s="698" t="s">
        <v>576</v>
      </c>
      <c r="G84" s="698" t="s">
        <v>577</v>
      </c>
      <c r="H84" s="664"/>
      <c r="I84" s="664"/>
      <c r="J84" s="664"/>
      <c r="K84" s="665"/>
      <c r="L84" s="666"/>
      <c r="M84" s="667"/>
      <c r="N84" s="2041"/>
      <c r="O84" s="2041"/>
      <c r="P84" s="2042"/>
      <c r="Q84" s="2035"/>
      <c r="R84" s="2023"/>
      <c r="S84" s="2023"/>
      <c r="T84" s="2023"/>
      <c r="U84" s="2023"/>
      <c r="V84" s="2023"/>
      <c r="W84" s="2023"/>
      <c r="X84" s="2023"/>
      <c r="Y84" s="2023"/>
      <c r="Z84" s="2023"/>
      <c r="AA84" s="2023"/>
      <c r="AB84" s="2023"/>
      <c r="AC84" s="2023"/>
    </row>
    <row r="85" spans="1:29" ht="15.75" thickBot="1">
      <c r="A85" s="659"/>
      <c r="B85" s="668"/>
      <c r="C85" s="669">
        <v>100</v>
      </c>
      <c r="D85" s="669">
        <f>C85-$K23</f>
        <v>98</v>
      </c>
      <c r="E85" s="669">
        <f>D85-$K23</f>
        <v>96</v>
      </c>
      <c r="F85" s="669">
        <f>E85-$K23</f>
        <v>94</v>
      </c>
      <c r="G85" s="669">
        <f>F85-$K23</f>
        <v>92</v>
      </c>
      <c r="H85" s="669"/>
      <c r="I85" s="669"/>
      <c r="J85" s="669"/>
      <c r="K85" s="669"/>
      <c r="L85" s="669"/>
      <c r="M85" s="670"/>
      <c r="N85" s="2043"/>
      <c r="O85" s="2043"/>
      <c r="P85" s="2042"/>
      <c r="Q85" s="2035"/>
      <c r="R85" s="2023"/>
      <c r="S85" s="2023"/>
      <c r="T85" s="2023"/>
      <c r="U85" s="2023"/>
      <c r="V85" s="2023"/>
      <c r="W85" s="2023"/>
      <c r="X85" s="2023"/>
      <c r="Y85" s="2023"/>
      <c r="Z85" s="2023"/>
      <c r="AA85" s="2023"/>
      <c r="AB85" s="2023"/>
      <c r="AC85" s="2023"/>
    </row>
    <row r="86" spans="1:29" s="1201" customFormat="1" ht="15.75" thickTop="1">
      <c r="A86" s="699"/>
      <c r="B86" s="663" t="s">
        <v>765</v>
      </c>
      <c r="C86" s="3322" t="s">
        <v>3108</v>
      </c>
      <c r="D86" s="3322" t="s">
        <v>3109</v>
      </c>
      <c r="E86" s="3322" t="s">
        <v>3110</v>
      </c>
      <c r="F86" s="678"/>
      <c r="G86" s="678"/>
      <c r="H86" s="678"/>
      <c r="I86" s="678"/>
      <c r="J86" s="678"/>
      <c r="K86" s="678"/>
      <c r="L86" s="877"/>
      <c r="M86" s="878"/>
      <c r="N86" s="2039"/>
      <c r="O86" s="2039"/>
      <c r="P86" s="2042"/>
      <c r="Q86" s="2035"/>
      <c r="R86" s="1901"/>
      <c r="S86" s="1901"/>
      <c r="T86" s="1901"/>
      <c r="U86" s="1901"/>
      <c r="V86" s="1901"/>
      <c r="W86" s="1901"/>
      <c r="X86" s="1901"/>
      <c r="Y86" s="1901"/>
      <c r="Z86" s="1901"/>
      <c r="AA86" s="1901"/>
      <c r="AB86" s="1901"/>
      <c r="AC86" s="1901"/>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3"/>
      <c r="O87" s="2043"/>
      <c r="P87" s="2042"/>
      <c r="Q87" s="2035"/>
      <c r="R87" s="1901"/>
      <c r="S87" s="1901"/>
      <c r="T87" s="1901"/>
      <c r="U87" s="1901"/>
      <c r="V87" s="1901"/>
      <c r="W87" s="1901"/>
      <c r="X87" s="1901"/>
      <c r="Y87" s="1901"/>
      <c r="Z87" s="1901"/>
      <c r="AA87" s="1901"/>
      <c r="AB87" s="1901"/>
      <c r="AC87" s="1901"/>
    </row>
    <row r="88" spans="1:29" s="1201" customFormat="1" ht="15.75" thickTop="1">
      <c r="A88" s="699"/>
      <c r="B88" s="663" t="str">
        <f>B26</f>
        <v>平面位置/可视性</v>
      </c>
      <c r="C88" s="3322" t="s">
        <v>3111</v>
      </c>
      <c r="D88" s="3322" t="s">
        <v>3112</v>
      </c>
      <c r="E88" s="3322" t="s">
        <v>3103</v>
      </c>
      <c r="F88" s="879"/>
      <c r="G88" s="678"/>
      <c r="H88" s="678"/>
      <c r="I88" s="678"/>
      <c r="J88" s="678"/>
      <c r="K88" s="678"/>
      <c r="L88" s="678"/>
      <c r="M88" s="878"/>
      <c r="N88" s="2039"/>
      <c r="O88" s="2039"/>
      <c r="P88" s="2042"/>
      <c r="Q88" s="2035"/>
      <c r="R88" s="1901"/>
      <c r="S88" s="1901"/>
      <c r="T88" s="1901"/>
      <c r="U88" s="1901"/>
      <c r="V88" s="1901"/>
      <c r="W88" s="1901"/>
      <c r="X88" s="1901"/>
      <c r="Y88" s="1901"/>
      <c r="Z88" s="1901"/>
      <c r="AA88" s="1901"/>
      <c r="AB88" s="1901"/>
      <c r="AC88" s="1901"/>
    </row>
    <row r="89" spans="1:29" s="1201" customFormat="1" ht="15.75" thickBot="1">
      <c r="A89" s="699"/>
      <c r="B89" s="668"/>
      <c r="C89" s="682">
        <v>100</v>
      </c>
      <c r="D89" s="661">
        <v>98</v>
      </c>
      <c r="E89" s="661">
        <v>96</v>
      </c>
      <c r="F89" s="661"/>
      <c r="G89" s="661"/>
      <c r="H89" s="661"/>
      <c r="I89" s="661"/>
      <c r="J89" s="661"/>
      <c r="K89" s="661"/>
      <c r="L89" s="661"/>
      <c r="M89" s="661"/>
      <c r="N89" s="2043"/>
      <c r="O89" s="2043"/>
      <c r="P89" s="2042"/>
      <c r="Q89" s="2035"/>
      <c r="R89" s="1901"/>
      <c r="S89" s="1901"/>
      <c r="T89" s="1901"/>
      <c r="U89" s="1901"/>
      <c r="V89" s="1901"/>
      <c r="W89" s="1901"/>
      <c r="X89" s="1901"/>
      <c r="Y89" s="1901"/>
      <c r="Z89" s="1901"/>
      <c r="AA89" s="1901"/>
      <c r="AB89" s="1901"/>
      <c r="AC89" s="1901"/>
    </row>
    <row r="90" spans="1:29" s="1291" customFormat="1" ht="15.75" thickTop="1">
      <c r="A90" s="677"/>
      <c r="B90" s="663" t="str">
        <f>B27</f>
        <v>人流量</v>
      </c>
      <c r="C90" s="3322" t="s">
        <v>3102</v>
      </c>
      <c r="D90" s="3322" t="s">
        <v>3103</v>
      </c>
      <c r="E90" s="678"/>
      <c r="F90" s="678"/>
      <c r="G90" s="678"/>
      <c r="H90" s="679"/>
      <c r="I90" s="679"/>
      <c r="J90" s="679"/>
      <c r="K90" s="679"/>
      <c r="L90" s="680"/>
      <c r="M90" s="681"/>
      <c r="N90" s="2044"/>
      <c r="O90" s="2044"/>
      <c r="P90" s="2045"/>
      <c r="Q90" s="2046"/>
      <c r="R90" s="2047"/>
      <c r="S90" s="2047"/>
      <c r="T90" s="2047"/>
      <c r="U90" s="2047"/>
      <c r="V90" s="2047"/>
      <c r="W90" s="2047"/>
      <c r="X90" s="2047"/>
      <c r="Y90" s="2047"/>
      <c r="Z90" s="2047"/>
      <c r="AA90" s="2047"/>
      <c r="AB90" s="2047"/>
      <c r="AC90" s="2047"/>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9"/>
      <c r="B92" s="663" t="str">
        <f>B28</f>
        <v>楼层</v>
      </c>
      <c r="C92" s="678"/>
      <c r="D92" s="678"/>
      <c r="E92" s="678"/>
      <c r="F92" s="678"/>
      <c r="G92" s="678"/>
      <c r="H92" s="678"/>
      <c r="I92" s="678"/>
      <c r="J92" s="678"/>
      <c r="K92" s="678"/>
      <c r="L92" s="877"/>
      <c r="M92" s="878"/>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1"/>
      <c r="D93" s="661"/>
      <c r="E93" s="661"/>
      <c r="F93" s="661"/>
      <c r="G93" s="661"/>
      <c r="H93" s="661"/>
      <c r="I93" s="661"/>
      <c r="J93" s="661"/>
      <c r="K93" s="661"/>
      <c r="L93" s="661"/>
      <c r="M93" s="662"/>
      <c r="N93" s="2043"/>
      <c r="O93" s="2043"/>
      <c r="P93" s="2042"/>
      <c r="Q93" s="2035"/>
      <c r="R93" s="2023"/>
      <c r="S93" s="2023"/>
      <c r="T93" s="2023"/>
      <c r="U93" s="2023"/>
      <c r="V93" s="2023"/>
      <c r="W93" s="2023"/>
      <c r="X93" s="2023"/>
      <c r="Y93" s="2023"/>
      <c r="Z93" s="2023"/>
      <c r="AA93" s="2023"/>
      <c r="AB93" s="2023"/>
      <c r="AC93" s="2023"/>
    </row>
    <row r="94" spans="1:29" ht="15.75" thickTop="1">
      <c r="A94" s="659"/>
      <c r="B94" s="663">
        <f>B29</f>
        <v>111</v>
      </c>
      <c r="C94" s="678"/>
      <c r="D94" s="678"/>
      <c r="E94" s="678"/>
      <c r="F94" s="678"/>
      <c r="G94" s="708"/>
      <c r="H94" s="708"/>
      <c r="I94" s="708"/>
      <c r="J94" s="708"/>
      <c r="K94" s="709"/>
      <c r="L94" s="710"/>
      <c r="M94" s="711"/>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82"/>
      <c r="D95" s="661"/>
      <c r="E95" s="661"/>
      <c r="F95" s="661"/>
      <c r="G95" s="661"/>
      <c r="H95" s="661"/>
      <c r="I95" s="661"/>
      <c r="J95" s="661"/>
      <c r="K95" s="661"/>
      <c r="L95" s="661"/>
      <c r="M95" s="662"/>
      <c r="N95" s="2043"/>
      <c r="O95" s="2043"/>
      <c r="P95" s="2042"/>
      <c r="Q95" s="2035"/>
      <c r="R95" s="2023"/>
      <c r="S95" s="2023"/>
      <c r="T95" s="2023"/>
      <c r="U95" s="2023"/>
      <c r="V95" s="2023"/>
      <c r="W95" s="2023"/>
      <c r="X95" s="2023"/>
      <c r="Y95" s="2023"/>
      <c r="Z95" s="2023"/>
      <c r="AA95" s="2023"/>
      <c r="AB95" s="2023"/>
      <c r="AC95" s="2023"/>
    </row>
    <row r="96" spans="1:29" ht="15.75" thickTop="1">
      <c r="A96" s="659"/>
      <c r="B96" s="663">
        <f>B30</f>
        <v>111</v>
      </c>
      <c r="C96" s="678"/>
      <c r="D96" s="678"/>
      <c r="E96" s="678"/>
      <c r="F96" s="678"/>
      <c r="G96" s="708"/>
      <c r="H96" s="708"/>
      <c r="I96" s="708"/>
      <c r="J96" s="708"/>
      <c r="K96" s="709"/>
      <c r="L96" s="710"/>
      <c r="M96" s="711"/>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82"/>
      <c r="D97" s="661"/>
      <c r="E97" s="661"/>
      <c r="F97" s="661"/>
      <c r="G97" s="661"/>
      <c r="H97" s="661"/>
      <c r="I97" s="661"/>
      <c r="J97" s="661"/>
      <c r="K97" s="661"/>
      <c r="L97" s="661"/>
      <c r="M97" s="662"/>
      <c r="N97" s="2043"/>
      <c r="O97" s="2043"/>
      <c r="P97" s="2042"/>
      <c r="Q97" s="2035"/>
      <c r="R97" s="2023"/>
      <c r="S97" s="2023"/>
      <c r="T97" s="2023"/>
      <c r="U97" s="2023"/>
      <c r="V97" s="2023"/>
      <c r="W97" s="2023"/>
      <c r="X97" s="2023"/>
      <c r="Y97" s="2023"/>
      <c r="Z97" s="2023"/>
      <c r="AA97" s="2023"/>
      <c r="AB97" s="2023"/>
      <c r="AC97" s="2023"/>
    </row>
    <row r="98" spans="1:29" ht="15.75" thickTop="1">
      <c r="A98" s="659"/>
      <c r="B98" s="671">
        <f>B31</f>
        <v>111</v>
      </c>
      <c r="C98" s="678"/>
      <c r="D98" s="678"/>
      <c r="E98" s="678"/>
      <c r="F98" s="678"/>
      <c r="G98" s="712"/>
      <c r="H98" s="712"/>
      <c r="I98" s="712"/>
      <c r="J98" s="712"/>
      <c r="K98" s="713"/>
      <c r="L98" s="714"/>
      <c r="M98" s="715"/>
      <c r="N98" s="2041"/>
      <c r="O98" s="2041"/>
      <c r="P98" s="2042"/>
      <c r="Q98" s="2035"/>
      <c r="R98" s="2023"/>
      <c r="S98" s="2023"/>
      <c r="T98" s="2023"/>
      <c r="U98" s="2023"/>
      <c r="V98" s="2023"/>
      <c r="W98" s="2023"/>
      <c r="X98" s="2023"/>
      <c r="Y98" s="2023"/>
      <c r="Z98" s="2023"/>
      <c r="AA98" s="2023"/>
      <c r="AB98" s="2023"/>
      <c r="AC98" s="2023"/>
    </row>
    <row r="99" spans="1:29" ht="15.75" thickBot="1">
      <c r="A99" s="880"/>
      <c r="B99" s="689"/>
      <c r="C99" s="690"/>
      <c r="D99" s="690"/>
      <c r="E99" s="690"/>
      <c r="F99" s="690"/>
      <c r="G99" s="716"/>
      <c r="H99" s="716"/>
      <c r="I99" s="716"/>
      <c r="J99" s="716"/>
      <c r="K99" s="716"/>
      <c r="L99" s="716"/>
      <c r="M99" s="717"/>
      <c r="N99" s="2043"/>
      <c r="O99" s="2043"/>
      <c r="P99" s="2042"/>
      <c r="Q99" s="2035"/>
      <c r="R99" s="2023"/>
      <c r="S99" s="2023"/>
      <c r="T99" s="2023"/>
      <c r="U99" s="2023"/>
      <c r="V99" s="2023"/>
      <c r="W99" s="2023"/>
      <c r="X99" s="2023"/>
      <c r="Y99" s="2023"/>
      <c r="Z99" s="2023"/>
      <c r="AA99" s="2023"/>
      <c r="AB99" s="2023"/>
      <c r="AC99" s="2023"/>
    </row>
    <row r="100" spans="1:29">
      <c r="A100" s="654" t="s">
        <v>545</v>
      </c>
      <c r="B100" s="655" t="s">
        <v>766</v>
      </c>
      <c r="C100" s="3323" t="s">
        <v>3113</v>
      </c>
      <c r="D100" s="3323" t="s">
        <v>3122</v>
      </c>
      <c r="E100" s="3323" t="s">
        <v>3115</v>
      </c>
      <c r="F100" s="3374" t="s">
        <v>3711</v>
      </c>
      <c r="G100" s="590"/>
      <c r="H100" s="590"/>
      <c r="I100" s="590"/>
      <c r="J100" s="590"/>
      <c r="K100" s="656"/>
      <c r="L100" s="657"/>
      <c r="M100" s="658"/>
      <c r="N100" s="2041"/>
      <c r="O100" s="2041"/>
      <c r="P100" s="2042"/>
      <c r="Q100" s="2035"/>
      <c r="R100" s="2023"/>
      <c r="S100" s="2023"/>
      <c r="T100" s="2023"/>
      <c r="U100" s="2023"/>
      <c r="V100" s="2023"/>
      <c r="W100" s="2023"/>
      <c r="X100" s="2023"/>
      <c r="Y100" s="2023"/>
      <c r="Z100" s="2023"/>
      <c r="AA100" s="2023"/>
      <c r="AB100" s="2023"/>
      <c r="AC100" s="2023"/>
    </row>
    <row r="101" spans="1:29" ht="15.75" thickBot="1">
      <c r="A101" s="659"/>
      <c r="B101" s="668"/>
      <c r="C101" s="669">
        <v>100</v>
      </c>
      <c r="D101" s="669">
        <f t="shared" ref="D101:M101" si="21">C101-$K32</f>
        <v>98</v>
      </c>
      <c r="E101" s="669">
        <f t="shared" si="21"/>
        <v>96</v>
      </c>
      <c r="F101" s="669">
        <f t="shared" si="21"/>
        <v>94</v>
      </c>
      <c r="G101" s="669">
        <f t="shared" si="21"/>
        <v>92</v>
      </c>
      <c r="H101" s="669">
        <f t="shared" si="21"/>
        <v>90</v>
      </c>
      <c r="I101" s="669">
        <f t="shared" si="21"/>
        <v>88</v>
      </c>
      <c r="J101" s="669">
        <f t="shared" si="21"/>
        <v>86</v>
      </c>
      <c r="K101" s="669">
        <f t="shared" si="21"/>
        <v>84</v>
      </c>
      <c r="L101" s="669">
        <f t="shared" si="21"/>
        <v>82</v>
      </c>
      <c r="M101" s="670">
        <f t="shared" si="21"/>
        <v>80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9"/>
      <c r="B102" s="663" t="s">
        <v>742</v>
      </c>
      <c r="C102" s="698" t="str">
        <f>C103&amp;"(含)"&amp;"-"&amp;D103</f>
        <v>0(含)-500</v>
      </c>
      <c r="D102" s="698" t="str">
        <f t="shared" ref="D102:L102" si="22">D103&amp;"(含)"&amp;"-"&amp;E103</f>
        <v>500(含)-1000</v>
      </c>
      <c r="E102" s="698" t="str">
        <f t="shared" si="22"/>
        <v>1000(含)-2000</v>
      </c>
      <c r="F102" s="698" t="str">
        <f t="shared" si="22"/>
        <v>2000(含)-10000</v>
      </c>
      <c r="G102" s="698" t="str">
        <f t="shared" si="22"/>
        <v>10000(含)-50000</v>
      </c>
      <c r="H102" s="698" t="str">
        <f t="shared" si="22"/>
        <v>50000(含)-100000</v>
      </c>
      <c r="I102" s="698" t="str">
        <f t="shared" si="22"/>
        <v>100000(含)-</v>
      </c>
      <c r="J102" s="698" t="str">
        <f t="shared" si="22"/>
        <v>(含)-</v>
      </c>
      <c r="K102" s="698" t="str">
        <f t="shared" si="22"/>
        <v>(含)-</v>
      </c>
      <c r="L102" s="698" t="str">
        <f t="shared" si="22"/>
        <v>(含)-</v>
      </c>
      <c r="M102" s="701"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1" customFormat="1">
      <c r="A103" s="718"/>
      <c r="B103" s="719"/>
      <c r="C103" s="720">
        <v>0</v>
      </c>
      <c r="D103" s="720">
        <v>500</v>
      </c>
      <c r="E103" s="720">
        <v>1000</v>
      </c>
      <c r="F103" s="720">
        <v>2000</v>
      </c>
      <c r="G103" s="720">
        <v>10000</v>
      </c>
      <c r="H103" s="720">
        <v>50000</v>
      </c>
      <c r="I103" s="720">
        <v>100000</v>
      </c>
      <c r="J103" s="721"/>
      <c r="K103" s="721"/>
      <c r="L103" s="722"/>
      <c r="M103" s="723"/>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Bot="1">
      <c r="A104" s="677"/>
      <c r="B104" s="668"/>
      <c r="C104" s="682">
        <v>100</v>
      </c>
      <c r="D104" s="661">
        <v>101</v>
      </c>
      <c r="E104" s="661">
        <v>100</v>
      </c>
      <c r="F104" s="661">
        <v>99</v>
      </c>
      <c r="G104" s="661">
        <v>98</v>
      </c>
      <c r="H104" s="661">
        <v>97</v>
      </c>
      <c r="I104" s="661">
        <v>96</v>
      </c>
      <c r="J104" s="661"/>
      <c r="K104" s="661"/>
      <c r="L104" s="661"/>
      <c r="M104" s="662"/>
      <c r="N104" s="2043"/>
      <c r="O104" s="2043"/>
      <c r="P104" s="2045"/>
      <c r="Q104" s="2046"/>
      <c r="R104" s="2047"/>
      <c r="S104" s="2047"/>
      <c r="T104" s="2047"/>
      <c r="U104" s="2047"/>
      <c r="V104" s="2047"/>
      <c r="W104" s="2047"/>
      <c r="X104" s="2047"/>
      <c r="Y104" s="2047"/>
      <c r="Z104" s="2047"/>
      <c r="AA104" s="2047"/>
      <c r="AB104" s="2047"/>
      <c r="AC104" s="2047"/>
    </row>
    <row r="105" spans="1:29" ht="15" thickTop="1">
      <c r="A105" s="725"/>
      <c r="B105" s="663" t="s">
        <v>743</v>
      </c>
      <c r="C105" s="3322" t="s">
        <v>3116</v>
      </c>
      <c r="D105" s="3322"/>
      <c r="E105" s="3322"/>
      <c r="F105" s="3322"/>
      <c r="G105" s="708"/>
      <c r="H105" s="708"/>
      <c r="I105" s="708"/>
      <c r="J105" s="708"/>
      <c r="K105" s="709"/>
      <c r="L105" s="710"/>
      <c r="M105" s="711"/>
      <c r="N105" s="2041"/>
      <c r="O105" s="2041"/>
      <c r="P105" s="2042"/>
      <c r="Q105" s="2035"/>
      <c r="R105" s="2023"/>
      <c r="S105" s="2023"/>
      <c r="T105" s="2023"/>
      <c r="U105" s="2023"/>
      <c r="V105" s="2023"/>
      <c r="W105" s="2023"/>
      <c r="X105" s="2023"/>
      <c r="Y105" s="2023"/>
      <c r="Z105" s="2023"/>
      <c r="AA105" s="2023"/>
      <c r="AB105" s="2023"/>
      <c r="AC105" s="2023"/>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5"/>
      <c r="B107" s="663" t="s">
        <v>745</v>
      </c>
      <c r="C107" s="3322" t="s">
        <v>3117</v>
      </c>
      <c r="D107" s="678"/>
      <c r="E107" s="678"/>
      <c r="F107" s="708"/>
      <c r="G107" s="708"/>
      <c r="H107" s="708"/>
      <c r="I107" s="708"/>
      <c r="J107" s="708"/>
      <c r="K107" s="709"/>
      <c r="L107" s="710"/>
      <c r="M107" s="711"/>
      <c r="N107" s="2041"/>
      <c r="O107" s="2041"/>
      <c r="P107" s="2042"/>
      <c r="Q107" s="2035"/>
      <c r="R107" s="2023"/>
      <c r="S107" s="2023"/>
      <c r="T107" s="2023"/>
      <c r="U107" s="2023"/>
      <c r="V107" s="2023"/>
      <c r="W107" s="2023"/>
      <c r="X107" s="2023"/>
      <c r="Y107" s="2023"/>
      <c r="Z107" s="2023"/>
      <c r="AA107" s="2023"/>
      <c r="AB107" s="2023"/>
      <c r="AC107" s="2023"/>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5"/>
      <c r="B109" s="663" t="s">
        <v>746</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1"/>
      <c r="O109" s="2041"/>
      <c r="P109" s="2042"/>
      <c r="Q109" s="2035"/>
      <c r="R109" s="2023"/>
      <c r="S109" s="2023"/>
      <c r="T109" s="2023"/>
      <c r="U109" s="2023"/>
      <c r="V109" s="2023"/>
      <c r="W109" s="2023"/>
      <c r="X109" s="2023"/>
      <c r="Y109" s="2023"/>
      <c r="Z109" s="2023"/>
      <c r="AA109" s="2023"/>
      <c r="AB109" s="2023"/>
      <c r="AC109" s="2023"/>
    </row>
    <row r="110" spans="1:29">
      <c r="A110" s="725"/>
      <c r="B110" s="671"/>
      <c r="C110" s="881">
        <v>0.5</v>
      </c>
      <c r="D110" s="881">
        <v>0.6</v>
      </c>
      <c r="E110" s="881">
        <v>0.7</v>
      </c>
      <c r="F110" s="881">
        <v>0.8</v>
      </c>
      <c r="G110" s="881">
        <v>0.9</v>
      </c>
      <c r="H110" s="881">
        <v>1.0001</v>
      </c>
      <c r="I110" s="892"/>
      <c r="J110" s="892"/>
      <c r="K110" s="893"/>
      <c r="L110" s="894"/>
      <c r="M110" s="895"/>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702">
        <v>100</v>
      </c>
      <c r="D111" s="669">
        <f>C111+$K36</f>
        <v>106</v>
      </c>
      <c r="E111" s="669">
        <f t="shared" ref="E111:M111" si="25">D111+$K36</f>
        <v>112</v>
      </c>
      <c r="F111" s="669">
        <f t="shared" si="25"/>
        <v>118</v>
      </c>
      <c r="G111" s="669">
        <f t="shared" si="25"/>
        <v>124</v>
      </c>
      <c r="H111" s="669">
        <f t="shared" si="25"/>
        <v>130</v>
      </c>
      <c r="I111" s="669">
        <f t="shared" si="25"/>
        <v>136</v>
      </c>
      <c r="J111" s="669">
        <f t="shared" si="25"/>
        <v>142</v>
      </c>
      <c r="K111" s="669">
        <f t="shared" si="25"/>
        <v>148</v>
      </c>
      <c r="L111" s="669">
        <f t="shared" si="25"/>
        <v>154</v>
      </c>
      <c r="M111" s="669">
        <f t="shared" si="25"/>
        <v>160</v>
      </c>
      <c r="N111" s="2043"/>
      <c r="O111" s="2043"/>
      <c r="P111" s="2042"/>
      <c r="Q111" s="2035"/>
      <c r="R111" s="2023"/>
      <c r="S111" s="2023"/>
      <c r="T111" s="2023"/>
      <c r="U111" s="2023"/>
      <c r="V111" s="2023"/>
      <c r="W111" s="2023"/>
      <c r="X111" s="2023"/>
      <c r="Y111" s="2023"/>
      <c r="Z111" s="2023"/>
      <c r="AA111" s="2023"/>
      <c r="AB111" s="2023"/>
      <c r="AC111" s="2023"/>
    </row>
    <row r="112" spans="1:29" s="1291" customFormat="1" ht="15" thickTop="1">
      <c r="A112" s="718"/>
      <c r="B112" s="1806" t="s">
        <v>2537</v>
      </c>
      <c r="C112" s="3322" t="s">
        <v>2532</v>
      </c>
      <c r="D112" s="3322" t="s">
        <v>2533</v>
      </c>
      <c r="E112" s="678"/>
      <c r="F112" s="678"/>
      <c r="G112" s="678"/>
      <c r="H112" s="708"/>
      <c r="I112" s="708"/>
      <c r="J112" s="708"/>
      <c r="K112" s="709"/>
      <c r="L112" s="710"/>
      <c r="M112" s="711"/>
      <c r="N112" s="2044"/>
      <c r="O112" s="2044"/>
      <c r="P112" s="2045"/>
      <c r="Q112" s="2046"/>
      <c r="R112" s="2047"/>
      <c r="S112" s="2047"/>
      <c r="T112" s="2047"/>
      <c r="U112" s="2047"/>
      <c r="V112" s="2047"/>
      <c r="W112" s="2047"/>
      <c r="X112" s="2047"/>
      <c r="Y112" s="2047"/>
      <c r="Z112" s="2047"/>
      <c r="AA112" s="2047"/>
      <c r="AB112" s="2047"/>
      <c r="AC112" s="2047"/>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5"/>
      <c r="B114" s="663" t="s">
        <v>767</v>
      </c>
      <c r="C114" s="678"/>
      <c r="D114" s="678"/>
      <c r="E114" s="708"/>
      <c r="F114" s="708"/>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5"/>
      <c r="B116" s="663" t="s">
        <v>768</v>
      </c>
      <c r="C116" s="678" t="s">
        <v>3125</v>
      </c>
      <c r="D116" s="3322" t="s">
        <v>3123</v>
      </c>
      <c r="E116" s="678"/>
      <c r="F116" s="678"/>
      <c r="G116" s="678"/>
      <c r="H116" s="708"/>
      <c r="I116" s="708"/>
      <c r="J116" s="708"/>
      <c r="K116" s="709"/>
      <c r="L116" s="710"/>
      <c r="M116" s="711"/>
      <c r="N116" s="2041"/>
      <c r="O116" s="2041"/>
      <c r="P116" s="2042"/>
      <c r="Q116" s="2035"/>
      <c r="R116" s="2023"/>
      <c r="S116" s="2023"/>
      <c r="T116" s="2023"/>
      <c r="U116" s="2023"/>
      <c r="V116" s="2023"/>
      <c r="W116" s="2023"/>
      <c r="X116" s="2023"/>
      <c r="Y116" s="2023"/>
      <c r="Z116" s="2023"/>
      <c r="AA116" s="2023"/>
      <c r="AB116" s="2023"/>
      <c r="AC116" s="2023"/>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3"/>
      <c r="O117" s="2043"/>
      <c r="P117" s="2042"/>
      <c r="Q117" s="2035"/>
      <c r="R117" s="2023"/>
      <c r="S117" s="2023"/>
      <c r="T117" s="2023"/>
      <c r="U117" s="2023"/>
      <c r="V117" s="2023"/>
      <c r="W117" s="2023"/>
      <c r="X117" s="2023"/>
      <c r="Y117" s="2023"/>
      <c r="Z117" s="2023"/>
      <c r="AA117" s="2023"/>
      <c r="AB117" s="2023"/>
      <c r="AC117" s="2023"/>
    </row>
    <row r="118" spans="1:29" ht="15" thickTop="1">
      <c r="A118" s="725"/>
      <c r="B118" s="663" t="s">
        <v>769</v>
      </c>
      <c r="C118" s="896"/>
      <c r="D118" s="896"/>
      <c r="E118" s="896"/>
      <c r="F118" s="896"/>
      <c r="G118" s="896"/>
      <c r="H118" s="679"/>
      <c r="I118" s="679"/>
      <c r="J118" s="679"/>
      <c r="K118" s="679"/>
      <c r="L118" s="680"/>
      <c r="M118" s="681"/>
      <c r="N118" s="2041"/>
      <c r="O118" s="2041"/>
      <c r="P118" s="2042"/>
      <c r="Q118" s="2035"/>
      <c r="R118" s="2023"/>
      <c r="S118" s="2023"/>
      <c r="T118" s="2023"/>
      <c r="U118" s="2023"/>
      <c r="V118" s="2023"/>
      <c r="W118" s="2023"/>
      <c r="X118" s="2023"/>
      <c r="Y118" s="2023"/>
      <c r="Z118" s="2023"/>
      <c r="AA118" s="2023"/>
      <c r="AB118" s="2023"/>
      <c r="AC118" s="2023"/>
    </row>
    <row r="119" spans="1:29" ht="15.75" thickBot="1">
      <c r="A119" s="659"/>
      <c r="B119" s="668"/>
      <c r="C119" s="682"/>
      <c r="D119" s="661"/>
      <c r="E119" s="661"/>
      <c r="F119" s="661"/>
      <c r="G119" s="661"/>
      <c r="H119" s="661"/>
      <c r="I119" s="661"/>
      <c r="J119" s="661"/>
      <c r="K119" s="661"/>
      <c r="L119" s="661"/>
      <c r="M119" s="662"/>
      <c r="N119" s="2043"/>
      <c r="O119" s="2043"/>
      <c r="P119" s="2042"/>
      <c r="Q119" s="2035"/>
      <c r="R119" s="2023"/>
      <c r="S119" s="2023"/>
      <c r="T119" s="2023"/>
      <c r="U119" s="2023"/>
      <c r="V119" s="2023"/>
      <c r="W119" s="2023"/>
      <c r="X119" s="2023"/>
      <c r="Y119" s="2023"/>
      <c r="Z119" s="2023"/>
      <c r="AA119" s="2023"/>
      <c r="AB119" s="2023"/>
      <c r="AC119" s="2023"/>
    </row>
    <row r="120" spans="1:29" s="1291" customFormat="1" ht="15" thickTop="1">
      <c r="A120" s="718"/>
      <c r="B120" s="663" t="s">
        <v>770</v>
      </c>
      <c r="C120" s="708"/>
      <c r="D120" s="708"/>
      <c r="E120" s="708"/>
      <c r="F120" s="708"/>
      <c r="G120" s="679"/>
      <c r="H120" s="679"/>
      <c r="I120" s="679"/>
      <c r="J120" s="679"/>
      <c r="K120" s="679"/>
      <c r="L120" s="680"/>
      <c r="M120" s="681"/>
      <c r="N120" s="2044"/>
      <c r="O120" s="2044"/>
      <c r="P120" s="2045"/>
      <c r="Q120" s="2046"/>
      <c r="R120" s="2047"/>
      <c r="S120" s="2047"/>
      <c r="T120" s="2047"/>
      <c r="U120" s="2047"/>
      <c r="V120" s="2047"/>
      <c r="W120" s="2047"/>
      <c r="X120" s="2047"/>
      <c r="Y120" s="2047"/>
      <c r="Z120" s="2047"/>
      <c r="AA120" s="2047"/>
      <c r="AB120" s="2047"/>
      <c r="AC120" s="2047"/>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5"/>
      <c r="B122" s="663" t="s">
        <v>749</v>
      </c>
      <c r="C122" s="3322" t="s">
        <v>3118</v>
      </c>
      <c r="D122" s="3322" t="s">
        <v>3117</v>
      </c>
      <c r="E122" s="3322" t="s">
        <v>3119</v>
      </c>
      <c r="F122" s="3324" t="s">
        <v>3120</v>
      </c>
      <c r="G122" s="708"/>
      <c r="H122" s="708"/>
      <c r="I122" s="708"/>
      <c r="J122" s="708"/>
      <c r="K122" s="709"/>
      <c r="L122" s="710"/>
      <c r="M122" s="711"/>
      <c r="N122" s="2041"/>
      <c r="O122" s="2041"/>
      <c r="P122" s="2042"/>
      <c r="Q122" s="2035"/>
      <c r="R122" s="2023"/>
      <c r="S122" s="2023"/>
      <c r="T122" s="2023"/>
      <c r="U122" s="2023"/>
      <c r="V122" s="2023"/>
      <c r="W122" s="2023"/>
      <c r="X122" s="2023"/>
      <c r="Y122" s="2023"/>
      <c r="Z122" s="2023"/>
      <c r="AA122" s="2023"/>
      <c r="AB122" s="2023"/>
      <c r="AC122" s="2023"/>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5"/>
      <c r="B124" s="663" t="s">
        <v>750</v>
      </c>
      <c r="C124" s="698" t="s">
        <v>573</v>
      </c>
      <c r="D124" s="698" t="s">
        <v>574</v>
      </c>
      <c r="E124" s="698" t="s">
        <v>575</v>
      </c>
      <c r="F124" s="698" t="s">
        <v>576</v>
      </c>
      <c r="G124" s="698" t="s">
        <v>577</v>
      </c>
      <c r="H124" s="664"/>
      <c r="I124" s="664"/>
      <c r="J124" s="664"/>
      <c r="K124" s="665"/>
      <c r="L124" s="666"/>
      <c r="M124" s="667"/>
      <c r="N124" s="2041"/>
      <c r="O124" s="2041"/>
      <c r="P124" s="2045"/>
      <c r="Q124" s="2035"/>
      <c r="R124" s="2023"/>
      <c r="S124" s="2023"/>
      <c r="T124" s="2023"/>
      <c r="U124" s="2023"/>
      <c r="V124" s="2023"/>
      <c r="W124" s="2023"/>
      <c r="X124" s="2023"/>
      <c r="Y124" s="2023"/>
      <c r="Z124" s="2023"/>
      <c r="AA124" s="2023"/>
      <c r="AB124" s="2023"/>
      <c r="AC124" s="2023"/>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3"/>
      <c r="O125" s="2043"/>
      <c r="P125" s="2042"/>
      <c r="Q125" s="2035"/>
      <c r="R125" s="2023"/>
      <c r="S125" s="2023"/>
      <c r="T125" s="2023"/>
      <c r="U125" s="2023"/>
      <c r="V125" s="2023"/>
      <c r="W125" s="2023"/>
      <c r="X125" s="2023"/>
      <c r="Y125" s="2023"/>
      <c r="Z125" s="2023"/>
      <c r="AA125" s="2023"/>
      <c r="AB125" s="2023"/>
      <c r="AC125" s="2023"/>
    </row>
    <row r="126" spans="1:29" s="1291" customFormat="1" ht="15" thickTop="1">
      <c r="A126" s="718"/>
      <c r="B126" s="663">
        <f>B44</f>
        <v>111</v>
      </c>
      <c r="C126" s="678"/>
      <c r="D126" s="678"/>
      <c r="E126" s="678"/>
      <c r="F126" s="678"/>
      <c r="G126" s="678"/>
      <c r="H126" s="679"/>
      <c r="I126" s="679"/>
      <c r="J126" s="679"/>
      <c r="K126" s="679"/>
      <c r="L126" s="680"/>
      <c r="M126" s="681"/>
      <c r="N126" s="2044"/>
      <c r="O126" s="2044"/>
      <c r="P126" s="2045"/>
      <c r="Q126" s="2046"/>
      <c r="R126" s="2047"/>
      <c r="S126" s="2047"/>
      <c r="T126" s="2047"/>
      <c r="U126" s="2047"/>
      <c r="V126" s="2047"/>
      <c r="W126" s="2047"/>
      <c r="X126" s="2047"/>
      <c r="Y126" s="2047"/>
      <c r="Z126" s="2047"/>
      <c r="AA126" s="2047"/>
      <c r="AB126" s="2047"/>
      <c r="AC126" s="2047"/>
    </row>
    <row r="127" spans="1:29" s="1291" customFormat="1" ht="15.75" thickBot="1">
      <c r="A127" s="677"/>
      <c r="B127" s="668"/>
      <c r="C127" s="682"/>
      <c r="D127" s="661"/>
      <c r="E127" s="661"/>
      <c r="F127" s="661"/>
      <c r="G127" s="682"/>
      <c r="H127" s="683"/>
      <c r="I127" s="683"/>
      <c r="J127" s="683"/>
      <c r="K127" s="683"/>
      <c r="L127" s="683"/>
      <c r="M127" s="684"/>
      <c r="N127" s="2044"/>
      <c r="O127" s="2044"/>
      <c r="P127" s="2045"/>
      <c r="Q127" s="2046"/>
      <c r="R127" s="2047"/>
      <c r="S127" s="2047"/>
      <c r="T127" s="2047"/>
      <c r="U127" s="2047"/>
      <c r="V127" s="2047"/>
      <c r="W127" s="2047"/>
      <c r="X127" s="2047"/>
      <c r="Y127" s="2047"/>
      <c r="Z127" s="2047"/>
      <c r="AA127" s="2047"/>
      <c r="AB127" s="2047"/>
      <c r="AC127" s="2047"/>
    </row>
    <row r="128" spans="1:29" ht="15" thickTop="1">
      <c r="A128" s="725"/>
      <c r="B128" s="663">
        <f>B45</f>
        <v>111</v>
      </c>
      <c r="C128" s="678"/>
      <c r="D128" s="678"/>
      <c r="E128" s="678"/>
      <c r="F128" s="678"/>
      <c r="G128" s="708"/>
      <c r="H128" s="708"/>
      <c r="I128" s="708"/>
      <c r="J128" s="708"/>
      <c r="K128" s="709"/>
      <c r="L128" s="710"/>
      <c r="M128" s="711"/>
      <c r="N128" s="2041"/>
      <c r="O128" s="2041"/>
      <c r="P128" s="2042"/>
      <c r="Q128" s="2035"/>
      <c r="R128" s="2023"/>
      <c r="S128" s="2023"/>
      <c r="T128" s="2023"/>
      <c r="U128" s="2023"/>
      <c r="V128" s="2023"/>
      <c r="W128" s="2023"/>
      <c r="X128" s="2023"/>
      <c r="Y128" s="2023"/>
      <c r="Z128" s="2023"/>
      <c r="AA128" s="2023"/>
      <c r="AB128" s="2023"/>
      <c r="AC128" s="2023"/>
    </row>
    <row r="129" spans="1:29" ht="15.75" thickBot="1">
      <c r="A129" s="659"/>
      <c r="B129" s="668"/>
      <c r="C129" s="682"/>
      <c r="D129" s="661"/>
      <c r="E129" s="661"/>
      <c r="F129" s="661"/>
      <c r="G129" s="661"/>
      <c r="H129" s="661"/>
      <c r="I129" s="661"/>
      <c r="J129" s="661"/>
      <c r="K129" s="661"/>
      <c r="L129" s="661"/>
      <c r="M129" s="662"/>
      <c r="N129" s="2043"/>
      <c r="O129" s="2043"/>
      <c r="P129" s="2042"/>
      <c r="Q129" s="2035"/>
      <c r="R129" s="2023"/>
      <c r="S129" s="2023"/>
      <c r="T129" s="2023"/>
      <c r="U129" s="2023"/>
      <c r="V129" s="2023"/>
      <c r="W129" s="2023"/>
      <c r="X129" s="2023"/>
      <c r="Y129" s="2023"/>
      <c r="Z129" s="2023"/>
      <c r="AA129" s="2023"/>
      <c r="AB129" s="2023"/>
      <c r="AC129" s="2023"/>
    </row>
    <row r="130" spans="1:29" ht="15" thickTop="1">
      <c r="A130" s="725"/>
      <c r="B130" s="671">
        <f>B46</f>
        <v>111</v>
      </c>
      <c r="C130" s="678"/>
      <c r="D130" s="678"/>
      <c r="E130" s="678"/>
      <c r="F130" s="678"/>
      <c r="G130" s="712"/>
      <c r="H130" s="712"/>
      <c r="I130" s="712"/>
      <c r="J130" s="712"/>
      <c r="K130" s="651"/>
      <c r="L130" s="652"/>
      <c r="M130" s="715"/>
      <c r="N130" s="2041"/>
      <c r="O130" s="2041"/>
      <c r="P130" s="2042"/>
      <c r="Q130" s="2035"/>
      <c r="R130" s="2023"/>
      <c r="S130" s="2023"/>
      <c r="T130" s="2023"/>
      <c r="U130" s="2023"/>
      <c r="V130" s="2023"/>
      <c r="W130" s="2023"/>
      <c r="X130" s="2023"/>
      <c r="Y130" s="2023"/>
      <c r="Z130" s="2023"/>
      <c r="AA130" s="2023"/>
      <c r="AB130" s="2023"/>
      <c r="AC130" s="2023"/>
    </row>
    <row r="131" spans="1:29" ht="15.75" thickBot="1">
      <c r="A131" s="880"/>
      <c r="B131" s="689"/>
      <c r="C131" s="690"/>
      <c r="D131" s="690"/>
      <c r="E131" s="690"/>
      <c r="F131" s="690"/>
      <c r="G131" s="716"/>
      <c r="H131" s="716"/>
      <c r="I131" s="716"/>
      <c r="J131" s="716"/>
      <c r="K131" s="716"/>
      <c r="L131" s="716"/>
      <c r="M131" s="717"/>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202" priority="21" stopIfTrue="1" operator="containsText" text="超过">
      <formula>NOT(ISERROR(SEARCH("超过",F52)))</formula>
    </cfRule>
  </conditionalFormatting>
  <conditionalFormatting sqref="H54">
    <cfRule type="containsText" dxfId="201" priority="19" stopIfTrue="1" operator="containsText" text="超过">
      <formula>NOT(ISERROR(SEARCH("超过",H54)))</formula>
    </cfRule>
  </conditionalFormatting>
  <conditionalFormatting sqref="F54">
    <cfRule type="containsText" dxfId="200" priority="18" stopIfTrue="1" operator="containsText" text="超过">
      <formula>NOT(ISERROR(SEARCH("超过",F54)))</formula>
    </cfRule>
  </conditionalFormatting>
  <conditionalFormatting sqref="F53 H53">
    <cfRule type="containsText" dxfId="199" priority="17" stopIfTrue="1" operator="containsText" text="超过">
      <formula>NOT(ISERROR(SEARCH("超过",F53)))</formula>
    </cfRule>
  </conditionalFormatting>
  <conditionalFormatting sqref="E52">
    <cfRule type="expression" dxfId="198" priority="16" stopIfTrue="1">
      <formula>$F$52="超过30%"</formula>
    </cfRule>
  </conditionalFormatting>
  <conditionalFormatting sqref="E53">
    <cfRule type="expression" dxfId="197" priority="15" stopIfTrue="1">
      <formula>$F$53="超过20%"</formula>
    </cfRule>
  </conditionalFormatting>
  <conditionalFormatting sqref="E54">
    <cfRule type="expression" dxfId="196" priority="14" stopIfTrue="1">
      <formula>$F$54="超过30%"</formula>
    </cfRule>
  </conditionalFormatting>
  <conditionalFormatting sqref="G54">
    <cfRule type="expression" dxfId="195" priority="13" stopIfTrue="1">
      <formula>$H$54="超过30%"</formula>
    </cfRule>
  </conditionalFormatting>
  <conditionalFormatting sqref="G52">
    <cfRule type="expression" dxfId="194" priority="12" stopIfTrue="1">
      <formula>$H$52="超过30%"</formula>
    </cfRule>
  </conditionalFormatting>
  <conditionalFormatting sqref="G53">
    <cfRule type="expression" dxfId="193" priority="11" stopIfTrue="1">
      <formula>$H$53="超过20%"</formula>
    </cfRule>
  </conditionalFormatting>
  <conditionalFormatting sqref="J52">
    <cfRule type="containsText" dxfId="192" priority="10" stopIfTrue="1" operator="containsText" text="超过">
      <formula>NOT(ISERROR(SEARCH("超过",J52)))</formula>
    </cfRule>
  </conditionalFormatting>
  <conditionalFormatting sqref="J54">
    <cfRule type="containsText" dxfId="191" priority="9" stopIfTrue="1" operator="containsText" text="超过">
      <formula>NOT(ISERROR(SEARCH("超过",J54)))</formula>
    </cfRule>
  </conditionalFormatting>
  <conditionalFormatting sqref="J53">
    <cfRule type="containsText" dxfId="190" priority="8" stopIfTrue="1" operator="containsText" text="超过">
      <formula>NOT(ISERROR(SEARCH("超过",J53)))</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L12:M53"/>
  <sheetViews>
    <sheetView topLeftCell="T91" zoomScale="85" zoomScaleNormal="85" workbookViewId="0">
      <selection activeCell="AD94" sqref="AD94"/>
    </sheetView>
  </sheetViews>
  <sheetFormatPr defaultRowHeight="13.5"/>
  <sheetData>
    <row r="12" spans="12:12">
      <c r="L12" s="3311" t="s">
        <v>3297</v>
      </c>
    </row>
    <row r="33" spans="13:13">
      <c r="M33" t="s">
        <v>3100</v>
      </c>
    </row>
    <row r="53" spans="13:13">
      <c r="M53" s="3311" t="s">
        <v>3296</v>
      </c>
    </row>
  </sheetData>
  <phoneticPr fontId="228" type="noConversion"/>
  <hyperlinks>
    <hyperlink ref="L12" r:id="rId1"/>
    <hyperlink ref="M53" r:id="rId2"/>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37" zoomScale="80" zoomScaleNormal="95" zoomScaleSheetLayoutView="80" workbookViewId="0">
      <selection activeCell="A36" sqref="A36:XFD36"/>
    </sheetView>
  </sheetViews>
  <sheetFormatPr defaultColWidth="9" defaultRowHeight="14.25"/>
  <cols>
    <col min="1" max="1" width="15.625" style="1289" customWidth="1"/>
    <col min="2" max="2" width="15.875" style="1289" customWidth="1"/>
    <col min="3" max="3" width="29.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30" s="1288" customFormat="1" ht="20.25">
      <c r="A1" s="494" t="s">
        <v>510</v>
      </c>
      <c r="B1" s="495"/>
      <c r="C1" s="496" t="s">
        <v>511</v>
      </c>
      <c r="D1" s="497" t="s">
        <v>512</v>
      </c>
      <c r="E1" s="498"/>
      <c r="F1" s="420"/>
      <c r="G1" s="498"/>
      <c r="H1" s="498"/>
      <c r="I1" s="498"/>
      <c r="J1" s="498"/>
      <c r="K1" s="499"/>
      <c r="L1" s="3203"/>
      <c r="M1" s="3204"/>
      <c r="N1" s="3204"/>
      <c r="O1" s="3204"/>
      <c r="P1" s="2010"/>
      <c r="Q1" s="2010"/>
      <c r="R1" s="2010"/>
      <c r="S1" s="2010"/>
      <c r="T1" s="2010"/>
      <c r="U1" s="2010"/>
      <c r="V1" s="2010"/>
      <c r="W1" s="2010"/>
      <c r="X1" s="2010"/>
      <c r="Y1" s="2010"/>
      <c r="Z1" s="2010"/>
      <c r="AA1" s="2010"/>
      <c r="AB1" s="2010"/>
      <c r="AC1" s="3205"/>
      <c r="AD1" s="1287"/>
    </row>
    <row r="2" spans="1:30" s="1288" customFormat="1" ht="20.25">
      <c r="A2" s="415" t="s">
        <v>461</v>
      </c>
      <c r="B2" s="500">
        <f>F68</f>
        <v>144311</v>
      </c>
      <c r="C2" s="3213"/>
      <c r="D2" s="3213"/>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c r="AD2" s="1287"/>
    </row>
    <row r="3" spans="1:30" s="1288" customFormat="1" ht="20.25">
      <c r="A3" s="1328" t="s">
        <v>1674</v>
      </c>
      <c r="B3" s="502">
        <f>ROUND(B2*10000/'数据-汇总表'!E3,0)</f>
        <v>11873</v>
      </c>
      <c r="C3" s="3214"/>
      <c r="D3" s="3218"/>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3206"/>
      <c r="AC3" s="1940"/>
    </row>
    <row r="4" spans="1:30" s="1288" customFormat="1" ht="20.25">
      <c r="A4" s="503" t="s">
        <v>514</v>
      </c>
      <c r="B4" s="419">
        <f>IF(B48="单位面积地价",C50,ROUND(B2*10000/'数据-汇总表'!D3,0))</f>
        <v>23868</v>
      </c>
      <c r="C4" s="3214"/>
      <c r="D4" s="3218"/>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30" s="1288" customFormat="1" ht="21" thickBot="1">
      <c r="A5" s="421"/>
      <c r="B5" s="422">
        <f>ROUND(B2/('数据-汇总表'!D3/666.67),0)</f>
        <v>1591</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2010"/>
      <c r="AC5" s="1940"/>
    </row>
    <row r="6" spans="1:30" ht="20.25">
      <c r="A6" s="504" t="s">
        <v>515</v>
      </c>
      <c r="B6" s="505"/>
      <c r="C6" s="3782" t="s">
        <v>516</v>
      </c>
      <c r="D6" s="3783"/>
      <c r="E6" s="3782" t="s">
        <v>517</v>
      </c>
      <c r="F6" s="3783"/>
      <c r="G6" s="3782" t="s">
        <v>518</v>
      </c>
      <c r="H6" s="3783"/>
      <c r="I6" s="3782" t="s">
        <v>519</v>
      </c>
      <c r="J6" s="3783"/>
      <c r="K6" s="506" t="s">
        <v>520</v>
      </c>
      <c r="L6" s="2011"/>
      <c r="M6" s="2010"/>
      <c r="N6" s="2010"/>
      <c r="O6" s="2012"/>
      <c r="P6" s="3786" t="s">
        <v>521</v>
      </c>
      <c r="Q6" s="3787"/>
      <c r="R6" s="3792" t="s">
        <v>517</v>
      </c>
      <c r="S6" s="3793"/>
      <c r="T6" s="3792" t="s">
        <v>518</v>
      </c>
      <c r="U6" s="3793"/>
      <c r="V6" s="3798" t="s">
        <v>519</v>
      </c>
      <c r="W6" s="3798"/>
      <c r="X6" s="1498"/>
      <c r="Y6" s="3792" t="s">
        <v>521</v>
      </c>
      <c r="Z6" s="3793"/>
      <c r="AA6" s="3779" t="s">
        <v>517</v>
      </c>
      <c r="AB6" s="3780" t="s">
        <v>518</v>
      </c>
      <c r="AC6" s="3779" t="s">
        <v>519</v>
      </c>
    </row>
    <row r="7" spans="1:30" ht="20.25">
      <c r="A7" s="507"/>
      <c r="B7" s="508"/>
      <c r="C7" s="3801" t="s">
        <v>2893</v>
      </c>
      <c r="D7" s="3802"/>
      <c r="E7" s="3801" t="str">
        <f>案例2021!B4</f>
        <v>海淀区海淀乡树村（27-604地块）六郎庄拆迁安置房北地块经营性配套部分</v>
      </c>
      <c r="F7" s="3802"/>
      <c r="G7" s="3801" t="str">
        <f>案例2021!B3</f>
        <v>人民日报社小红门职工住宅项目</v>
      </c>
      <c r="H7" s="3802"/>
      <c r="I7" s="3801" t="str">
        <f>'案例-2020'!B4</f>
        <v>朝阳区将台乡颐堤港二期绿隔产业用地（地块1、地块2）</v>
      </c>
      <c r="J7" s="3802"/>
      <c r="K7" s="506"/>
      <c r="L7" s="2011"/>
      <c r="M7" s="2010"/>
      <c r="N7" s="2010"/>
      <c r="O7" s="2012"/>
      <c r="P7" s="3788"/>
      <c r="Q7" s="3789"/>
      <c r="R7" s="3794"/>
      <c r="S7" s="3795"/>
      <c r="T7" s="3794"/>
      <c r="U7" s="3795"/>
      <c r="V7" s="3798"/>
      <c r="W7" s="3798"/>
      <c r="X7" s="1498"/>
      <c r="Y7" s="3794"/>
      <c r="Z7" s="3795"/>
      <c r="AA7" s="3780"/>
      <c r="AB7" s="3780"/>
      <c r="AC7" s="3780"/>
    </row>
    <row r="8" spans="1:30" ht="21" thickBot="1">
      <c r="A8" s="507"/>
      <c r="B8" s="508"/>
      <c r="C8" s="3823" t="s">
        <v>2897</v>
      </c>
      <c r="D8" s="3824"/>
      <c r="E8" s="3825" t="s">
        <v>3814</v>
      </c>
      <c r="F8" s="3824"/>
      <c r="G8" s="3826" t="s">
        <v>3815</v>
      </c>
      <c r="H8" s="3800"/>
      <c r="I8" s="3806" t="s">
        <v>3816</v>
      </c>
      <c r="J8" s="3800"/>
      <c r="K8" s="506" t="s">
        <v>522</v>
      </c>
      <c r="L8" s="2011"/>
      <c r="M8" s="2010"/>
      <c r="N8" s="2010"/>
      <c r="O8" s="2012"/>
      <c r="P8" s="3790"/>
      <c r="Q8" s="3791"/>
      <c r="R8" s="3794"/>
      <c r="S8" s="3795"/>
      <c r="T8" s="3796"/>
      <c r="U8" s="3797"/>
      <c r="V8" s="3798"/>
      <c r="W8" s="3798"/>
      <c r="X8" s="1498"/>
      <c r="Y8" s="3796"/>
      <c r="Z8" s="3797"/>
      <c r="AA8" s="3781"/>
      <c r="AB8" s="3781"/>
      <c r="AC8" s="3781"/>
    </row>
    <row r="9" spans="1:30" s="1201" customFormat="1" ht="21" thickBot="1">
      <c r="A9" s="2625"/>
      <c r="B9" s="2632" t="s">
        <v>523</v>
      </c>
      <c r="C9" s="2624">
        <f>'数据-取费表'!B2</f>
        <v>44412</v>
      </c>
      <c r="D9" s="512">
        <v>100</v>
      </c>
      <c r="E9" s="513">
        <f>案例2021!AA4</f>
        <v>44263</v>
      </c>
      <c r="F9" s="3388">
        <f>SUMIF(72:72,YEAR(E9)&amp;"-"&amp;INT((MONTH(E9)+2)/3),73:73)</f>
        <v>97.797077792020502</v>
      </c>
      <c r="G9" s="515">
        <f>案例2021!AA3</f>
        <v>44214</v>
      </c>
      <c r="H9" s="3389">
        <f>SUMIF(72:72,YEAR(G9)&amp;"-"&amp;INT((MONTH(G9)+2)/3),73:73)</f>
        <v>97.797077792020502</v>
      </c>
      <c r="I9" s="515">
        <f>'案例-2020'!V4</f>
        <v>43869</v>
      </c>
      <c r="J9" s="3389">
        <f>SUMIF(72:72,YEAR(I9)&amp;"-"&amp;INT((MONTH(I9)+2)/3),73:73)</f>
        <v>93.535750315009338</v>
      </c>
      <c r="K9" s="516"/>
      <c r="L9" s="2013"/>
      <c r="M9" s="2010"/>
      <c r="N9" s="2010"/>
      <c r="O9" s="2014"/>
      <c r="P9" s="3803" t="s">
        <v>524</v>
      </c>
      <c r="Q9" s="3805"/>
      <c r="R9" s="1499" t="s">
        <v>8</v>
      </c>
      <c r="S9" s="1500">
        <f t="shared" ref="S9:S17" si="0">F9</f>
        <v>97.797077792020502</v>
      </c>
      <c r="T9" s="1499" t="s">
        <v>8</v>
      </c>
      <c r="U9" s="1500">
        <f t="shared" ref="U9:U17" si="1">H9</f>
        <v>97.797077792020502</v>
      </c>
      <c r="V9" s="1499" t="s">
        <v>8</v>
      </c>
      <c r="W9" s="1500">
        <f t="shared" ref="W9:W17" si="2">J9</f>
        <v>93.535750315009338</v>
      </c>
      <c r="X9" s="1501"/>
      <c r="Y9" s="3803" t="s">
        <v>524</v>
      </c>
      <c r="Z9" s="3804"/>
      <c r="AA9" s="1502">
        <f>D9/F9</f>
        <v>1.0225254400000001</v>
      </c>
      <c r="AB9" s="1502">
        <f>D9/H9</f>
        <v>1.0225254400000001</v>
      </c>
      <c r="AC9" s="1502">
        <f>D9/J9</f>
        <v>1.0691099356472833</v>
      </c>
    </row>
    <row r="10" spans="1:30" s="1201" customFormat="1" ht="21" thickBot="1">
      <c r="A10" s="2626"/>
      <c r="B10" s="2633" t="s">
        <v>525</v>
      </c>
      <c r="C10" s="843" t="s">
        <v>526</v>
      </c>
      <c r="D10" s="512">
        <v>100</v>
      </c>
      <c r="E10" s="517" t="s">
        <v>3053</v>
      </c>
      <c r="F10" s="514">
        <f>SUMIF(75:75,E10,76:76)-SUMIF(75:75,C10,76:76)+100</f>
        <v>100</v>
      </c>
      <c r="G10" s="517" t="s">
        <v>3053</v>
      </c>
      <c r="H10" s="512">
        <f>SUMIF(75:75,G10,76:76)-SUMIF(75:75,C10,76:76)+100</f>
        <v>100</v>
      </c>
      <c r="I10" s="517" t="s">
        <v>3053</v>
      </c>
      <c r="J10" s="512">
        <f>SUMIF(75:75,I10,76:76)-SUMIF(75:75,C10,76:76)+100</f>
        <v>100</v>
      </c>
      <c r="K10" s="516"/>
      <c r="L10" s="2013"/>
      <c r="M10" s="2010"/>
      <c r="N10" s="2010"/>
      <c r="O10" s="2014"/>
      <c r="P10" s="3803" t="s">
        <v>527</v>
      </c>
      <c r="Q10" s="3804"/>
      <c r="R10" s="1499" t="s">
        <v>8</v>
      </c>
      <c r="S10" s="1500">
        <f t="shared" si="0"/>
        <v>100</v>
      </c>
      <c r="T10" s="1499" t="s">
        <v>8</v>
      </c>
      <c r="U10" s="1500">
        <f t="shared" si="1"/>
        <v>100</v>
      </c>
      <c r="V10" s="1499" t="s">
        <v>8</v>
      </c>
      <c r="W10" s="1500">
        <f t="shared" si="2"/>
        <v>100</v>
      </c>
      <c r="X10" s="1501"/>
      <c r="Y10" s="3803" t="s">
        <v>527</v>
      </c>
      <c r="Z10" s="3804"/>
      <c r="AA10" s="1502">
        <f t="shared" ref="AA10:AA47" si="3">D10/F10</f>
        <v>1</v>
      </c>
      <c r="AB10" s="1502">
        <f t="shared" ref="AB10:AB47" si="4">D10/H10</f>
        <v>1</v>
      </c>
      <c r="AC10" s="1502">
        <f t="shared" ref="AC10:AC47" si="5">D10/J10</f>
        <v>1</v>
      </c>
    </row>
    <row r="11" spans="1:30" s="1201" customFormat="1" ht="20.25">
      <c r="A11" s="2627"/>
      <c r="B11" s="2634" t="s">
        <v>2735</v>
      </c>
      <c r="C11" s="2621" t="s">
        <v>2998</v>
      </c>
      <c r="D11" s="250">
        <v>100</v>
      </c>
      <c r="E11" s="518" t="s">
        <v>2998</v>
      </c>
      <c r="F11" s="250">
        <f>SUMIF(77:77,E11,78:78)-SUMIF(77:77,C11,78:78)+100</f>
        <v>100</v>
      </c>
      <c r="G11" s="518" t="s">
        <v>2998</v>
      </c>
      <c r="H11" s="250">
        <f>SUMIF(77:77,G11,78:78)-SUMIF(77:77,C11,78:78)+100</f>
        <v>100</v>
      </c>
      <c r="I11" s="518" t="s">
        <v>3818</v>
      </c>
      <c r="J11" s="250">
        <f>SUMIF(77:77,I11,78:78)-SUMIF(77:77,C11,78:78)+100</f>
        <v>95</v>
      </c>
      <c r="K11" s="516"/>
      <c r="L11" s="2013"/>
      <c r="M11" s="2010"/>
      <c r="N11" s="2010"/>
      <c r="O11" s="2015"/>
      <c r="P11" s="3772" t="s">
        <v>529</v>
      </c>
      <c r="Q11" s="1132" t="str">
        <f t="shared" ref="Q11:Q17" si="6">B11</f>
        <v>用途</v>
      </c>
      <c r="R11" s="1499" t="s">
        <v>8</v>
      </c>
      <c r="S11" s="1500">
        <f t="shared" si="0"/>
        <v>100</v>
      </c>
      <c r="T11" s="1499" t="s">
        <v>8</v>
      </c>
      <c r="U11" s="1500">
        <f t="shared" si="1"/>
        <v>100</v>
      </c>
      <c r="V11" s="1499" t="s">
        <v>8</v>
      </c>
      <c r="W11" s="1500">
        <f t="shared" si="2"/>
        <v>95</v>
      </c>
      <c r="X11" s="1501"/>
      <c r="Y11" s="3675" t="s">
        <v>530</v>
      </c>
      <c r="Z11" s="1131" t="str">
        <f t="shared" ref="Z11:Z17" si="7">Q11</f>
        <v>用途</v>
      </c>
      <c r="AA11" s="1502">
        <f t="shared" si="3"/>
        <v>1</v>
      </c>
      <c r="AB11" s="1502">
        <f t="shared" si="4"/>
        <v>1</v>
      </c>
      <c r="AC11" s="1502">
        <f t="shared" si="5"/>
        <v>1.0526315789473684</v>
      </c>
    </row>
    <row r="12" spans="1:30" s="1290" customFormat="1" ht="27">
      <c r="A12" s="2628"/>
      <c r="B12" s="2633" t="s">
        <v>2736</v>
      </c>
      <c r="C12" s="3396">
        <f>项目基本情况!E19</f>
        <v>23.12</v>
      </c>
      <c r="D12" s="251">
        <v>100</v>
      </c>
      <c r="E12" s="521" t="s">
        <v>3293</v>
      </c>
      <c r="F12" s="3474">
        <v>105</v>
      </c>
      <c r="G12" s="522" t="s">
        <v>3293</v>
      </c>
      <c r="H12" s="3474">
        <f>F12</f>
        <v>105</v>
      </c>
      <c r="I12" s="522" t="s">
        <v>3293</v>
      </c>
      <c r="J12" s="3474">
        <f>F12</f>
        <v>105</v>
      </c>
      <c r="K12" s="523"/>
      <c r="L12" s="2016"/>
      <c r="M12" s="2010"/>
      <c r="N12" s="2010"/>
      <c r="O12" s="2017"/>
      <c r="P12" s="3772"/>
      <c r="Q12" s="1132" t="str">
        <f t="shared" si="6"/>
        <v>土地使用年限（年）</v>
      </c>
      <c r="R12" s="1499" t="s">
        <v>8</v>
      </c>
      <c r="S12" s="1500">
        <f t="shared" si="0"/>
        <v>105</v>
      </c>
      <c r="T12" s="1499" t="s">
        <v>8</v>
      </c>
      <c r="U12" s="1500">
        <f t="shared" si="1"/>
        <v>105</v>
      </c>
      <c r="V12" s="1499" t="s">
        <v>8</v>
      </c>
      <c r="W12" s="1500">
        <f t="shared" si="2"/>
        <v>105</v>
      </c>
      <c r="X12" s="1501"/>
      <c r="Y12" s="3675"/>
      <c r="Z12" s="1131" t="str">
        <f t="shared" si="7"/>
        <v>土地使用年限（年）</v>
      </c>
      <c r="AA12" s="1502">
        <f t="shared" si="3"/>
        <v>0.95238095238095233</v>
      </c>
      <c r="AB12" s="1502">
        <f t="shared" si="4"/>
        <v>0.95238095238095233</v>
      </c>
      <c r="AC12" s="1502">
        <f t="shared" si="5"/>
        <v>0.95238095238095233</v>
      </c>
    </row>
    <row r="13" spans="1:30" ht="20.25">
      <c r="A13" s="2629"/>
      <c r="B13" s="2633" t="s">
        <v>2737</v>
      </c>
      <c r="C13" s="526">
        <f>'数据-汇总表'!I6</f>
        <v>1.1000000000000001</v>
      </c>
      <c r="D13" s="251">
        <v>100</v>
      </c>
      <c r="E13" s="3475">
        <f>案例2021!K4</f>
        <v>2.0590000000000002</v>
      </c>
      <c r="F13" s="251">
        <f>LOOKUP(E13,82:82,83:83)-LOOKUP(C13,82:82,83:83)+100</f>
        <v>98</v>
      </c>
      <c r="G13" s="526">
        <f>案例2021!K3</f>
        <v>2.8</v>
      </c>
      <c r="H13" s="251">
        <f>LOOKUP(G13,82:82,83:83)-LOOKUP(C13,82:82,83:83)+100</f>
        <v>98</v>
      </c>
      <c r="I13" s="525">
        <f>'案例-2020'!I4</f>
        <v>4.68</v>
      </c>
      <c r="J13" s="251">
        <f>LOOKUP(I13,82:82,83:83)-LOOKUP(C13,82:82,83:83)+100</f>
        <v>94</v>
      </c>
      <c r="K13" s="527">
        <v>2</v>
      </c>
      <c r="L13" s="2018"/>
      <c r="M13" s="2010"/>
      <c r="N13" s="2010"/>
      <c r="O13" s="2019"/>
      <c r="P13" s="3772"/>
      <c r="Q13" s="1132" t="str">
        <f t="shared" si="6"/>
        <v>容积率</v>
      </c>
      <c r="R13" s="1499" t="s">
        <v>8</v>
      </c>
      <c r="S13" s="1500">
        <f t="shared" si="0"/>
        <v>98</v>
      </c>
      <c r="T13" s="1499" t="s">
        <v>8</v>
      </c>
      <c r="U13" s="1500">
        <f t="shared" si="1"/>
        <v>98</v>
      </c>
      <c r="V13" s="1499" t="s">
        <v>8</v>
      </c>
      <c r="W13" s="1500">
        <f t="shared" si="2"/>
        <v>94</v>
      </c>
      <c r="X13" s="1501"/>
      <c r="Y13" s="3675"/>
      <c r="Z13" s="1131" t="str">
        <f t="shared" si="7"/>
        <v>容积率</v>
      </c>
      <c r="AA13" s="1502">
        <f t="shared" si="3"/>
        <v>1.0204081632653061</v>
      </c>
      <c r="AB13" s="1502">
        <f t="shared" si="4"/>
        <v>1.0204081632653061</v>
      </c>
      <c r="AC13" s="1502">
        <f t="shared" si="5"/>
        <v>1.0638297872340425</v>
      </c>
    </row>
    <row r="14" spans="1:30" s="1201" customFormat="1" ht="20.25">
      <c r="A14" s="2626"/>
      <c r="B14" s="2635" t="s">
        <v>2738</v>
      </c>
      <c r="C14" s="2622"/>
      <c r="D14" s="530">
        <v>100</v>
      </c>
      <c r="E14" s="1323"/>
      <c r="F14" s="251">
        <f>SUMIF(84:84,E14,85:85)-SUMIF(84:84,C14,85:85)+100</f>
        <v>100</v>
      </c>
      <c r="G14" s="3392"/>
      <c r="H14" s="251">
        <f>SUMIF(84:84,G14,85:85)-SUMIF(84:84,C14,85:85)+100</f>
        <v>100</v>
      </c>
      <c r="I14" s="3393"/>
      <c r="J14" s="251">
        <f>SUMIF(84:84,I14,85:85)-SUMIF(84:84,C14,85:85)+100</f>
        <v>100</v>
      </c>
      <c r="K14" s="523"/>
      <c r="L14" s="2013"/>
      <c r="M14" s="2010"/>
      <c r="N14" s="2010"/>
      <c r="O14" s="2015"/>
      <c r="P14" s="3772"/>
      <c r="Q14" s="1132" t="str">
        <f t="shared" si="6"/>
        <v>配建</v>
      </c>
      <c r="R14" s="1499" t="s">
        <v>8</v>
      </c>
      <c r="S14" s="1500">
        <f t="shared" si="0"/>
        <v>100</v>
      </c>
      <c r="T14" s="1499" t="s">
        <v>8</v>
      </c>
      <c r="U14" s="1500">
        <f t="shared" si="1"/>
        <v>100</v>
      </c>
      <c r="V14" s="1499" t="s">
        <v>8</v>
      </c>
      <c r="W14" s="1500">
        <f t="shared" si="2"/>
        <v>100</v>
      </c>
      <c r="X14" s="1501"/>
      <c r="Y14" s="3675"/>
      <c r="Z14" s="1131" t="str">
        <f t="shared" si="7"/>
        <v>配建</v>
      </c>
      <c r="AA14" s="1502">
        <f>D14/F14</f>
        <v>1</v>
      </c>
      <c r="AB14" s="1502">
        <f>D14/H14</f>
        <v>1</v>
      </c>
      <c r="AC14" s="1502">
        <f>D14/J14</f>
        <v>1</v>
      </c>
    </row>
    <row r="15" spans="1:30" ht="20.25">
      <c r="A15" s="2630"/>
      <c r="B15" s="2636">
        <v>111</v>
      </c>
      <c r="C15" s="899"/>
      <c r="D15" s="532">
        <v>100</v>
      </c>
      <c r="E15" s="533"/>
      <c r="F15" s="251">
        <f>SUMIF(86:86,E15,87:87)-SUMIF(86:86,C15,87:87)+100</f>
        <v>100</v>
      </c>
      <c r="G15" s="534"/>
      <c r="H15" s="532">
        <f>SUMIF(86:86,G15,87:87)-SUMIF(86:86,C15,87:87)+100</f>
        <v>100</v>
      </c>
      <c r="I15" s="534"/>
      <c r="J15" s="532">
        <f>SUMIF(86:86,I15,87:87)-SUMIF(86:86,C15,87:87)+100</f>
        <v>100</v>
      </c>
      <c r="K15" s="523"/>
      <c r="L15" s="2020"/>
      <c r="M15" s="2010"/>
      <c r="N15" s="2010"/>
      <c r="O15" s="2019"/>
      <c r="P15" s="3772"/>
      <c r="Q15" s="1132">
        <f t="shared" si="6"/>
        <v>111</v>
      </c>
      <c r="R15" s="1499" t="s">
        <v>8</v>
      </c>
      <c r="S15" s="1500">
        <f t="shared" si="0"/>
        <v>100</v>
      </c>
      <c r="T15" s="1499" t="s">
        <v>8</v>
      </c>
      <c r="U15" s="1500">
        <f t="shared" si="1"/>
        <v>100</v>
      </c>
      <c r="V15" s="1499" t="s">
        <v>8</v>
      </c>
      <c r="W15" s="1500">
        <f t="shared" si="2"/>
        <v>100</v>
      </c>
      <c r="X15" s="1501"/>
      <c r="Y15" s="3675"/>
      <c r="Z15" s="1131">
        <f t="shared" si="7"/>
        <v>111</v>
      </c>
      <c r="AA15" s="1502">
        <f>D15/F15</f>
        <v>1</v>
      </c>
      <c r="AB15" s="1502">
        <f>D15/H15</f>
        <v>1</v>
      </c>
      <c r="AC15" s="1502">
        <f>D15/J15</f>
        <v>1</v>
      </c>
    </row>
    <row r="16" spans="1:30" ht="21" thickBot="1">
      <c r="A16" s="2631"/>
      <c r="B16" s="2637">
        <v>111</v>
      </c>
      <c r="C16" s="902"/>
      <c r="D16" s="538">
        <v>100</v>
      </c>
      <c r="E16" s="533"/>
      <c r="F16" s="538">
        <f>SUMIF(88:88,E16,89:89)-SUMIF(88:88,C16,89:89)+100</f>
        <v>100</v>
      </c>
      <c r="G16" s="534"/>
      <c r="H16" s="538">
        <f>SUMIF(88:88,G16,89:89)-SUMIF(88:88,C16,89:89)+100</f>
        <v>100</v>
      </c>
      <c r="I16" s="534"/>
      <c r="J16" s="538">
        <f>SUMIF(88:88,I16,89:89)-SUMIF(88:88,C16,89:89)+100</f>
        <v>100</v>
      </c>
      <c r="K16" s="523"/>
      <c r="L16" s="2020"/>
      <c r="M16" s="2010"/>
      <c r="N16" s="2010"/>
      <c r="O16" s="2019"/>
      <c r="P16" s="3772"/>
      <c r="Q16" s="1132">
        <f t="shared" si="6"/>
        <v>111</v>
      </c>
      <c r="R16" s="1499" t="s">
        <v>8</v>
      </c>
      <c r="S16" s="1500">
        <f t="shared" si="0"/>
        <v>100</v>
      </c>
      <c r="T16" s="1499" t="s">
        <v>8</v>
      </c>
      <c r="U16" s="1500">
        <f t="shared" si="1"/>
        <v>100</v>
      </c>
      <c r="V16" s="1499" t="s">
        <v>8</v>
      </c>
      <c r="W16" s="1500">
        <f t="shared" si="2"/>
        <v>100</v>
      </c>
      <c r="X16" s="1501"/>
      <c r="Y16" s="3675"/>
      <c r="Z16" s="1131">
        <f t="shared" si="7"/>
        <v>111</v>
      </c>
      <c r="AA16" s="1502">
        <f>D16/F16</f>
        <v>1</v>
      </c>
      <c r="AB16" s="1502">
        <f>D16/H16</f>
        <v>1</v>
      </c>
      <c r="AC16" s="1502">
        <f>D16/J16</f>
        <v>1</v>
      </c>
    </row>
    <row r="17" spans="1:29" ht="42.75">
      <c r="A17" s="2623" t="s">
        <v>2733</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0"/>
      <c r="M17" s="2010"/>
      <c r="N17" s="2010"/>
      <c r="O17" s="2019"/>
      <c r="P17" s="3774" t="s">
        <v>534</v>
      </c>
      <c r="Q17" s="1503" t="str">
        <f t="shared" si="6"/>
        <v>居住社区成熟度</v>
      </c>
      <c r="R17" s="1504" t="s">
        <v>8</v>
      </c>
      <c r="S17" s="1505">
        <f t="shared" si="0"/>
        <v>100</v>
      </c>
      <c r="T17" s="1504" t="s">
        <v>8</v>
      </c>
      <c r="U17" s="1505">
        <f t="shared" si="1"/>
        <v>100</v>
      </c>
      <c r="V17" s="1504" t="s">
        <v>8</v>
      </c>
      <c r="W17" s="1505">
        <f t="shared" si="2"/>
        <v>100</v>
      </c>
      <c r="X17" s="1498"/>
      <c r="Y17" s="3774" t="s">
        <v>534</v>
      </c>
      <c r="Z17" s="1506" t="str">
        <f t="shared" si="7"/>
        <v>居住社区成熟度</v>
      </c>
      <c r="AA17" s="1507">
        <f t="shared" si="3"/>
        <v>1</v>
      </c>
      <c r="AB17" s="1507">
        <f t="shared" si="4"/>
        <v>1</v>
      </c>
      <c r="AC17" s="1507">
        <f t="shared" si="5"/>
        <v>1</v>
      </c>
    </row>
    <row r="18" spans="1:29" ht="20.25">
      <c r="A18" s="524"/>
      <c r="B18" s="545"/>
      <c r="C18" s="546"/>
      <c r="D18" s="549"/>
      <c r="E18" s="550"/>
      <c r="F18" s="547"/>
      <c r="G18" s="548"/>
      <c r="H18" s="551"/>
      <c r="I18" s="550"/>
      <c r="J18" s="547"/>
      <c r="K18" s="523"/>
      <c r="L18" s="2020"/>
      <c r="M18" s="2010"/>
      <c r="N18" s="2010"/>
      <c r="O18" s="2019"/>
      <c r="P18" s="3775"/>
      <c r="Q18" s="1503"/>
      <c r="R18" s="1504"/>
      <c r="S18" s="1505"/>
      <c r="T18" s="1504"/>
      <c r="U18" s="1505"/>
      <c r="V18" s="1504"/>
      <c r="W18" s="1505"/>
      <c r="X18" s="1498"/>
      <c r="Y18" s="3775"/>
      <c r="Z18" s="1506"/>
      <c r="AA18" s="1507">
        <v>1</v>
      </c>
      <c r="AB18" s="1507">
        <v>1</v>
      </c>
      <c r="AC18" s="1507">
        <v>1</v>
      </c>
    </row>
    <row r="19" spans="1:29" ht="28.5">
      <c r="A19" s="524"/>
      <c r="B19" s="552" t="s">
        <v>535</v>
      </c>
      <c r="C19" s="553" t="str">
        <f>估价对象房地状况!C16</f>
        <v>安泰购购物中心 1.2，商业繁华度一般</v>
      </c>
      <c r="D19" s="555">
        <v>100</v>
      </c>
      <c r="E19" s="556"/>
      <c r="F19" s="551">
        <f>SUMIF(92:92,E20,93:93)-SUMIF(92:92,C20,93:93)+100</f>
        <v>100</v>
      </c>
      <c r="G19" s="554"/>
      <c r="H19" s="557">
        <f>SUMIF(92:92,G20,93:93)-SUMIF(92:92,C20,93:93)+100</f>
        <v>97</v>
      </c>
      <c r="I19" s="556"/>
      <c r="J19" s="557">
        <f>SUMIF(92:92,I20,93:93)-SUMIF(92:92,C20,93:93)+100</f>
        <v>100</v>
      </c>
      <c r="K19" s="527">
        <v>3</v>
      </c>
      <c r="L19" s="2020"/>
      <c r="M19" s="2010"/>
      <c r="N19" s="2010"/>
      <c r="O19" s="2019"/>
      <c r="P19" s="3775"/>
      <c r="Q19" s="1503" t="str">
        <f>B19</f>
        <v>商业繁华度</v>
      </c>
      <c r="R19" s="1504" t="s">
        <v>8</v>
      </c>
      <c r="S19" s="1505">
        <f>F19</f>
        <v>100</v>
      </c>
      <c r="T19" s="1504" t="s">
        <v>8</v>
      </c>
      <c r="U19" s="1505">
        <f>H19</f>
        <v>97</v>
      </c>
      <c r="V19" s="1504" t="s">
        <v>8</v>
      </c>
      <c r="W19" s="1505">
        <f>J19</f>
        <v>100</v>
      </c>
      <c r="X19" s="1498"/>
      <c r="Y19" s="3775"/>
      <c r="Z19" s="1506" t="str">
        <f>Q19</f>
        <v>商业繁华度</v>
      </c>
      <c r="AA19" s="1507">
        <f t="shared" si="3"/>
        <v>1</v>
      </c>
      <c r="AB19" s="1507">
        <f t="shared" si="4"/>
        <v>1.0309278350515463</v>
      </c>
      <c r="AC19" s="1507">
        <f t="shared" si="5"/>
        <v>1</v>
      </c>
    </row>
    <row r="20" spans="1:29" ht="20.25">
      <c r="A20" s="524"/>
      <c r="B20" s="558"/>
      <c r="C20" s="559" t="s">
        <v>3042</v>
      </c>
      <c r="D20" s="555"/>
      <c r="E20" s="561" t="s">
        <v>3042</v>
      </c>
      <c r="F20" s="551"/>
      <c r="G20" s="560" t="s">
        <v>3040</v>
      </c>
      <c r="H20" s="547"/>
      <c r="I20" s="561" t="s">
        <v>3042</v>
      </c>
      <c r="J20" s="547"/>
      <c r="K20" s="523"/>
      <c r="L20" s="2020"/>
      <c r="M20" s="2010"/>
      <c r="N20" s="2010"/>
      <c r="O20" s="2019"/>
      <c r="P20" s="3775"/>
      <c r="Q20" s="1503"/>
      <c r="R20" s="1504"/>
      <c r="S20" s="1505"/>
      <c r="T20" s="1504"/>
      <c r="U20" s="1505"/>
      <c r="V20" s="1504"/>
      <c r="W20" s="1505"/>
      <c r="X20" s="1498"/>
      <c r="Y20" s="3775"/>
      <c r="Z20" s="1506"/>
      <c r="AA20" s="1507">
        <v>1</v>
      </c>
      <c r="AB20" s="1507">
        <v>1</v>
      </c>
      <c r="AC20" s="1507">
        <v>1</v>
      </c>
    </row>
    <row r="21" spans="1:29" ht="57">
      <c r="A21" s="524"/>
      <c r="B21" s="552" t="s">
        <v>536</v>
      </c>
      <c r="C21" s="553" t="str">
        <f>估价对象房地状况!C17</f>
        <v>卫生大厦、新浪总部大厦、百度科技园、网易大厦、腾讯北京总部大楼、联想总部等，办公集聚程度较好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0"/>
      <c r="M21" s="2010"/>
      <c r="N21" s="2010"/>
      <c r="O21" s="2019"/>
      <c r="P21" s="3775"/>
      <c r="Q21" s="1503" t="str">
        <f>B21</f>
        <v>办公集聚程度</v>
      </c>
      <c r="R21" s="1504" t="s">
        <v>8</v>
      </c>
      <c r="S21" s="1505">
        <f>F21</f>
        <v>100</v>
      </c>
      <c r="T21" s="1504" t="s">
        <v>8</v>
      </c>
      <c r="U21" s="1505">
        <f>H21</f>
        <v>100</v>
      </c>
      <c r="V21" s="1504" t="s">
        <v>8</v>
      </c>
      <c r="W21" s="1505">
        <f>J21</f>
        <v>100</v>
      </c>
      <c r="X21" s="1498"/>
      <c r="Y21" s="3775"/>
      <c r="Z21" s="1506" t="str">
        <f>Q21</f>
        <v>办公集聚程度</v>
      </c>
      <c r="AA21" s="1507">
        <f t="shared" si="3"/>
        <v>1</v>
      </c>
      <c r="AB21" s="1507">
        <f t="shared" si="4"/>
        <v>1</v>
      </c>
      <c r="AC21" s="1507">
        <f t="shared" si="5"/>
        <v>1</v>
      </c>
    </row>
    <row r="22" spans="1:29" ht="20.25">
      <c r="A22" s="524"/>
      <c r="B22" s="558"/>
      <c r="C22" s="546"/>
      <c r="D22" s="549"/>
      <c r="E22" s="550"/>
      <c r="F22" s="547"/>
      <c r="G22" s="548"/>
      <c r="H22" s="547"/>
      <c r="I22" s="550"/>
      <c r="J22" s="547"/>
      <c r="K22" s="523"/>
      <c r="L22" s="2020"/>
      <c r="M22" s="2010"/>
      <c r="N22" s="2010"/>
      <c r="O22" s="2019"/>
      <c r="P22" s="3775"/>
      <c r="Q22" s="1503"/>
      <c r="R22" s="1504"/>
      <c r="S22" s="1505"/>
      <c r="T22" s="1504"/>
      <c r="U22" s="1505"/>
      <c r="V22" s="1504"/>
      <c r="W22" s="1505"/>
      <c r="X22" s="1498"/>
      <c r="Y22" s="3775"/>
      <c r="Z22" s="1506"/>
      <c r="AA22" s="1507">
        <v>1</v>
      </c>
      <c r="AB22" s="1507">
        <v>1</v>
      </c>
      <c r="AC22" s="1507">
        <v>1</v>
      </c>
    </row>
    <row r="23" spans="1:29" ht="85.5">
      <c r="A23" s="524"/>
      <c r="B23" s="552" t="s">
        <v>537</v>
      </c>
      <c r="C23" s="565" t="str">
        <f>估价对象房地状况!C18</f>
        <v>紧邻地铁16号线（西北旺站），周边有333路、384路、438路、570路、575路、623路、902路、908路、909路、快速直达专线152路、专143路等多条公交线路，交通便捷度好</v>
      </c>
      <c r="D23" s="555">
        <v>100</v>
      </c>
      <c r="E23" s="556"/>
      <c r="F23" s="557">
        <f>SUMIF(96:96,E24,97:97)-SUMIF(96:96,C24,97:97)+100</f>
        <v>100</v>
      </c>
      <c r="G23" s="554"/>
      <c r="H23" s="551">
        <f>SUMIF(96:96,G24,97:97)-SUMIF(96:96,C24,97:97)+100</f>
        <v>100</v>
      </c>
      <c r="I23" s="556"/>
      <c r="J23" s="551">
        <f>SUMIF(96:96,I24,97:97)-SUMIF(96:96,C24,97:97)+100</f>
        <v>100</v>
      </c>
      <c r="K23" s="527">
        <v>2</v>
      </c>
      <c r="L23" s="2020"/>
      <c r="M23" s="2010"/>
      <c r="N23" s="2010"/>
      <c r="O23" s="2019"/>
      <c r="P23" s="3775"/>
      <c r="Q23" s="1503" t="str">
        <f>B23</f>
        <v>交通便捷度</v>
      </c>
      <c r="R23" s="1504" t="s">
        <v>8</v>
      </c>
      <c r="S23" s="1505">
        <f>F23</f>
        <v>100</v>
      </c>
      <c r="T23" s="1504" t="s">
        <v>8</v>
      </c>
      <c r="U23" s="1505">
        <f>H23</f>
        <v>100</v>
      </c>
      <c r="V23" s="1504" t="s">
        <v>8</v>
      </c>
      <c r="W23" s="1505">
        <f>J23</f>
        <v>100</v>
      </c>
      <c r="X23" s="1498"/>
      <c r="Y23" s="3775"/>
      <c r="Z23" s="1506" t="str">
        <f>Q23</f>
        <v>交通便捷度</v>
      </c>
      <c r="AA23" s="1507">
        <f t="shared" si="3"/>
        <v>1</v>
      </c>
      <c r="AB23" s="1507">
        <f t="shared" si="4"/>
        <v>1</v>
      </c>
      <c r="AC23" s="1507">
        <f t="shared" si="5"/>
        <v>1</v>
      </c>
    </row>
    <row r="24" spans="1:29" ht="20.25">
      <c r="A24" s="524"/>
      <c r="B24" s="570"/>
      <c r="C24" s="546" t="s">
        <v>3042</v>
      </c>
      <c r="D24" s="549"/>
      <c r="E24" s="550" t="s">
        <v>3042</v>
      </c>
      <c r="F24" s="547"/>
      <c r="G24" s="548" t="s">
        <v>3042</v>
      </c>
      <c r="H24" s="547"/>
      <c r="I24" s="550" t="s">
        <v>3042</v>
      </c>
      <c r="J24" s="547"/>
      <c r="K24" s="523"/>
      <c r="L24" s="2020"/>
      <c r="M24" s="2010"/>
      <c r="N24" s="2010"/>
      <c r="O24" s="2019"/>
      <c r="P24" s="3775"/>
      <c r="Q24" s="1503"/>
      <c r="R24" s="1504"/>
      <c r="S24" s="1505"/>
      <c r="T24" s="1504"/>
      <c r="U24" s="1505"/>
      <c r="V24" s="1504"/>
      <c r="W24" s="1505"/>
      <c r="X24" s="1498"/>
      <c r="Y24" s="3775"/>
      <c r="Z24" s="1506"/>
      <c r="AA24" s="1507">
        <v>1</v>
      </c>
      <c r="AB24" s="1507">
        <v>1</v>
      </c>
      <c r="AC24" s="1507">
        <v>1</v>
      </c>
    </row>
    <row r="25" spans="1:29" ht="27">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0</v>
      </c>
      <c r="L25" s="2020"/>
      <c r="M25" s="2010"/>
      <c r="N25" s="2010"/>
      <c r="O25" s="2019"/>
      <c r="P25" s="3775"/>
      <c r="Q25" s="1503" t="str">
        <f t="shared" ref="Q25:Q39" si="8">B25</f>
        <v>区域土地利用方向</v>
      </c>
      <c r="R25" s="1504" t="s">
        <v>8</v>
      </c>
      <c r="S25" s="1505">
        <f>F25</f>
        <v>100</v>
      </c>
      <c r="T25" s="1504" t="s">
        <v>8</v>
      </c>
      <c r="U25" s="1505">
        <f>H25</f>
        <v>100</v>
      </c>
      <c r="V25" s="1504" t="s">
        <v>8</v>
      </c>
      <c r="W25" s="1505">
        <f>J25</f>
        <v>100</v>
      </c>
      <c r="X25" s="1498"/>
      <c r="Y25" s="3775"/>
      <c r="Z25" s="1506" t="str">
        <f>Q25</f>
        <v>区域土地利用方向</v>
      </c>
      <c r="AA25" s="1507">
        <f t="shared" si="3"/>
        <v>1</v>
      </c>
      <c r="AB25" s="1507">
        <f t="shared" si="4"/>
        <v>1</v>
      </c>
      <c r="AC25" s="1507">
        <f t="shared" si="5"/>
        <v>1</v>
      </c>
    </row>
    <row r="26" spans="1:29" ht="20.25">
      <c r="A26" s="507"/>
      <c r="B26" s="992"/>
      <c r="C26" s="546" t="s">
        <v>3042</v>
      </c>
      <c r="D26" s="549"/>
      <c r="E26" s="550" t="s">
        <v>3042</v>
      </c>
      <c r="F26" s="547"/>
      <c r="G26" s="548" t="s">
        <v>3042</v>
      </c>
      <c r="H26" s="547"/>
      <c r="I26" s="550" t="s">
        <v>3042</v>
      </c>
      <c r="J26" s="547"/>
      <c r="K26" s="523"/>
      <c r="L26" s="2020"/>
      <c r="M26" s="2010"/>
      <c r="N26" s="2010"/>
      <c r="O26" s="2019"/>
      <c r="P26" s="3775"/>
      <c r="Q26" s="1503"/>
      <c r="R26" s="1504"/>
      <c r="S26" s="1505"/>
      <c r="T26" s="1504"/>
      <c r="U26" s="1505"/>
      <c r="V26" s="1504"/>
      <c r="W26" s="1505"/>
      <c r="X26" s="1498"/>
      <c r="Y26" s="3775"/>
      <c r="Z26" s="1506"/>
      <c r="AA26" s="1507"/>
      <c r="AB26" s="1507"/>
      <c r="AC26" s="1507"/>
    </row>
    <row r="27" spans="1:29" ht="71.25">
      <c r="A27" s="507"/>
      <c r="B27" s="570" t="s">
        <v>539</v>
      </c>
      <c r="C27" s="553" t="str">
        <f>估价对象房地状况!C20</f>
        <v>区域自然环境：百望山、药用植物园、百旺公园、首师大附中口袋公园、中关村公园、小关村公园、京密引水渠等；人文环境：西北旺镇政府；综合评价环境状况较好</v>
      </c>
      <c r="D27" s="555">
        <v>100</v>
      </c>
      <c r="E27" s="3390" t="s">
        <v>3280</v>
      </c>
      <c r="F27" s="551">
        <f>SUMIF(100:100,E28,101:101)-SUMIF(100:100,C28,101:101)+100</f>
        <v>100</v>
      </c>
      <c r="G27" s="3391" t="s">
        <v>3291</v>
      </c>
      <c r="H27" s="551">
        <f>SUMIF(100:100,G28,101:101)-SUMIF(100:100,C28,101:101)+100</f>
        <v>97</v>
      </c>
      <c r="I27" s="3390" t="s">
        <v>3285</v>
      </c>
      <c r="J27" s="551">
        <f>SUMIF(100:100,I28,101:101)-SUMIF(100:100,C28,101:101)+100</f>
        <v>97</v>
      </c>
      <c r="K27" s="527">
        <v>3</v>
      </c>
      <c r="L27" s="2020"/>
      <c r="M27" s="2010"/>
      <c r="N27" s="2010"/>
      <c r="O27" s="2019"/>
      <c r="P27" s="3775"/>
      <c r="Q27" s="1503" t="str">
        <f t="shared" si="8"/>
        <v>自然及人文环境状况</v>
      </c>
      <c r="R27" s="1504" t="s">
        <v>8</v>
      </c>
      <c r="S27" s="1505">
        <f>F27</f>
        <v>100</v>
      </c>
      <c r="T27" s="1504" t="s">
        <v>8</v>
      </c>
      <c r="U27" s="1505">
        <f>H27</f>
        <v>97</v>
      </c>
      <c r="V27" s="1504" t="s">
        <v>8</v>
      </c>
      <c r="W27" s="1505">
        <f>J27</f>
        <v>97</v>
      </c>
      <c r="X27" s="1498"/>
      <c r="Y27" s="3775"/>
      <c r="Z27" s="1506" t="str">
        <f>Q27</f>
        <v>自然及人文环境状况</v>
      </c>
      <c r="AA27" s="1507">
        <f t="shared" si="3"/>
        <v>1</v>
      </c>
      <c r="AB27" s="1507">
        <f t="shared" si="4"/>
        <v>1.0309278350515463</v>
      </c>
      <c r="AC27" s="1507">
        <f t="shared" si="5"/>
        <v>1.0309278350515463</v>
      </c>
    </row>
    <row r="28" spans="1:29" ht="20.25">
      <c r="A28" s="507"/>
      <c r="B28" s="558"/>
      <c r="C28" s="546" t="s">
        <v>3041</v>
      </c>
      <c r="D28" s="549"/>
      <c r="E28" s="568" t="s">
        <v>3041</v>
      </c>
      <c r="F28" s="547"/>
      <c r="G28" s="546" t="s">
        <v>3042</v>
      </c>
      <c r="H28" s="547"/>
      <c r="I28" s="568" t="s">
        <v>3042</v>
      </c>
      <c r="J28" s="547"/>
      <c r="K28" s="523"/>
      <c r="L28" s="2020"/>
      <c r="M28" s="2010"/>
      <c r="N28" s="2010"/>
      <c r="O28" s="2019"/>
      <c r="P28" s="3775"/>
      <c r="Q28" s="1503"/>
      <c r="R28" s="1504"/>
      <c r="S28" s="1505"/>
      <c r="T28" s="1504"/>
      <c r="U28" s="1505"/>
      <c r="V28" s="1504"/>
      <c r="W28" s="1505"/>
      <c r="X28" s="1498"/>
      <c r="Y28" s="3775"/>
      <c r="Z28" s="1506"/>
      <c r="AA28" s="1507">
        <v>1</v>
      </c>
      <c r="AB28" s="1507">
        <v>1</v>
      </c>
      <c r="AC28" s="1507">
        <v>1</v>
      </c>
    </row>
    <row r="29" spans="1:29" s="1201" customFormat="1" ht="142.5">
      <c r="A29" s="569"/>
      <c r="B29" s="2431" t="s">
        <v>2529</v>
      </c>
      <c r="C29" s="565"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9" s="555">
        <v>100</v>
      </c>
      <c r="E29" s="556"/>
      <c r="F29" s="551">
        <f>SUMIF(102:102,E30,103:103)-SUMIF(102:102,C30,103:103)+100</f>
        <v>100</v>
      </c>
      <c r="G29" s="554"/>
      <c r="H29" s="551">
        <f>SUMIF(102:102,G30,103:103)-SUMIF(102:102,C30,103:103)+100</f>
        <v>100</v>
      </c>
      <c r="I29" s="556"/>
      <c r="J29" s="551">
        <f>SUMIF(102:102,I30,103:103)-SUMIF(102:102,C30,103:103)+100</f>
        <v>100</v>
      </c>
      <c r="K29" s="527">
        <v>2</v>
      </c>
      <c r="L29" s="2013"/>
      <c r="M29" s="2010"/>
      <c r="N29" s="2010"/>
      <c r="O29" s="2015"/>
      <c r="P29" s="3775"/>
      <c r="Q29" s="1132" t="str">
        <f t="shared" si="8"/>
        <v>公共配套设施</v>
      </c>
      <c r="R29" s="1499" t="s">
        <v>8</v>
      </c>
      <c r="S29" s="1500">
        <f>F29</f>
        <v>100</v>
      </c>
      <c r="T29" s="1499" t="s">
        <v>8</v>
      </c>
      <c r="U29" s="1500">
        <f>H29</f>
        <v>100</v>
      </c>
      <c r="V29" s="1499" t="s">
        <v>8</v>
      </c>
      <c r="W29" s="1500">
        <f>J29</f>
        <v>100</v>
      </c>
      <c r="X29" s="1501"/>
      <c r="Y29" s="3775"/>
      <c r="Z29" s="1131" t="str">
        <f>Q29</f>
        <v>公共配套设施</v>
      </c>
      <c r="AA29" s="1507">
        <f>D29/F29</f>
        <v>1</v>
      </c>
      <c r="AB29" s="1507">
        <f>D29/H29</f>
        <v>1</v>
      </c>
      <c r="AC29" s="1507">
        <f>D29/J29</f>
        <v>1</v>
      </c>
    </row>
    <row r="30" spans="1:29" s="1201" customFormat="1" ht="20.25">
      <c r="A30" s="569"/>
      <c r="B30" s="558"/>
      <c r="C30" s="571" t="s">
        <v>3042</v>
      </c>
      <c r="D30" s="549"/>
      <c r="E30" s="568" t="s">
        <v>3042</v>
      </c>
      <c r="F30" s="547"/>
      <c r="G30" s="546" t="s">
        <v>3042</v>
      </c>
      <c r="H30" s="547"/>
      <c r="I30" s="568" t="s">
        <v>3042</v>
      </c>
      <c r="J30" s="547"/>
      <c r="K30" s="523"/>
      <c r="L30" s="2013"/>
      <c r="M30" s="2010"/>
      <c r="N30" s="2010"/>
      <c r="O30" s="2015"/>
      <c r="P30" s="3775"/>
      <c r="Q30" s="1132"/>
      <c r="R30" s="1499"/>
      <c r="S30" s="1500"/>
      <c r="T30" s="1499"/>
      <c r="U30" s="1500"/>
      <c r="V30" s="1499"/>
      <c r="W30" s="1500"/>
      <c r="X30" s="1501"/>
      <c r="Y30" s="3775"/>
      <c r="Z30" s="1131"/>
      <c r="AA30" s="1507">
        <v>1</v>
      </c>
      <c r="AB30" s="1507">
        <v>1</v>
      </c>
      <c r="AC30" s="1507">
        <v>1</v>
      </c>
    </row>
    <row r="31" spans="1:29" s="1201" customFormat="1" ht="20.25">
      <c r="A31" s="569"/>
      <c r="B31" s="2431" t="s">
        <v>2530</v>
      </c>
      <c r="C31" s="565" t="str">
        <f>估价对象房地状况!C22</f>
        <v>七通</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3"/>
      <c r="M31" s="2010"/>
      <c r="N31" s="2010"/>
      <c r="O31" s="2015"/>
      <c r="P31" s="3775"/>
      <c r="Q31" s="2424" t="str">
        <f t="shared" ref="Q31" si="9">B31</f>
        <v>基础设施水平</v>
      </c>
      <c r="R31" s="1499" t="s">
        <v>8</v>
      </c>
      <c r="S31" s="1500">
        <f>F31</f>
        <v>100</v>
      </c>
      <c r="T31" s="1499" t="s">
        <v>8</v>
      </c>
      <c r="U31" s="1500">
        <f>H31</f>
        <v>100</v>
      </c>
      <c r="V31" s="1499" t="s">
        <v>8</v>
      </c>
      <c r="W31" s="1500">
        <f>J31</f>
        <v>100</v>
      </c>
      <c r="X31" s="1501"/>
      <c r="Y31" s="3775"/>
      <c r="Z31" s="2423" t="str">
        <f>Q31</f>
        <v>基础设施水平</v>
      </c>
      <c r="AA31" s="1507">
        <f>D31/F31</f>
        <v>1</v>
      </c>
      <c r="AB31" s="1507">
        <f>D31/H31</f>
        <v>1</v>
      </c>
      <c r="AC31" s="1507">
        <f>D31/J31</f>
        <v>1</v>
      </c>
    </row>
    <row r="32" spans="1:29" s="1201" customFormat="1" ht="20.25">
      <c r="A32" s="569"/>
      <c r="B32" s="558"/>
      <c r="C32" s="571" t="s">
        <v>3027</v>
      </c>
      <c r="D32" s="549"/>
      <c r="E32" s="2432" t="s">
        <v>3027</v>
      </c>
      <c r="F32" s="547"/>
      <c r="G32" s="571" t="s">
        <v>3027</v>
      </c>
      <c r="H32" s="547"/>
      <c r="I32" s="571" t="s">
        <v>3027</v>
      </c>
      <c r="J32" s="547"/>
      <c r="K32" s="523"/>
      <c r="L32" s="2013"/>
      <c r="M32" s="2010"/>
      <c r="N32" s="2010"/>
      <c r="O32" s="2015"/>
      <c r="P32" s="3775"/>
      <c r="Q32" s="2424"/>
      <c r="R32" s="1499"/>
      <c r="S32" s="1500"/>
      <c r="T32" s="1499"/>
      <c r="U32" s="1500"/>
      <c r="V32" s="1499"/>
      <c r="W32" s="1500"/>
      <c r="X32" s="1501"/>
      <c r="Y32" s="3775"/>
      <c r="Z32" s="2423"/>
      <c r="AA32" s="1507">
        <v>1</v>
      </c>
      <c r="AB32" s="1507">
        <v>1</v>
      </c>
      <c r="AC32" s="1507">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0"/>
      <c r="M33" s="2010"/>
      <c r="N33" s="2010"/>
      <c r="O33" s="2019"/>
      <c r="P33" s="3775"/>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775"/>
      <c r="Z33" s="1506" t="str">
        <f t="shared" ref="Z33:Z47" si="13">Q33</f>
        <v>临街状况</v>
      </c>
      <c r="AA33" s="1507">
        <f t="shared" si="3"/>
        <v>1</v>
      </c>
      <c r="AB33" s="1507">
        <f t="shared" si="4"/>
        <v>1</v>
      </c>
      <c r="AC33" s="1507">
        <f t="shared" si="5"/>
        <v>1</v>
      </c>
    </row>
    <row r="34" spans="1:29" ht="27">
      <c r="A34" s="524"/>
      <c r="B34" s="570" t="s">
        <v>542</v>
      </c>
      <c r="C34" s="554"/>
      <c r="D34" s="555">
        <v>100</v>
      </c>
      <c r="E34" s="556"/>
      <c r="F34" s="551">
        <f>SUMIF(108:108,E35,109:109)-SUMIF(108:108,C35,109:109)+100</f>
        <v>100</v>
      </c>
      <c r="G34" s="554"/>
      <c r="H34" s="551">
        <f>SUMIF(108:108,G35,109:109)-SUMIF(108:108,C35,109:109)+100</f>
        <v>100</v>
      </c>
      <c r="I34" s="3390"/>
      <c r="J34" s="551">
        <f>SUMIF(108:108,I35,109:109)-SUMIF(108:108,C35,109:109)+100</f>
        <v>100</v>
      </c>
      <c r="K34" s="527">
        <v>2</v>
      </c>
      <c r="L34" s="2020"/>
      <c r="M34" s="2010"/>
      <c r="N34" s="2010"/>
      <c r="O34" s="2019"/>
      <c r="P34" s="3775"/>
      <c r="Q34" s="1503" t="str">
        <f t="shared" si="8"/>
        <v>毗邻道路的类型与等级</v>
      </c>
      <c r="R34" s="1504" t="s">
        <v>8</v>
      </c>
      <c r="S34" s="1505">
        <f t="shared" si="10"/>
        <v>100</v>
      </c>
      <c r="T34" s="1504" t="s">
        <v>8</v>
      </c>
      <c r="U34" s="1505">
        <f t="shared" si="11"/>
        <v>100</v>
      </c>
      <c r="V34" s="1504" t="s">
        <v>8</v>
      </c>
      <c r="W34" s="1505">
        <f t="shared" si="12"/>
        <v>100</v>
      </c>
      <c r="X34" s="1498"/>
      <c r="Y34" s="3775"/>
      <c r="Z34" s="1506" t="str">
        <f t="shared" si="13"/>
        <v>毗邻道路的类型与等级</v>
      </c>
      <c r="AA34" s="1507">
        <f t="shared" si="3"/>
        <v>1</v>
      </c>
      <c r="AB34" s="1507">
        <f t="shared" si="4"/>
        <v>1</v>
      </c>
      <c r="AC34" s="1507">
        <f t="shared" si="5"/>
        <v>1</v>
      </c>
    </row>
    <row r="35" spans="1:29" ht="20.25">
      <c r="A35" s="524"/>
      <c r="B35" s="558"/>
      <c r="C35" s="546" t="s">
        <v>3257</v>
      </c>
      <c r="D35" s="549"/>
      <c r="E35" s="568" t="s">
        <v>3257</v>
      </c>
      <c r="F35" s="547"/>
      <c r="G35" s="546" t="s">
        <v>3257</v>
      </c>
      <c r="H35" s="547"/>
      <c r="I35" s="568" t="s">
        <v>3257</v>
      </c>
      <c r="J35" s="547"/>
      <c r="K35" s="573"/>
      <c r="L35" s="2020"/>
      <c r="M35" s="2010"/>
      <c r="N35" s="2010"/>
      <c r="O35" s="2019"/>
      <c r="P35" s="3775"/>
      <c r="Q35" s="1503"/>
      <c r="R35" s="1504"/>
      <c r="S35" s="1505"/>
      <c r="T35" s="1504"/>
      <c r="U35" s="1505"/>
      <c r="V35" s="1504"/>
      <c r="W35" s="1505"/>
      <c r="X35" s="1498"/>
      <c r="Y35" s="3775"/>
      <c r="Z35" s="1506"/>
      <c r="AA35" s="1507">
        <v>1</v>
      </c>
      <c r="AB35" s="1507">
        <v>1</v>
      </c>
      <c r="AC35" s="1507">
        <v>1</v>
      </c>
    </row>
    <row r="36" spans="1:29" ht="20.25">
      <c r="A36" s="524"/>
      <c r="B36" s="574" t="s">
        <v>543</v>
      </c>
      <c r="C36" s="572" t="s">
        <v>1398</v>
      </c>
      <c r="D36" s="567">
        <v>100</v>
      </c>
      <c r="E36" s="575" t="s">
        <v>1398</v>
      </c>
      <c r="F36" s="532">
        <f>SUMIF(110:110,E36,111:111)-SUMIF(110:110,C36,111:111)+100</f>
        <v>100</v>
      </c>
      <c r="G36" s="572" t="s">
        <v>1398</v>
      </c>
      <c r="H36" s="532">
        <f>SUMIF(110:110,G36,111:111)-SUMIF(110:110,C36,111:111)+100</f>
        <v>100</v>
      </c>
      <c r="I36" s="575" t="s">
        <v>916</v>
      </c>
      <c r="J36" s="532">
        <f>SUMIF(110:110,I36,111:111)-SUMIF(110:110,C36,111:111)+100</f>
        <v>106</v>
      </c>
      <c r="K36" s="576">
        <v>6</v>
      </c>
      <c r="L36" s="2020"/>
      <c r="M36" s="2010"/>
      <c r="N36" s="2010"/>
      <c r="O36" s="2019"/>
      <c r="P36" s="3775"/>
      <c r="Q36" s="1503" t="str">
        <f t="shared" si="8"/>
        <v>土地级别</v>
      </c>
      <c r="R36" s="1504" t="s">
        <v>8</v>
      </c>
      <c r="S36" s="1505">
        <f t="shared" si="10"/>
        <v>100</v>
      </c>
      <c r="T36" s="1504" t="s">
        <v>8</v>
      </c>
      <c r="U36" s="1505">
        <f t="shared" si="11"/>
        <v>100</v>
      </c>
      <c r="V36" s="1504" t="s">
        <v>8</v>
      </c>
      <c r="W36" s="1505">
        <f t="shared" si="12"/>
        <v>106</v>
      </c>
      <c r="X36" s="1498"/>
      <c r="Y36" s="3775"/>
      <c r="Z36" s="1506" t="str">
        <f t="shared" si="13"/>
        <v>土地级别</v>
      </c>
      <c r="AA36" s="1507">
        <f t="shared" si="3"/>
        <v>1</v>
      </c>
      <c r="AB36" s="1507">
        <f t="shared" si="4"/>
        <v>1</v>
      </c>
      <c r="AC36" s="1507">
        <f t="shared" si="5"/>
        <v>0.94339622641509435</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0"/>
      <c r="M37" s="2010"/>
      <c r="N37" s="2010"/>
      <c r="O37" s="2019"/>
      <c r="P37" s="3775"/>
      <c r="Q37" s="1503">
        <f t="shared" si="8"/>
        <v>111</v>
      </c>
      <c r="R37" s="1504" t="s">
        <v>8</v>
      </c>
      <c r="S37" s="1505">
        <f t="shared" si="10"/>
        <v>100</v>
      </c>
      <c r="T37" s="1504" t="s">
        <v>8</v>
      </c>
      <c r="U37" s="1505">
        <f t="shared" si="11"/>
        <v>100</v>
      </c>
      <c r="V37" s="1504" t="s">
        <v>8</v>
      </c>
      <c r="W37" s="1505">
        <f t="shared" si="12"/>
        <v>100</v>
      </c>
      <c r="X37" s="1498"/>
      <c r="Y37" s="3775"/>
      <c r="Z37" s="1506">
        <f t="shared" si="13"/>
        <v>111</v>
      </c>
      <c r="AA37" s="1507">
        <f t="shared" si="3"/>
        <v>1</v>
      </c>
      <c r="AB37" s="1507">
        <f t="shared" si="4"/>
        <v>1</v>
      </c>
      <c r="AC37" s="1507">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0"/>
      <c r="M38" s="2010"/>
      <c r="N38" s="2010"/>
      <c r="O38" s="2019"/>
      <c r="P38" s="3776" t="s">
        <v>544</v>
      </c>
      <c r="Q38" s="1503">
        <f t="shared" si="8"/>
        <v>111</v>
      </c>
      <c r="R38" s="1504" t="s">
        <v>8</v>
      </c>
      <c r="S38" s="1505">
        <f t="shared" si="10"/>
        <v>100</v>
      </c>
      <c r="T38" s="1504" t="s">
        <v>8</v>
      </c>
      <c r="U38" s="1505">
        <f t="shared" si="11"/>
        <v>100</v>
      </c>
      <c r="V38" s="1504" t="s">
        <v>8</v>
      </c>
      <c r="W38" s="1505">
        <f t="shared" si="12"/>
        <v>100</v>
      </c>
      <c r="X38" s="1498"/>
      <c r="Y38" s="3777" t="s">
        <v>544</v>
      </c>
      <c r="Z38" s="1506">
        <f t="shared" si="13"/>
        <v>111</v>
      </c>
      <c r="AA38" s="1507">
        <f t="shared" si="3"/>
        <v>1</v>
      </c>
      <c r="AB38" s="1507">
        <f t="shared" si="4"/>
        <v>1</v>
      </c>
      <c r="AC38" s="1507">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8"/>
      <c r="M39" s="2010"/>
      <c r="N39" s="2010"/>
      <c r="O39" s="2021"/>
      <c r="P39" s="3777"/>
      <c r="Q39" s="1503">
        <f t="shared" si="8"/>
        <v>111</v>
      </c>
      <c r="R39" s="1508" t="s">
        <v>8</v>
      </c>
      <c r="S39" s="1509">
        <f t="shared" si="10"/>
        <v>100</v>
      </c>
      <c r="T39" s="1508" t="s">
        <v>8</v>
      </c>
      <c r="U39" s="1509">
        <f t="shared" si="11"/>
        <v>100</v>
      </c>
      <c r="V39" s="1508" t="s">
        <v>8</v>
      </c>
      <c r="W39" s="1509">
        <f t="shared" si="12"/>
        <v>100</v>
      </c>
      <c r="X39" s="1510"/>
      <c r="Y39" s="3777"/>
      <c r="Z39" s="1511">
        <f t="shared" si="13"/>
        <v>111</v>
      </c>
      <c r="AA39" s="1507">
        <f t="shared" si="3"/>
        <v>1</v>
      </c>
      <c r="AB39" s="1507">
        <f t="shared" si="4"/>
        <v>1</v>
      </c>
      <c r="AC39" s="1507">
        <f t="shared" si="5"/>
        <v>1</v>
      </c>
    </row>
    <row r="40" spans="1:29" ht="20.25">
      <c r="A40" s="2620" t="s">
        <v>2734</v>
      </c>
      <c r="B40" s="587" t="s">
        <v>546</v>
      </c>
      <c r="C40" s="588">
        <f>'数据-基础表'!A3</f>
        <v>60461.7</v>
      </c>
      <c r="D40" s="589">
        <v>100</v>
      </c>
      <c r="E40" s="588">
        <v>11822</v>
      </c>
      <c r="F40" s="589">
        <f>LOOKUP(E40,119:119,120:120)-LOOKUP(C40,119:119,120:120)+100</f>
        <v>98</v>
      </c>
      <c r="G40" s="588">
        <v>2118.1559999999999</v>
      </c>
      <c r="H40" s="589">
        <f>LOOKUP(G40,119:119,120:120)-LOOKUP(C40,119:119,120:120)+100</f>
        <v>96</v>
      </c>
      <c r="I40" s="590">
        <v>78298.679999999993</v>
      </c>
      <c r="J40" s="589">
        <f>LOOKUP(I40,119:119,120:120)-LOOKUP(C40,119:119,120:120)+100</f>
        <v>100</v>
      </c>
      <c r="K40" s="573"/>
      <c r="L40" s="2020"/>
      <c r="M40" s="2010"/>
      <c r="N40" s="2010"/>
      <c r="O40" s="2019"/>
      <c r="P40" s="3777"/>
      <c r="Q40" s="1503" t="str">
        <f>B40</f>
        <v>宗地面积</v>
      </c>
      <c r="R40" s="1504" t="s">
        <v>8</v>
      </c>
      <c r="S40" s="1505">
        <f t="shared" si="10"/>
        <v>98</v>
      </c>
      <c r="T40" s="1504" t="s">
        <v>8</v>
      </c>
      <c r="U40" s="1505">
        <f t="shared" si="11"/>
        <v>96</v>
      </c>
      <c r="V40" s="1504" t="s">
        <v>8</v>
      </c>
      <c r="W40" s="1505">
        <f t="shared" si="12"/>
        <v>100</v>
      </c>
      <c r="X40" s="1498"/>
      <c r="Y40" s="3777"/>
      <c r="Z40" s="1506" t="str">
        <f t="shared" si="13"/>
        <v>宗地面积</v>
      </c>
      <c r="AA40" s="1507">
        <f t="shared" si="3"/>
        <v>1.0204081632653061</v>
      </c>
      <c r="AB40" s="1507">
        <f t="shared" si="4"/>
        <v>1.0416666666666667</v>
      </c>
      <c r="AC40" s="1507">
        <f t="shared" si="5"/>
        <v>1</v>
      </c>
    </row>
    <row r="41" spans="1:29" ht="20.25">
      <c r="A41" s="586"/>
      <c r="B41" s="519" t="s">
        <v>547</v>
      </c>
      <c r="C41" s="591" t="s">
        <v>3281</v>
      </c>
      <c r="D41" s="532">
        <v>100</v>
      </c>
      <c r="E41" s="591" t="s">
        <v>3281</v>
      </c>
      <c r="F41" s="532">
        <f>SUMIF(121:121,E41,122:122)-SUMIF(121:121,C41,122:122)+100</f>
        <v>100</v>
      </c>
      <c r="G41" s="591" t="s">
        <v>3281</v>
      </c>
      <c r="H41" s="532">
        <f>SUMIF(121:121,G41,122:122)-SUMIF(121:121,C41,122:122)+100</f>
        <v>100</v>
      </c>
      <c r="I41" s="591" t="s">
        <v>3281</v>
      </c>
      <c r="J41" s="532">
        <f>SUMIF(121:121,I41,122:122)-SUMIF(121:121,C41,122:122)+100</f>
        <v>100</v>
      </c>
      <c r="K41" s="576"/>
      <c r="L41" s="2020"/>
      <c r="M41" s="2010"/>
      <c r="N41" s="2010"/>
      <c r="O41" s="2019"/>
      <c r="P41" s="3777"/>
      <c r="Q41" s="1503" t="str">
        <f t="shared" ref="Q41:Q47" si="14">B41</f>
        <v>宗地形状</v>
      </c>
      <c r="R41" s="1504" t="s">
        <v>8</v>
      </c>
      <c r="S41" s="1505">
        <f t="shared" si="10"/>
        <v>100</v>
      </c>
      <c r="T41" s="1504" t="s">
        <v>8</v>
      </c>
      <c r="U41" s="1505">
        <f t="shared" si="11"/>
        <v>100</v>
      </c>
      <c r="V41" s="1504" t="s">
        <v>8</v>
      </c>
      <c r="W41" s="1505">
        <f t="shared" si="12"/>
        <v>100</v>
      </c>
      <c r="X41" s="1498"/>
      <c r="Y41" s="3777"/>
      <c r="Z41" s="1506" t="str">
        <f t="shared" si="13"/>
        <v>宗地形状</v>
      </c>
      <c r="AA41" s="1507">
        <f t="shared" si="3"/>
        <v>1</v>
      </c>
      <c r="AB41" s="1507">
        <f t="shared" si="4"/>
        <v>1</v>
      </c>
      <c r="AC41" s="1507">
        <f t="shared" si="5"/>
        <v>1</v>
      </c>
    </row>
    <row r="42" spans="1:29" ht="20.25">
      <c r="A42" s="586"/>
      <c r="B42" s="519" t="s">
        <v>548</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0"/>
      <c r="M42" s="2010"/>
      <c r="N42" s="2010"/>
      <c r="O42" s="2019"/>
      <c r="P42" s="3777"/>
      <c r="Q42" s="1503" t="str">
        <f t="shared" si="14"/>
        <v>临街宽度及深度</v>
      </c>
      <c r="R42" s="1504" t="s">
        <v>8</v>
      </c>
      <c r="S42" s="1505">
        <f t="shared" si="10"/>
        <v>100</v>
      </c>
      <c r="T42" s="1504" t="s">
        <v>8</v>
      </c>
      <c r="U42" s="1505">
        <f t="shared" si="11"/>
        <v>100</v>
      </c>
      <c r="V42" s="1504" t="s">
        <v>8</v>
      </c>
      <c r="W42" s="1505">
        <f t="shared" si="12"/>
        <v>100</v>
      </c>
      <c r="X42" s="1498"/>
      <c r="Y42" s="3777"/>
      <c r="Z42" s="1506" t="str">
        <f t="shared" si="13"/>
        <v>临街宽度及深度</v>
      </c>
      <c r="AA42" s="1507">
        <f t="shared" si="3"/>
        <v>1</v>
      </c>
      <c r="AB42" s="1507">
        <f t="shared" si="4"/>
        <v>1</v>
      </c>
      <c r="AC42" s="1507">
        <f t="shared" si="5"/>
        <v>1</v>
      </c>
    </row>
    <row r="43" spans="1:29" s="1201" customFormat="1" ht="20.25">
      <c r="A43" s="592"/>
      <c r="B43" s="1805" t="s">
        <v>2408</v>
      </c>
      <c r="C43" s="593" t="s">
        <v>3027</v>
      </c>
      <c r="D43" s="251">
        <v>100</v>
      </c>
      <c r="E43" s="593" t="s">
        <v>3027</v>
      </c>
      <c r="F43" s="532">
        <f>SUMIF(125:125,E43,126:126)-SUMIF(125:125,C43,126:126)+100</f>
        <v>100</v>
      </c>
      <c r="G43" s="593" t="s">
        <v>3027</v>
      </c>
      <c r="H43" s="532">
        <f>SUMIF(125:125,G43,126:126)-SUMIF(125:125,C43,126:126)+100</f>
        <v>100</v>
      </c>
      <c r="I43" s="593" t="s">
        <v>3027</v>
      </c>
      <c r="J43" s="532">
        <f>SUMIF(125:125,I43,126:126)-SUMIF(125:125,C43,126:126)+100</f>
        <v>100</v>
      </c>
      <c r="K43" s="576"/>
      <c r="L43" s="2013"/>
      <c r="M43" s="2010"/>
      <c r="N43" s="2010"/>
      <c r="O43" s="2015"/>
      <c r="P43" s="3777"/>
      <c r="Q43" s="1503" t="str">
        <f t="shared" si="14"/>
        <v>宗地开发程度</v>
      </c>
      <c r="R43" s="1499" t="s">
        <v>8</v>
      </c>
      <c r="S43" s="1500">
        <f t="shared" si="10"/>
        <v>100</v>
      </c>
      <c r="T43" s="1499" t="s">
        <v>8</v>
      </c>
      <c r="U43" s="1500">
        <f t="shared" si="11"/>
        <v>100</v>
      </c>
      <c r="V43" s="1499" t="s">
        <v>8</v>
      </c>
      <c r="W43" s="1500">
        <f t="shared" si="12"/>
        <v>100</v>
      </c>
      <c r="X43" s="1501"/>
      <c r="Y43" s="3777"/>
      <c r="Z43" s="1131" t="str">
        <f t="shared" si="13"/>
        <v>宗地开发程度</v>
      </c>
      <c r="AA43" s="1502">
        <f t="shared" si="3"/>
        <v>1</v>
      </c>
      <c r="AB43" s="1502">
        <f t="shared" si="4"/>
        <v>1</v>
      </c>
      <c r="AC43" s="1502">
        <f t="shared" si="5"/>
        <v>1</v>
      </c>
    </row>
    <row r="44" spans="1:29" ht="20.25">
      <c r="A44" s="586"/>
      <c r="B44" s="519" t="s">
        <v>549</v>
      </c>
      <c r="C44" s="591" t="s">
        <v>3042</v>
      </c>
      <c r="D44" s="532">
        <v>100</v>
      </c>
      <c r="E44" s="591" t="s">
        <v>3042</v>
      </c>
      <c r="F44" s="532">
        <f>SUMIF(127:127,E44,128:128)-SUMIF(127:127,C44,128:128)+100</f>
        <v>100</v>
      </c>
      <c r="G44" s="591" t="s">
        <v>3042</v>
      </c>
      <c r="H44" s="532">
        <f>SUMIF(127:127,G44,128:128)-SUMIF(127:127,C44,128:128)+100</f>
        <v>100</v>
      </c>
      <c r="I44" s="591" t="s">
        <v>3042</v>
      </c>
      <c r="J44" s="532">
        <f>SUMIF(127:127,I44,128:128)-SUMIF(127:127,C44,128:128)+100</f>
        <v>100</v>
      </c>
      <c r="K44" s="576"/>
      <c r="L44" s="2020"/>
      <c r="M44" s="2010"/>
      <c r="N44" s="2010"/>
      <c r="O44" s="2019"/>
      <c r="P44" s="3777" t="s">
        <v>544</v>
      </c>
      <c r="Q44" s="1503" t="str">
        <f t="shared" si="14"/>
        <v>工程地质条件</v>
      </c>
      <c r="R44" s="1504" t="s">
        <v>8</v>
      </c>
      <c r="S44" s="1505">
        <f t="shared" si="10"/>
        <v>100</v>
      </c>
      <c r="T44" s="1504" t="s">
        <v>8</v>
      </c>
      <c r="U44" s="1505">
        <f t="shared" si="11"/>
        <v>100</v>
      </c>
      <c r="V44" s="1504" t="s">
        <v>8</v>
      </c>
      <c r="W44" s="1505">
        <f t="shared" si="12"/>
        <v>100</v>
      </c>
      <c r="X44" s="1498"/>
      <c r="Y44" s="3777" t="s">
        <v>544</v>
      </c>
      <c r="Z44" s="1506" t="str">
        <f t="shared" si="13"/>
        <v>工程地质条件</v>
      </c>
      <c r="AA44" s="1507">
        <f t="shared" si="3"/>
        <v>1</v>
      </c>
      <c r="AB44" s="1507">
        <f t="shared" si="4"/>
        <v>1</v>
      </c>
      <c r="AC44" s="1507">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0"/>
      <c r="M45" s="2010"/>
      <c r="N45" s="2010"/>
      <c r="O45" s="2019"/>
      <c r="P45" s="3777"/>
      <c r="Q45" s="1503">
        <f t="shared" si="14"/>
        <v>111</v>
      </c>
      <c r="R45" s="1504" t="s">
        <v>8</v>
      </c>
      <c r="S45" s="1505">
        <f t="shared" si="10"/>
        <v>100</v>
      </c>
      <c r="T45" s="1504" t="s">
        <v>8</v>
      </c>
      <c r="U45" s="1505">
        <f t="shared" si="11"/>
        <v>100</v>
      </c>
      <c r="V45" s="1504" t="s">
        <v>8</v>
      </c>
      <c r="W45" s="1505">
        <f t="shared" si="12"/>
        <v>100</v>
      </c>
      <c r="X45" s="1498"/>
      <c r="Y45" s="3777"/>
      <c r="Z45" s="1506">
        <f t="shared" si="13"/>
        <v>111</v>
      </c>
      <c r="AA45" s="1507">
        <f t="shared" si="3"/>
        <v>1</v>
      </c>
      <c r="AB45" s="1507">
        <f t="shared" si="4"/>
        <v>1</v>
      </c>
      <c r="AC45" s="1507">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0"/>
      <c r="M46" s="2010"/>
      <c r="N46" s="2010"/>
      <c r="O46" s="2019"/>
      <c r="P46" s="3777"/>
      <c r="Q46" s="1503">
        <f t="shared" si="14"/>
        <v>111</v>
      </c>
      <c r="R46" s="1504" t="s">
        <v>8</v>
      </c>
      <c r="S46" s="1505">
        <f t="shared" si="10"/>
        <v>100</v>
      </c>
      <c r="T46" s="1504" t="s">
        <v>8</v>
      </c>
      <c r="U46" s="1505">
        <f t="shared" si="11"/>
        <v>100</v>
      </c>
      <c r="V46" s="1504" t="s">
        <v>8</v>
      </c>
      <c r="W46" s="1505">
        <f t="shared" si="12"/>
        <v>100</v>
      </c>
      <c r="X46" s="1498"/>
      <c r="Y46" s="3777"/>
      <c r="Z46" s="1506">
        <f t="shared" si="13"/>
        <v>111</v>
      </c>
      <c r="AA46" s="1507">
        <f t="shared" si="3"/>
        <v>1</v>
      </c>
      <c r="AB46" s="1507">
        <f t="shared" si="4"/>
        <v>1</v>
      </c>
      <c r="AC46" s="1507">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8"/>
      <c r="M47" s="2010"/>
      <c r="N47" s="2010"/>
      <c r="O47" s="2021"/>
      <c r="P47" s="3777"/>
      <c r="Q47" s="1503">
        <f t="shared" si="14"/>
        <v>111</v>
      </c>
      <c r="R47" s="1508" t="s">
        <v>8</v>
      </c>
      <c r="S47" s="1509">
        <f t="shared" si="10"/>
        <v>100</v>
      </c>
      <c r="T47" s="1508" t="s">
        <v>8</v>
      </c>
      <c r="U47" s="1509">
        <f t="shared" si="11"/>
        <v>100</v>
      </c>
      <c r="V47" s="1508" t="s">
        <v>8</v>
      </c>
      <c r="W47" s="1509">
        <f t="shared" si="12"/>
        <v>100</v>
      </c>
      <c r="X47" s="1510"/>
      <c r="Y47" s="3777"/>
      <c r="Z47" s="1511">
        <f t="shared" si="13"/>
        <v>111</v>
      </c>
      <c r="AA47" s="1507">
        <f t="shared" si="3"/>
        <v>1</v>
      </c>
      <c r="AB47" s="1507">
        <f t="shared" si="4"/>
        <v>1</v>
      </c>
      <c r="AC47" s="1507">
        <f t="shared" si="5"/>
        <v>1</v>
      </c>
    </row>
    <row r="48" spans="1:29" ht="20.25">
      <c r="A48" s="599" t="s">
        <v>550</v>
      </c>
      <c r="B48" s="600" t="s">
        <v>3284</v>
      </c>
      <c r="C48" s="601" t="s">
        <v>1</v>
      </c>
      <c r="D48" s="602"/>
      <c r="E48" s="603">
        <v>20140</v>
      </c>
      <c r="F48" s="604"/>
      <c r="G48" s="605">
        <v>20297</v>
      </c>
      <c r="H48" s="606"/>
      <c r="I48" s="603">
        <v>18102</v>
      </c>
      <c r="J48" s="606"/>
      <c r="K48" s="1292"/>
      <c r="L48" s="2022"/>
      <c r="M48" s="2010"/>
      <c r="N48" s="2010"/>
      <c r="O48" s="2023"/>
      <c r="P48" s="3772" t="str">
        <f>A48</f>
        <v>成交单价</v>
      </c>
      <c r="Q48" s="3772"/>
      <c r="R48" s="3798">
        <f>E48</f>
        <v>20140</v>
      </c>
      <c r="S48" s="3798"/>
      <c r="T48" s="3798">
        <f>G48</f>
        <v>20297</v>
      </c>
      <c r="U48" s="3798"/>
      <c r="V48" s="3798">
        <f>I48</f>
        <v>18102</v>
      </c>
      <c r="W48" s="3798"/>
      <c r="X48" s="1493"/>
      <c r="Y48" s="1512"/>
      <c r="Z48" s="1493"/>
      <c r="AA48" s="1493"/>
      <c r="AB48" s="1493"/>
      <c r="AC48" s="1493"/>
    </row>
    <row r="49" spans="1:29" ht="21" thickBot="1">
      <c r="A49" s="607" t="s">
        <v>2672</v>
      </c>
      <c r="B49" s="608"/>
      <c r="C49" s="609">
        <f>R50</f>
        <v>20942</v>
      </c>
      <c r="D49" s="3008" t="s">
        <v>2964</v>
      </c>
      <c r="E49" s="609">
        <f>R49</f>
        <v>20422</v>
      </c>
      <c r="F49" s="3009"/>
      <c r="G49" s="610">
        <f>T49</f>
        <v>22329</v>
      </c>
      <c r="H49" s="3009"/>
      <c r="I49" s="609">
        <f>V49</f>
        <v>20074</v>
      </c>
      <c r="J49" s="3009"/>
      <c r="K49" s="3010">
        <f>F49+H49+J49</f>
        <v>0</v>
      </c>
      <c r="L49" s="2022"/>
      <c r="M49" s="2010"/>
      <c r="N49" s="2010"/>
      <c r="O49" s="2023"/>
      <c r="P49" s="3772" t="str">
        <f>A49</f>
        <v>比较价格（元/平方米）</v>
      </c>
      <c r="Q49" s="3772"/>
      <c r="R49" s="3819">
        <f>ROUND(PRODUCT(R48,AA9:AA47),0)</f>
        <v>20422</v>
      </c>
      <c r="S49" s="3819"/>
      <c r="T49" s="3819">
        <f>ROUND(PRODUCT(T48,AB9:AB47),0)</f>
        <v>22329</v>
      </c>
      <c r="U49" s="3819"/>
      <c r="V49" s="3819">
        <f>ROUND(PRODUCT(V48,AC9:AC47),0)</f>
        <v>20074</v>
      </c>
      <c r="W49" s="3819"/>
      <c r="X49" s="1493"/>
      <c r="Y49" s="1493"/>
      <c r="Z49" s="1493"/>
      <c r="AA49" s="1493"/>
      <c r="AB49" s="1493"/>
      <c r="AC49" s="1493"/>
    </row>
    <row r="50" spans="1:29" ht="21" thickBot="1">
      <c r="A50" s="611" t="s">
        <v>2899</v>
      </c>
      <c r="B50" s="612"/>
      <c r="C50" s="613">
        <f>R50</f>
        <v>20942</v>
      </c>
      <c r="D50" s="613"/>
      <c r="E50" s="613"/>
      <c r="F50" s="613"/>
      <c r="G50" s="613"/>
      <c r="H50" s="613"/>
      <c r="I50" s="613"/>
      <c r="J50" s="613"/>
      <c r="K50" s="1293"/>
      <c r="L50" s="2022"/>
      <c r="M50" s="2010"/>
      <c r="N50" s="2010"/>
      <c r="O50" s="2023"/>
      <c r="P50" s="3769" t="str">
        <f>A50</f>
        <v>估价对象XX用房的比较价格（楼面单价，元/平方米）</v>
      </c>
      <c r="Q50" s="3770"/>
      <c r="R50" s="3822">
        <f>ROUND(IF(D49="简单平均",AVERAGE(R49:W49),R49*F49+T49*H49+V49*J49),0)</f>
        <v>20942</v>
      </c>
      <c r="S50" s="3822"/>
      <c r="T50" s="3822"/>
      <c r="U50" s="3822"/>
      <c r="V50" s="3822"/>
      <c r="W50" s="3822"/>
      <c r="X50" s="1493"/>
      <c r="Y50" s="1493"/>
      <c r="Z50" s="1493"/>
      <c r="AA50" s="1493"/>
      <c r="AB50" s="1493"/>
      <c r="AC50" s="1493"/>
    </row>
    <row r="51" spans="1:29" ht="20.25">
      <c r="A51" s="3207"/>
      <c r="B51" s="3207"/>
      <c r="C51" s="3207"/>
      <c r="D51" s="3207"/>
      <c r="E51" s="3207"/>
      <c r="F51" s="3207"/>
      <c r="G51" s="3209"/>
      <c r="H51" s="3207"/>
      <c r="I51" s="3207"/>
      <c r="J51" s="3207"/>
      <c r="K51" s="3210"/>
      <c r="L51" s="2027"/>
      <c r="M51" s="2010"/>
      <c r="N51" s="2010"/>
      <c r="O51" s="2023"/>
      <c r="P51" s="2023"/>
      <c r="Q51" s="2023"/>
      <c r="R51" s="2023"/>
      <c r="S51" s="2023"/>
      <c r="T51" s="2023"/>
      <c r="U51" s="2023"/>
      <c r="V51" s="2023"/>
      <c r="W51" s="2023"/>
      <c r="X51" s="2023"/>
      <c r="Y51" s="2023"/>
      <c r="Z51" s="2023"/>
      <c r="AA51" s="2023"/>
      <c r="AB51" s="2023"/>
      <c r="AC51" s="2023"/>
    </row>
    <row r="52" spans="1:29" ht="20.25">
      <c r="A52" s="3207"/>
      <c r="B52" s="3207"/>
      <c r="C52" s="3207"/>
      <c r="D52" s="3207"/>
      <c r="E52" s="3207"/>
      <c r="F52" s="3207"/>
      <c r="G52" s="3207"/>
      <c r="H52" s="3207"/>
      <c r="I52" s="3207"/>
      <c r="J52" s="3207"/>
      <c r="K52" s="3210"/>
      <c r="L52" s="2027"/>
      <c r="M52" s="2010"/>
      <c r="N52" s="2010"/>
      <c r="O52" s="2023"/>
      <c r="P52" s="2023"/>
      <c r="Q52" s="2023"/>
      <c r="R52" s="2023"/>
      <c r="S52" s="2023"/>
      <c r="T52" s="2023"/>
      <c r="U52" s="2023"/>
      <c r="V52" s="2023"/>
      <c r="W52" s="2023"/>
      <c r="X52" s="2023"/>
      <c r="Y52" s="2023"/>
      <c r="Z52" s="2023"/>
      <c r="AA52" s="2023"/>
      <c r="AB52" s="2023"/>
      <c r="AC52" s="2023"/>
    </row>
    <row r="53" spans="1:29" ht="20.25">
      <c r="A53" s="3207"/>
      <c r="B53" s="3207"/>
      <c r="C53" s="614" t="s">
        <v>551</v>
      </c>
      <c r="D53" s="615"/>
      <c r="E53" s="616">
        <f>IF(E48&lt;E49,E49/E48-1,E48/E49-1)</f>
        <v>1.4001986097318841E-2</v>
      </c>
      <c r="F53" s="617" t="str">
        <f>IF(OR(E53&gt;=0.3,E53&lt;=-0.3),"超过30%","")</f>
        <v/>
      </c>
      <c r="G53" s="616">
        <f>IF(G48&lt;G49,G49/G48-1,G48/G49-1)</f>
        <v>0.10011331723900074</v>
      </c>
      <c r="H53" s="617" t="str">
        <f>IF(OR(G53&gt;=0.3,G53&lt;=-0.3),"超过30%","")</f>
        <v/>
      </c>
      <c r="I53" s="616">
        <f>IF(I48&lt;I49,I49/I48-1,I48/I49-1)</f>
        <v>0.1089382388686333</v>
      </c>
      <c r="J53" s="617" t="str">
        <f>IF(OR(I53&gt;=0.3,I53&lt;=-0.3),"超过30%","")</f>
        <v/>
      </c>
      <c r="K53" s="3210"/>
      <c r="L53" s="2027"/>
      <c r="M53" s="2010"/>
      <c r="N53" s="2010"/>
      <c r="O53" s="2023"/>
      <c r="P53" s="2023"/>
      <c r="Q53" s="2023"/>
      <c r="R53" s="2023"/>
      <c r="S53" s="2023"/>
      <c r="T53" s="2023"/>
      <c r="U53" s="2023"/>
      <c r="V53" s="2023"/>
      <c r="W53" s="2023"/>
      <c r="X53" s="2023"/>
      <c r="Y53" s="2023"/>
      <c r="Z53" s="2023"/>
      <c r="AA53" s="2023"/>
      <c r="AB53" s="2023"/>
      <c r="AC53" s="2023"/>
    </row>
    <row r="54" spans="1:29" ht="20.25">
      <c r="A54" s="3207"/>
      <c r="B54" s="3207"/>
      <c r="C54" s="614" t="s">
        <v>552</v>
      </c>
      <c r="D54" s="618"/>
      <c r="E54" s="616">
        <f>IF(E49&lt;G49,G49/E49-1,E49/G49-1)</f>
        <v>9.3379688571148867E-2</v>
      </c>
      <c r="F54" s="617" t="str">
        <f>IF(OR(E54&gt;=0.2,E54&lt;=-0.2),"超过20%","")</f>
        <v/>
      </c>
      <c r="G54" s="616">
        <f>IF(G49&lt;I49,I49/G49-1,G49/I49-1)</f>
        <v>0.11233436285742759</v>
      </c>
      <c r="H54" s="617" t="str">
        <f>IF(OR(G54&gt;=0.2,G54&lt;=-0.2),"超过20%","")</f>
        <v/>
      </c>
      <c r="I54" s="616">
        <f>IF(I49&lt;E49,E49/I49-1,I49/E49-1)</f>
        <v>1.7335857327886783E-2</v>
      </c>
      <c r="J54" s="617" t="str">
        <f>IF(OR(I54&gt;=0.2,I54&lt;=-0.2),"超过20%","")</f>
        <v/>
      </c>
      <c r="K54" s="3210"/>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20.25">
      <c r="A55" s="3208"/>
      <c r="B55" s="3208"/>
      <c r="C55" s="614" t="s">
        <v>553</v>
      </c>
      <c r="D55" s="618"/>
      <c r="E55" s="616">
        <f>IF(E48&lt;G48,G48/E48-1,E48/G48-1)</f>
        <v>7.7954319761668334E-3</v>
      </c>
      <c r="F55" s="617" t="str">
        <f>IF(OR(E55&gt;=0.3,E55&lt;=-0.3),"超过30%","")</f>
        <v/>
      </c>
      <c r="G55" s="616">
        <f>IF(G48&lt;I48,I48/G48-1,G48/I48-1)</f>
        <v>0.12125731963318964</v>
      </c>
      <c r="H55" s="617" t="str">
        <f>IF(OR(G55&gt;=0.3,G55&lt;=-0.3),"超过30%","")</f>
        <v/>
      </c>
      <c r="I55" s="616">
        <f>IF(I48&lt;E48,E48/I48-1,I48/E48-1)</f>
        <v>0.11258424483482488</v>
      </c>
      <c r="J55" s="617" t="str">
        <f>IF(OR(I55&gt;=0.3,I55&lt;=-0.3),"超过30%","")</f>
        <v/>
      </c>
      <c r="K55" s="3211"/>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11"/>
      <c r="L56" s="2030"/>
      <c r="M56" s="2010"/>
      <c r="N56" s="2010"/>
      <c r="O56" s="2024"/>
      <c r="P56" s="2024"/>
      <c r="Q56" s="2024"/>
      <c r="R56" s="2024"/>
      <c r="S56" s="2024"/>
      <c r="T56" s="2024"/>
      <c r="U56" s="2024"/>
      <c r="V56" s="2024"/>
      <c r="W56" s="2024"/>
      <c r="X56" s="2024"/>
      <c r="Y56" s="2024"/>
      <c r="Z56" s="2024"/>
      <c r="AA56" s="2024"/>
      <c r="AB56" s="2024"/>
      <c r="AC56" s="2024"/>
    </row>
    <row r="57" spans="1:29" ht="27">
      <c r="A57" s="619" t="s">
        <v>554</v>
      </c>
      <c r="B57" s="620" t="s">
        <v>555</v>
      </c>
      <c r="C57" s="1494" t="s">
        <v>1714</v>
      </c>
      <c r="D57" s="2103" t="s">
        <v>2280</v>
      </c>
      <c r="E57" s="621" t="s">
        <v>556</v>
      </c>
      <c r="F57" s="622" t="s">
        <v>557</v>
      </c>
      <c r="G57" s="3827" t="s">
        <v>2268</v>
      </c>
      <c r="H57" s="3828"/>
      <c r="I57" s="1490" t="s">
        <v>1712</v>
      </c>
      <c r="J57" s="1490">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3" t="s">
        <v>558</v>
      </c>
      <c r="B58" s="624">
        <f>C50</f>
        <v>20942</v>
      </c>
      <c r="C58" s="625">
        <v>1</v>
      </c>
      <c r="D58" s="2104">
        <v>1</v>
      </c>
      <c r="E58" s="625">
        <f>'数据-汇总表'!E8+'数据-汇总表'!E9</f>
        <v>66454.38</v>
      </c>
      <c r="F58" s="626">
        <f t="shared" ref="F58:F67" si="15">ROUND(B58*E58/10000,0)</f>
        <v>139169</v>
      </c>
      <c r="G58" s="3829"/>
      <c r="H58" s="3830"/>
      <c r="I58" s="1491">
        <v>1</v>
      </c>
      <c r="J58" s="1491">
        <v>1</v>
      </c>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559</v>
      </c>
      <c r="B59" s="628">
        <f>ROUND($C$50*C59*D59,0)</f>
        <v>3665</v>
      </c>
      <c r="C59" s="370">
        <f t="shared" ref="C59:C67" si="16">IF($C$57="北京市系数",I59,J59)</f>
        <v>0.7</v>
      </c>
      <c r="D59" s="2105">
        <v>0.25</v>
      </c>
      <c r="E59" s="629">
        <v>0</v>
      </c>
      <c r="F59" s="626">
        <f t="shared" si="15"/>
        <v>0</v>
      </c>
      <c r="G59" s="3831" t="s">
        <v>2269</v>
      </c>
      <c r="H59" s="1858" t="str">
        <f>项目基本情况!B43</f>
        <v>五级</v>
      </c>
      <c r="I59" s="1491">
        <f>SUMIF(修正!$A$45:$A$56,H59,修正!B45:B56)</f>
        <v>0.7</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560</v>
      </c>
      <c r="B60" s="628">
        <f t="shared" ref="B60:B67" si="17">ROUND($C$50*C60*D60,0)</f>
        <v>2094</v>
      </c>
      <c r="C60" s="370">
        <f t="shared" si="16"/>
        <v>0.4</v>
      </c>
      <c r="D60" s="2105">
        <v>0.25</v>
      </c>
      <c r="E60" s="629">
        <v>0</v>
      </c>
      <c r="F60" s="626">
        <f t="shared" si="15"/>
        <v>0</v>
      </c>
      <c r="G60" s="3831"/>
      <c r="H60" s="1858" t="str">
        <f>项目基本情况!B43</f>
        <v>五级</v>
      </c>
      <c r="I60" s="1491">
        <f>SUMIF(修正!$A$45:$A$56,H60,修正!C45:C56)</f>
        <v>0.4</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561</v>
      </c>
      <c r="B61" s="628">
        <f t="shared" si="17"/>
        <v>1466</v>
      </c>
      <c r="C61" s="370">
        <f t="shared" si="16"/>
        <v>0.28000000000000003</v>
      </c>
      <c r="D61" s="2105">
        <v>0.25</v>
      </c>
      <c r="E61" s="629">
        <v>0</v>
      </c>
      <c r="F61" s="626">
        <f t="shared" si="15"/>
        <v>0</v>
      </c>
      <c r="G61" s="3831"/>
      <c r="H61" s="1858" t="str">
        <f>项目基本情况!B43</f>
        <v>五级</v>
      </c>
      <c r="I61" s="1491">
        <f>SUMIF(修正!$A$45:$A$56,H61,修正!D45:D56)</f>
        <v>0.28000000000000003</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7" t="s">
        <v>562</v>
      </c>
      <c r="B62" s="628">
        <f t="shared" si="17"/>
        <v>1309</v>
      </c>
      <c r="C62" s="370">
        <f t="shared" si="16"/>
        <v>0.25</v>
      </c>
      <c r="D62" s="2105">
        <v>0.25</v>
      </c>
      <c r="E62" s="629">
        <v>0</v>
      </c>
      <c r="F62" s="626">
        <f t="shared" si="15"/>
        <v>0</v>
      </c>
      <c r="G62" s="3831"/>
      <c r="H62" s="1858" t="str">
        <f>项目基本情况!B43</f>
        <v>五级</v>
      </c>
      <c r="I62" s="1491">
        <f>SUMIF(修正!$A$45:$A$56,H62,修正!E45:E56)</f>
        <v>0.25</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28">
        <f t="shared" si="17"/>
        <v>1309</v>
      </c>
      <c r="C63" s="370">
        <f t="shared" si="16"/>
        <v>0.25</v>
      </c>
      <c r="D63" s="2105">
        <v>0.25</v>
      </c>
      <c r="E63" s="631">
        <f>'数据-汇总表'!E11</f>
        <v>50.63</v>
      </c>
      <c r="F63" s="626">
        <f t="shared" si="15"/>
        <v>7</v>
      </c>
      <c r="G63" s="1855" t="s">
        <v>2270</v>
      </c>
      <c r="H63" s="1858" t="str">
        <f>项目基本情况!C43</f>
        <v>五级</v>
      </c>
      <c r="I63" s="1491">
        <f>SUMIF(修正!$A$45:$A$56,H63,修正!F45:F56)</f>
        <v>0.25</v>
      </c>
      <c r="J63" s="1492"/>
      <c r="K63" s="3212"/>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7" t="s">
        <v>563</v>
      </c>
      <c r="B64" s="628">
        <f t="shared" si="17"/>
        <v>1309</v>
      </c>
      <c r="C64" s="370">
        <f t="shared" si="16"/>
        <v>0.25</v>
      </c>
      <c r="D64" s="2105">
        <v>0.25</v>
      </c>
      <c r="E64" s="631">
        <f>'数据-汇总表'!E12</f>
        <v>20244.13</v>
      </c>
      <c r="F64" s="626">
        <f t="shared" si="15"/>
        <v>2650</v>
      </c>
      <c r="G64" s="1856" t="s">
        <v>1667</v>
      </c>
      <c r="H64" s="1854" t="str">
        <f>IF(G64="商业",项目基本情况!B43,IF(G64="办公",项目基本情况!C43,IF(G64="住宅",项目基本情况!D43,项目基本情况!E43)))</f>
        <v>五级</v>
      </c>
      <c r="I64" s="1491">
        <f>SUMIF(修正!$A$45:$A$56,H64,修正!G45:G56)</f>
        <v>0.25</v>
      </c>
      <c r="J64" s="1492"/>
      <c r="K64" s="3212"/>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7" t="s">
        <v>564</v>
      </c>
      <c r="B65" s="628">
        <f t="shared" si="17"/>
        <v>1047</v>
      </c>
      <c r="C65" s="370">
        <f t="shared" si="16"/>
        <v>0.2</v>
      </c>
      <c r="D65" s="2105">
        <v>0.25</v>
      </c>
      <c r="E65" s="631">
        <f>'数据-汇总表'!E13</f>
        <v>23373.33</v>
      </c>
      <c r="F65" s="626">
        <f t="shared" si="15"/>
        <v>2447</v>
      </c>
      <c r="G65" s="1856" t="s">
        <v>914</v>
      </c>
      <c r="H65" s="1854" t="str">
        <f>IF(G65="商业",项目基本情况!B43,IF(G65="办公",项目基本情况!C43,IF(G65="住宅",项目基本情况!D43,项目基本情况!E43)))</f>
        <v>五级</v>
      </c>
      <c r="I65" s="1491">
        <f>SUMIF(修正!$A$45:$A$56,H65,修正!H45:H56)</f>
        <v>0.2</v>
      </c>
      <c r="J65" s="1492"/>
      <c r="K65" s="3212"/>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7" t="s">
        <v>565</v>
      </c>
      <c r="B66" s="628">
        <f t="shared" si="17"/>
        <v>1047</v>
      </c>
      <c r="C66" s="370">
        <f t="shared" si="16"/>
        <v>0.2</v>
      </c>
      <c r="D66" s="2105">
        <v>0.25</v>
      </c>
      <c r="E66" s="631">
        <f>'数据-汇总表'!E14</f>
        <v>0</v>
      </c>
      <c r="F66" s="626">
        <f t="shared" si="15"/>
        <v>0</v>
      </c>
      <c r="G66" s="1855" t="s">
        <v>2269</v>
      </c>
      <c r="H66" s="1858" t="str">
        <f>项目基本情况!B43</f>
        <v>五级</v>
      </c>
      <c r="I66" s="1491">
        <f>SUMIF(修正!$A$45:$A$56,H66,修正!H45:H56)</f>
        <v>0.2</v>
      </c>
      <c r="J66" s="1492"/>
      <c r="K66" s="3212"/>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7" t="s">
        <v>566</v>
      </c>
      <c r="B67" s="628">
        <f t="shared" si="17"/>
        <v>1047</v>
      </c>
      <c r="C67" s="370">
        <f t="shared" si="16"/>
        <v>0.2</v>
      </c>
      <c r="D67" s="2105">
        <v>0.25</v>
      </c>
      <c r="E67" s="631">
        <f>'数据-汇总表'!E15</f>
        <v>360.7</v>
      </c>
      <c r="F67" s="626">
        <f t="shared" si="15"/>
        <v>38</v>
      </c>
      <c r="G67" s="1857" t="s">
        <v>2270</v>
      </c>
      <c r="H67" s="1859" t="str">
        <f>项目基本情况!C43</f>
        <v>五级</v>
      </c>
      <c r="I67" s="1491">
        <f>SUMIF(修正!$A$45:$A$56,H67,修正!H45:H56)</f>
        <v>0.2</v>
      </c>
      <c r="J67" s="1492"/>
      <c r="K67" s="3212"/>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2" t="s">
        <v>567</v>
      </c>
      <c r="B68" s="633" t="s">
        <v>17</v>
      </c>
      <c r="C68" s="633" t="s">
        <v>18</v>
      </c>
      <c r="D68" s="633" t="s">
        <v>2281</v>
      </c>
      <c r="E68" s="633">
        <f>IF(B48="楼面地价",SUM(E58:E67),'数据-汇总表'!D3)</f>
        <v>110483.17000000001</v>
      </c>
      <c r="F68" s="634">
        <f>IF(B48="楼面地价",SUM(F58:F67),ROUND(C50*E68/10000,0))</f>
        <v>144311</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2021-8-1</v>
      </c>
      <c r="D70" s="2512">
        <f>EDATE(C70,-3)</f>
        <v>44317</v>
      </c>
      <c r="E70" s="2512">
        <f t="shared" ref="E70:N70" si="18">EDATE(D70,-3)</f>
        <v>44228</v>
      </c>
      <c r="F70" s="2512">
        <f t="shared" si="18"/>
        <v>44136</v>
      </c>
      <c r="G70" s="2512">
        <f t="shared" si="18"/>
        <v>44044</v>
      </c>
      <c r="H70" s="2512">
        <f t="shared" si="18"/>
        <v>43952</v>
      </c>
      <c r="I70" s="2512">
        <f t="shared" si="18"/>
        <v>43862</v>
      </c>
      <c r="J70" s="2512">
        <f t="shared" si="18"/>
        <v>43770</v>
      </c>
      <c r="K70" s="2512">
        <f t="shared" si="18"/>
        <v>43678</v>
      </c>
      <c r="L70" s="2512">
        <f t="shared" si="18"/>
        <v>43586</v>
      </c>
      <c r="M70" s="2512">
        <f t="shared" si="18"/>
        <v>43497</v>
      </c>
      <c r="N70" s="2512">
        <f t="shared" si="18"/>
        <v>43405</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8" customFormat="1" ht="15">
      <c r="A72" s="2417" t="s">
        <v>2513</v>
      </c>
      <c r="B72" s="2418"/>
      <c r="C72" s="2509"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30">
      <c r="A73" s="2519" t="s">
        <v>2998</v>
      </c>
      <c r="B73" s="471" t="str">
        <f>"北京市平均增长率"&amp;TEXT(SUMIF('基准地价（商业）'!N21:N25,A73,'基准地价（商业）'!P21:P25),"0.00%")</f>
        <v>北京市平均增长率0.00%</v>
      </c>
      <c r="C73" s="881">
        <v>100</v>
      </c>
      <c r="D73" s="3387">
        <f>C73/(1+1.12%)</f>
        <v>98.892405063291136</v>
      </c>
      <c r="E73" s="3387">
        <f t="shared" ref="E73:N73" si="20">D73/(1+1.12%)</f>
        <v>97.797077792020502</v>
      </c>
      <c r="F73" s="3387">
        <f t="shared" si="20"/>
        <v>96.713882310146843</v>
      </c>
      <c r="G73" s="3387">
        <f t="shared" si="20"/>
        <v>95.642684246585077</v>
      </c>
      <c r="H73" s="3387">
        <f t="shared" si="20"/>
        <v>94.583350718537446</v>
      </c>
      <c r="I73" s="3387">
        <f t="shared" si="20"/>
        <v>93.535750315009338</v>
      </c>
      <c r="J73" s="3387">
        <f t="shared" si="20"/>
        <v>92.499753080507645</v>
      </c>
      <c r="K73" s="3387">
        <f t="shared" si="20"/>
        <v>91.475230498919728</v>
      </c>
      <c r="L73" s="3387">
        <f t="shared" si="20"/>
        <v>90.462055477570928</v>
      </c>
      <c r="M73" s="3387">
        <f t="shared" si="20"/>
        <v>89.460102331458586</v>
      </c>
      <c r="N73" s="3387">
        <f t="shared" si="20"/>
        <v>88.469246767660778</v>
      </c>
      <c r="O73" s="2039"/>
      <c r="P73" s="2035"/>
      <c r="Q73" s="1901"/>
      <c r="R73" s="1901"/>
      <c r="S73" s="1901"/>
      <c r="T73" s="1901"/>
      <c r="U73" s="1901"/>
      <c r="V73" s="1901"/>
      <c r="W73" s="1901"/>
      <c r="X73" s="1901"/>
      <c r="Y73" s="1901"/>
      <c r="Z73" s="1901"/>
      <c r="AA73" s="1901"/>
      <c r="AB73" s="1901"/>
      <c r="AC73" s="1901"/>
    </row>
    <row r="74" spans="1:29" s="1201" customFormat="1" ht="15.75"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49" t="s">
        <v>525</v>
      </c>
      <c r="B75" s="638"/>
      <c r="C75" s="650" t="s">
        <v>570</v>
      </c>
      <c r="D75" s="651"/>
      <c r="E75" s="651"/>
      <c r="F75" s="651"/>
      <c r="G75" s="651"/>
      <c r="H75" s="651"/>
      <c r="I75" s="651"/>
      <c r="J75" s="651"/>
      <c r="K75" s="651"/>
      <c r="L75" s="652"/>
      <c r="M75" s="653"/>
      <c r="N75" s="2039"/>
      <c r="O75" s="2039"/>
      <c r="P75" s="2040"/>
      <c r="Q75" s="2035"/>
      <c r="R75" s="1901"/>
      <c r="S75" s="1901"/>
      <c r="T75" s="1901"/>
      <c r="U75" s="1901"/>
      <c r="V75" s="1901"/>
      <c r="W75" s="1901"/>
      <c r="X75" s="1901"/>
      <c r="Y75" s="1901"/>
      <c r="Z75" s="1901"/>
      <c r="AA75" s="1901"/>
      <c r="AB75" s="1901"/>
      <c r="AC75" s="1901"/>
    </row>
    <row r="76" spans="1:29" s="1201" customFormat="1" ht="15.75" thickBot="1">
      <c r="A76" s="649"/>
      <c r="B76" s="638"/>
      <c r="C76" s="639">
        <v>100</v>
      </c>
      <c r="D76" s="640">
        <v>95</v>
      </c>
      <c r="E76" s="640"/>
      <c r="F76" s="640"/>
      <c r="G76" s="640"/>
      <c r="H76" s="640"/>
      <c r="I76" s="640"/>
      <c r="J76" s="640"/>
      <c r="K76" s="640"/>
      <c r="L76" s="640"/>
      <c r="M76" s="642"/>
      <c r="N76" s="2039"/>
      <c r="O76" s="2039"/>
      <c r="P76" s="2035"/>
      <c r="Q76" s="2035"/>
      <c r="R76" s="1901"/>
      <c r="S76" s="1901"/>
      <c r="T76" s="1901"/>
      <c r="U76" s="1901"/>
      <c r="V76" s="1901"/>
      <c r="W76" s="1901"/>
      <c r="X76" s="1901"/>
      <c r="Y76" s="1901"/>
      <c r="Z76" s="1901"/>
      <c r="AA76" s="1901"/>
      <c r="AB76" s="1901"/>
      <c r="AC76" s="1901"/>
    </row>
    <row r="77" spans="1:29" ht="27">
      <c r="A77" s="654" t="s">
        <v>571</v>
      </c>
      <c r="B77" s="655" t="s">
        <v>528</v>
      </c>
      <c r="C77" s="3374" t="s">
        <v>3817</v>
      </c>
      <c r="D77" s="3374" t="s">
        <v>3819</v>
      </c>
      <c r="E77" s="3374" t="s">
        <v>3274</v>
      </c>
      <c r="F77" s="3374" t="s">
        <v>3275</v>
      </c>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0"/>
      <c r="C78" s="661">
        <v>100</v>
      </c>
      <c r="D78" s="661">
        <v>95</v>
      </c>
      <c r="E78" s="661"/>
      <c r="F78" s="661"/>
      <c r="G78" s="661"/>
      <c r="H78" s="661"/>
      <c r="I78" s="661"/>
      <c r="J78" s="661"/>
      <c r="K78" s="661"/>
      <c r="L78" s="661"/>
      <c r="M78" s="662"/>
      <c r="N78" s="2043"/>
      <c r="O78" s="2043"/>
      <c r="P78" s="2042"/>
      <c r="Q78" s="2035"/>
      <c r="R78" s="2023"/>
      <c r="S78" s="2023"/>
      <c r="T78" s="2023"/>
      <c r="U78" s="2023"/>
      <c r="V78" s="2023"/>
      <c r="W78" s="2023"/>
      <c r="X78" s="2023"/>
      <c r="Y78" s="2023"/>
      <c r="Z78" s="2023"/>
      <c r="AA78" s="2023"/>
      <c r="AB78" s="2023"/>
      <c r="AC78" s="2023"/>
    </row>
    <row r="79" spans="1:29" ht="27.75" thickTop="1">
      <c r="A79" s="659"/>
      <c r="B79" s="663" t="s">
        <v>531</v>
      </c>
      <c r="C79" s="664"/>
      <c r="D79" s="664"/>
      <c r="E79" s="664"/>
      <c r="F79" s="664"/>
      <c r="G79" s="664"/>
      <c r="H79" s="664"/>
      <c r="I79" s="664"/>
      <c r="J79" s="664"/>
      <c r="K79" s="665"/>
      <c r="L79" s="666"/>
      <c r="M79" s="667"/>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c r="D80" s="669"/>
      <c r="E80" s="669"/>
      <c r="F80" s="669"/>
      <c r="G80" s="669"/>
      <c r="H80" s="669"/>
      <c r="I80" s="669"/>
      <c r="J80" s="669"/>
      <c r="K80" s="669"/>
      <c r="L80" s="669"/>
      <c r="M80" s="670"/>
      <c r="N80" s="2043"/>
      <c r="O80" s="2043"/>
      <c r="P80" s="2042"/>
      <c r="Q80" s="2035"/>
      <c r="R80" s="2023"/>
      <c r="S80" s="2023"/>
      <c r="T80" s="2023"/>
      <c r="U80" s="2023"/>
      <c r="V80" s="2023"/>
      <c r="W80" s="2023"/>
      <c r="X80" s="2023"/>
      <c r="Y80" s="2023"/>
      <c r="Z80" s="2023"/>
      <c r="AA80" s="2023"/>
      <c r="AB80" s="2023"/>
      <c r="AC80" s="2023"/>
    </row>
    <row r="81" spans="1:29" ht="15.75" thickTop="1">
      <c r="A81" s="659"/>
      <c r="B81" s="671" t="s">
        <v>532</v>
      </c>
      <c r="C81" s="672" t="str">
        <f>C82&amp;"（含）"&amp;"-"&amp;D82</f>
        <v>0（含）-1</v>
      </c>
      <c r="D81" s="672" t="str">
        <f t="shared" ref="D81:L81" si="21">D82&amp;"（含）"&amp;"-"&amp;E82</f>
        <v>1（含）-2</v>
      </c>
      <c r="E81" s="672" t="str">
        <f t="shared" si="21"/>
        <v>2（含）-3</v>
      </c>
      <c r="F81" s="672" t="str">
        <f t="shared" si="21"/>
        <v>3（含）-4</v>
      </c>
      <c r="G81" s="672" t="str">
        <f t="shared" si="21"/>
        <v>4（含）-5</v>
      </c>
      <c r="H81" s="672" t="str">
        <f t="shared" si="21"/>
        <v>5（含）-</v>
      </c>
      <c r="I81" s="672" t="str">
        <f t="shared" si="21"/>
        <v>（含）-</v>
      </c>
      <c r="J81" s="672" t="str">
        <f t="shared" si="21"/>
        <v>（含）-</v>
      </c>
      <c r="K81" s="672" t="str">
        <f t="shared" si="21"/>
        <v>（含）-</v>
      </c>
      <c r="L81" s="672" t="str">
        <f t="shared" si="21"/>
        <v>（含）-</v>
      </c>
      <c r="M81" s="547"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9"/>
      <c r="B82" s="673"/>
      <c r="C82" s="533">
        <v>0</v>
      </c>
      <c r="D82" s="533">
        <v>1</v>
      </c>
      <c r="E82" s="533">
        <v>2</v>
      </c>
      <c r="F82" s="533">
        <v>3</v>
      </c>
      <c r="G82" s="533">
        <v>4</v>
      </c>
      <c r="H82" s="533">
        <v>5</v>
      </c>
      <c r="I82" s="533"/>
      <c r="J82" s="533"/>
      <c r="K82" s="674"/>
      <c r="L82" s="675"/>
      <c r="M82" s="676"/>
      <c r="N82" s="2041"/>
      <c r="O82" s="2041"/>
      <c r="P82" s="2042"/>
      <c r="Q82" s="2035"/>
      <c r="R82" s="2023"/>
      <c r="S82" s="2023"/>
      <c r="T82" s="2023"/>
      <c r="U82" s="2023"/>
      <c r="V82" s="2023"/>
      <c r="W82" s="2023"/>
      <c r="X82" s="2023"/>
      <c r="Y82" s="2023"/>
      <c r="Z82" s="2023"/>
      <c r="AA82" s="2023"/>
      <c r="AB82" s="2023"/>
      <c r="AC82" s="2023"/>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7"/>
      <c r="B84" s="663" t="str">
        <f>B14</f>
        <v>配建</v>
      </c>
      <c r="C84" s="3328" t="s">
        <v>3287</v>
      </c>
      <c r="D84" s="1324" t="s">
        <v>3286</v>
      </c>
      <c r="E84" s="1325"/>
      <c r="F84" s="678"/>
      <c r="G84" s="678"/>
      <c r="H84" s="679"/>
      <c r="I84" s="679"/>
      <c r="J84" s="679"/>
      <c r="K84" s="679"/>
      <c r="L84" s="680"/>
      <c r="M84" s="681"/>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7"/>
      <c r="B86" s="663">
        <f>B15</f>
        <v>111</v>
      </c>
      <c r="C86" s="678"/>
      <c r="D86" s="678"/>
      <c r="E86" s="678"/>
      <c r="F86" s="678"/>
      <c r="G86" s="678"/>
      <c r="H86" s="679"/>
      <c r="I86" s="679"/>
      <c r="J86" s="679"/>
      <c r="K86" s="679"/>
      <c r="L86" s="680"/>
      <c r="M86" s="681"/>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7"/>
      <c r="B87" s="668"/>
      <c r="C87" s="682"/>
      <c r="D87" s="682"/>
      <c r="E87" s="682"/>
      <c r="F87" s="682"/>
      <c r="G87" s="682"/>
      <c r="H87" s="683"/>
      <c r="I87" s="683"/>
      <c r="J87" s="683"/>
      <c r="K87" s="683"/>
      <c r="L87" s="683"/>
      <c r="M87" s="684"/>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7"/>
      <c r="B88" s="671">
        <f>B16</f>
        <v>111</v>
      </c>
      <c r="C88" s="651"/>
      <c r="D88" s="651"/>
      <c r="E88" s="651"/>
      <c r="F88" s="651"/>
      <c r="G88" s="651"/>
      <c r="H88" s="685"/>
      <c r="I88" s="685"/>
      <c r="J88" s="685"/>
      <c r="K88" s="685"/>
      <c r="L88" s="686"/>
      <c r="M88" s="687"/>
      <c r="N88" s="2044"/>
      <c r="O88" s="2044"/>
      <c r="P88" s="2050"/>
      <c r="Q88" s="2046"/>
      <c r="R88" s="2047"/>
      <c r="S88" s="2047"/>
      <c r="T88" s="2047"/>
      <c r="U88" s="2047"/>
      <c r="V88" s="2047"/>
      <c r="W88" s="2047"/>
      <c r="X88" s="2047"/>
      <c r="Y88" s="2047"/>
      <c r="Z88" s="2047"/>
      <c r="AA88" s="2047"/>
      <c r="AB88" s="2047"/>
      <c r="AC88" s="2047"/>
    </row>
    <row r="89" spans="1:29" s="1291" customFormat="1" ht="15.75" thickBot="1">
      <c r="A89" s="688"/>
      <c r="B89" s="689"/>
      <c r="C89" s="690"/>
      <c r="D89" s="690"/>
      <c r="E89" s="690"/>
      <c r="F89" s="690"/>
      <c r="G89" s="690"/>
      <c r="H89" s="691"/>
      <c r="I89" s="691"/>
      <c r="J89" s="691"/>
      <c r="K89" s="691"/>
      <c r="L89" s="691"/>
      <c r="M89" s="692"/>
      <c r="N89" s="2044"/>
      <c r="O89" s="2044"/>
      <c r="P89" s="2045"/>
      <c r="Q89" s="2046"/>
      <c r="R89" s="2047"/>
      <c r="S89" s="2047"/>
      <c r="T89" s="2047"/>
      <c r="U89" s="2047"/>
      <c r="V89" s="2047"/>
      <c r="W89" s="2047"/>
      <c r="X89" s="2047"/>
      <c r="Y89" s="2047"/>
      <c r="Z89" s="2047"/>
      <c r="AA89" s="2047"/>
      <c r="AB89" s="2047"/>
      <c r="AC89" s="2047"/>
    </row>
    <row r="90" spans="1:29">
      <c r="A90" s="654" t="s">
        <v>533</v>
      </c>
      <c r="B90" s="655" t="s">
        <v>572</v>
      </c>
      <c r="C90" s="693" t="s">
        <v>573</v>
      </c>
      <c r="D90" s="693" t="s">
        <v>574</v>
      </c>
      <c r="E90" s="693" t="s">
        <v>575</v>
      </c>
      <c r="F90" s="693" t="s">
        <v>576</v>
      </c>
      <c r="G90" s="693" t="s">
        <v>577</v>
      </c>
      <c r="H90" s="694"/>
      <c r="I90" s="694"/>
      <c r="J90" s="694"/>
      <c r="K90" s="695"/>
      <c r="L90" s="696"/>
      <c r="M90" s="697"/>
      <c r="N90" s="2041"/>
      <c r="O90" s="2041"/>
      <c r="P90" s="2051"/>
      <c r="Q90" s="2035"/>
      <c r="R90" s="2023"/>
      <c r="S90" s="2023"/>
      <c r="T90" s="2023"/>
      <c r="U90" s="2023"/>
      <c r="V90" s="2023"/>
      <c r="W90" s="2023"/>
      <c r="X90" s="2023"/>
      <c r="Y90" s="2023"/>
      <c r="Z90" s="2023"/>
      <c r="AA90" s="2023"/>
      <c r="AB90" s="2023"/>
      <c r="AC90" s="2023"/>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3"/>
      <c r="O91" s="2043"/>
      <c r="P91" s="2042"/>
      <c r="Q91" s="2035"/>
      <c r="R91" s="2023"/>
      <c r="S91" s="2023"/>
      <c r="T91" s="2023"/>
      <c r="U91" s="2023"/>
      <c r="V91" s="2023"/>
      <c r="W91" s="2023"/>
      <c r="X91" s="2023"/>
      <c r="Y91" s="2023"/>
      <c r="Z91" s="2023"/>
      <c r="AA91" s="2023"/>
      <c r="AB91" s="2023"/>
      <c r="AC91" s="2023"/>
    </row>
    <row r="92" spans="1:29" ht="15.75" thickTop="1">
      <c r="A92" s="659"/>
      <c r="B92" s="663" t="s">
        <v>578</v>
      </c>
      <c r="C92" s="698" t="s">
        <v>573</v>
      </c>
      <c r="D92" s="698" t="s">
        <v>574</v>
      </c>
      <c r="E92" s="698" t="s">
        <v>575</v>
      </c>
      <c r="F92" s="698" t="s">
        <v>576</v>
      </c>
      <c r="G92" s="698" t="s">
        <v>577</v>
      </c>
      <c r="H92" s="664"/>
      <c r="I92" s="664"/>
      <c r="J92" s="664"/>
      <c r="K92" s="665"/>
      <c r="L92" s="666"/>
      <c r="M92" s="667"/>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9">
        <v>100</v>
      </c>
      <c r="D93" s="669">
        <f>C93-$K19</f>
        <v>97</v>
      </c>
      <c r="E93" s="669">
        <f>D93-$K19</f>
        <v>94</v>
      </c>
      <c r="F93" s="669">
        <f>E93-$K19</f>
        <v>91</v>
      </c>
      <c r="G93" s="669">
        <f>F93-$K19</f>
        <v>88</v>
      </c>
      <c r="H93" s="669"/>
      <c r="I93" s="669"/>
      <c r="J93" s="669"/>
      <c r="K93" s="669"/>
      <c r="L93" s="669"/>
      <c r="M93" s="670"/>
      <c r="N93" s="2043"/>
      <c r="O93" s="2043"/>
      <c r="P93" s="2042"/>
      <c r="Q93" s="2035"/>
      <c r="R93" s="2023"/>
      <c r="S93" s="2023"/>
      <c r="T93" s="2023"/>
      <c r="U93" s="2023"/>
      <c r="V93" s="2023"/>
      <c r="W93" s="2023"/>
      <c r="X93" s="2023"/>
      <c r="Y93" s="2023"/>
      <c r="Z93" s="2023"/>
      <c r="AA93" s="2023"/>
      <c r="AB93" s="2023"/>
      <c r="AC93" s="2023"/>
    </row>
    <row r="94" spans="1:29" ht="15.75" thickTop="1">
      <c r="A94" s="659"/>
      <c r="B94" s="663" t="s">
        <v>579</v>
      </c>
      <c r="C94" s="698" t="s">
        <v>573</v>
      </c>
      <c r="D94" s="698" t="s">
        <v>574</v>
      </c>
      <c r="E94" s="698" t="s">
        <v>575</v>
      </c>
      <c r="F94" s="698" t="s">
        <v>576</v>
      </c>
      <c r="G94" s="698" t="s">
        <v>577</v>
      </c>
      <c r="H94" s="664"/>
      <c r="I94" s="664"/>
      <c r="J94" s="664"/>
      <c r="K94" s="665"/>
      <c r="L94" s="666"/>
      <c r="M94" s="667"/>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3"/>
      <c r="O95" s="2043"/>
      <c r="P95" s="2042"/>
      <c r="Q95" s="2035"/>
      <c r="R95" s="2023"/>
      <c r="S95" s="2023"/>
      <c r="T95" s="2023"/>
      <c r="U95" s="2023"/>
      <c r="V95" s="2023"/>
      <c r="W95" s="2023"/>
      <c r="X95" s="2023"/>
      <c r="Y95" s="2023"/>
      <c r="Z95" s="2023"/>
      <c r="AA95" s="2023"/>
      <c r="AB95" s="2023"/>
      <c r="AC95" s="2023"/>
    </row>
    <row r="96" spans="1:29" ht="15.75" thickTop="1">
      <c r="A96" s="659"/>
      <c r="B96" s="663" t="s">
        <v>580</v>
      </c>
      <c r="C96" s="698" t="s">
        <v>573</v>
      </c>
      <c r="D96" s="698" t="s">
        <v>574</v>
      </c>
      <c r="E96" s="698" t="s">
        <v>575</v>
      </c>
      <c r="F96" s="698" t="s">
        <v>576</v>
      </c>
      <c r="G96" s="698" t="s">
        <v>577</v>
      </c>
      <c r="H96" s="664"/>
      <c r="I96" s="664"/>
      <c r="J96" s="664"/>
      <c r="K96" s="665"/>
      <c r="L96" s="666"/>
      <c r="M96" s="667"/>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69">
        <v>100</v>
      </c>
      <c r="D97" s="669">
        <f>C97-$K23</f>
        <v>98</v>
      </c>
      <c r="E97" s="669">
        <f>D97-$K23</f>
        <v>96</v>
      </c>
      <c r="F97" s="669">
        <f>E97-$K23</f>
        <v>94</v>
      </c>
      <c r="G97" s="669">
        <f>F97-$K23</f>
        <v>92</v>
      </c>
      <c r="H97" s="669"/>
      <c r="I97" s="669"/>
      <c r="J97" s="669"/>
      <c r="K97" s="669"/>
      <c r="L97" s="669"/>
      <c r="M97" s="670"/>
      <c r="N97" s="2043"/>
      <c r="O97" s="2043"/>
      <c r="P97" s="2042"/>
      <c r="Q97" s="2035"/>
      <c r="R97" s="2023"/>
      <c r="S97" s="2023"/>
      <c r="T97" s="2023"/>
      <c r="U97" s="2023"/>
      <c r="V97" s="2023"/>
      <c r="W97" s="2023"/>
      <c r="X97" s="2023"/>
      <c r="Y97" s="2023"/>
      <c r="Z97" s="2023"/>
      <c r="AA97" s="2023"/>
      <c r="AB97" s="2023"/>
      <c r="AC97" s="2023"/>
    </row>
    <row r="98" spans="1:29" s="1201" customFormat="1" ht="27.75" thickTop="1">
      <c r="A98" s="699"/>
      <c r="B98" s="663" t="s">
        <v>581</v>
      </c>
      <c r="C98" s="698" t="s">
        <v>573</v>
      </c>
      <c r="D98" s="698" t="s">
        <v>574</v>
      </c>
      <c r="E98" s="698" t="s">
        <v>575</v>
      </c>
      <c r="F98" s="698" t="s">
        <v>576</v>
      </c>
      <c r="G98" s="698" t="s">
        <v>577</v>
      </c>
      <c r="H98" s="698"/>
      <c r="I98" s="698"/>
      <c r="J98" s="698"/>
      <c r="K98" s="698"/>
      <c r="L98" s="700"/>
      <c r="M98" s="701"/>
      <c r="N98" s="2039"/>
      <c r="O98" s="2039"/>
      <c r="P98" s="2042"/>
      <c r="Q98" s="2035"/>
      <c r="R98" s="1901"/>
      <c r="S98" s="1901"/>
      <c r="T98" s="1901"/>
      <c r="U98" s="1901"/>
      <c r="V98" s="1901"/>
      <c r="W98" s="1901"/>
      <c r="X98" s="1901"/>
      <c r="Y98" s="1901"/>
      <c r="Z98" s="1901"/>
      <c r="AA98" s="1901"/>
      <c r="AB98" s="1901"/>
      <c r="AC98" s="1901"/>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699"/>
      <c r="B100" s="663" t="s">
        <v>582</v>
      </c>
      <c r="C100" s="693" t="s">
        <v>573</v>
      </c>
      <c r="D100" s="693" t="s">
        <v>574</v>
      </c>
      <c r="E100" s="693" t="s">
        <v>575</v>
      </c>
      <c r="F100" s="693" t="s">
        <v>576</v>
      </c>
      <c r="G100" s="693" t="s">
        <v>577</v>
      </c>
      <c r="H100" s="698"/>
      <c r="I100" s="698"/>
      <c r="J100" s="698"/>
      <c r="K100" s="698"/>
      <c r="L100" s="698"/>
      <c r="M100" s="701"/>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699"/>
      <c r="B101" s="668"/>
      <c r="C101" s="669">
        <v>100</v>
      </c>
      <c r="D101" s="669">
        <f>C101-$K27</f>
        <v>97</v>
      </c>
      <c r="E101" s="669">
        <f>D101-$K27</f>
        <v>94</v>
      </c>
      <c r="F101" s="669">
        <f>E101-$K27</f>
        <v>91</v>
      </c>
      <c r="G101" s="669">
        <f>F101-$K27</f>
        <v>88</v>
      </c>
      <c r="H101" s="669"/>
      <c r="I101" s="669"/>
      <c r="J101" s="669"/>
      <c r="K101" s="669"/>
      <c r="L101" s="669"/>
      <c r="M101" s="670"/>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7"/>
      <c r="B102" s="1806" t="s">
        <v>2529</v>
      </c>
      <c r="C102" s="693" t="s">
        <v>573</v>
      </c>
      <c r="D102" s="693" t="s">
        <v>574</v>
      </c>
      <c r="E102" s="693" t="s">
        <v>575</v>
      </c>
      <c r="F102" s="693" t="s">
        <v>576</v>
      </c>
      <c r="G102" s="693" t="s">
        <v>577</v>
      </c>
      <c r="H102" s="703"/>
      <c r="I102" s="703"/>
      <c r="J102" s="703"/>
      <c r="K102" s="703"/>
      <c r="L102" s="704"/>
      <c r="M102" s="705"/>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7"/>
      <c r="B104" s="2437" t="s">
        <v>2531</v>
      </c>
      <c r="C104" s="2438" t="s">
        <v>2532</v>
      </c>
      <c r="D104" s="2438" t="s">
        <v>2533</v>
      </c>
      <c r="E104" s="2438" t="s">
        <v>2534</v>
      </c>
      <c r="F104" s="2438" t="s">
        <v>2535</v>
      </c>
      <c r="G104" s="2438" t="s">
        <v>2536</v>
      </c>
      <c r="H104" s="703"/>
      <c r="I104" s="703"/>
      <c r="J104" s="703"/>
      <c r="K104" s="703"/>
      <c r="L104" s="703"/>
      <c r="M104" s="705"/>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1"/>
      <c r="O106" s="2041"/>
      <c r="P106" s="2042"/>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9"/>
      <c r="B108" s="663" t="s">
        <v>542</v>
      </c>
      <c r="C108" s="3328" t="s">
        <v>3256</v>
      </c>
      <c r="D108" s="3372" t="s">
        <v>3261</v>
      </c>
      <c r="E108" s="3328" t="s">
        <v>3258</v>
      </c>
      <c r="F108" s="3328" t="s">
        <v>3259</v>
      </c>
      <c r="G108" s="3328" t="s">
        <v>3260</v>
      </c>
      <c r="H108" s="708"/>
      <c r="I108" s="708"/>
      <c r="J108" s="708"/>
      <c r="K108" s="709"/>
      <c r="L108" s="710"/>
      <c r="M108" s="711"/>
      <c r="N108" s="2041"/>
      <c r="O108" s="2041"/>
      <c r="P108" s="2042"/>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C109-$K34</f>
        <v>98</v>
      </c>
      <c r="E109" s="669">
        <f t="shared" ref="E109:M109" si="24">D109-$K34</f>
        <v>96</v>
      </c>
      <c r="F109" s="669">
        <f t="shared" si="24"/>
        <v>94</v>
      </c>
      <c r="G109" s="669">
        <f t="shared" si="24"/>
        <v>92</v>
      </c>
      <c r="H109" s="669">
        <f t="shared" si="24"/>
        <v>90</v>
      </c>
      <c r="I109" s="669">
        <f t="shared" si="24"/>
        <v>88</v>
      </c>
      <c r="J109" s="669">
        <f t="shared" si="24"/>
        <v>86</v>
      </c>
      <c r="K109" s="669">
        <f t="shared" si="24"/>
        <v>84</v>
      </c>
      <c r="L109" s="669">
        <f t="shared" si="24"/>
        <v>82</v>
      </c>
      <c r="M109" s="669">
        <f t="shared" si="24"/>
        <v>80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9"/>
      <c r="B110" s="663" t="s">
        <v>543</v>
      </c>
      <c r="C110" s="3373" t="s">
        <v>3263</v>
      </c>
      <c r="D110" s="3373" t="s">
        <v>3264</v>
      </c>
      <c r="E110" s="3373" t="s">
        <v>3265</v>
      </c>
      <c r="F110" s="3373" t="s">
        <v>3262</v>
      </c>
      <c r="G110" s="3373" t="s">
        <v>3266</v>
      </c>
      <c r="H110" s="708"/>
      <c r="I110" s="708"/>
      <c r="J110" s="708"/>
      <c r="K110" s="709"/>
      <c r="L110" s="710"/>
      <c r="M110" s="71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69">
        <v>100</v>
      </c>
      <c r="D111" s="669">
        <f>C111-$K36</f>
        <v>94</v>
      </c>
      <c r="E111" s="669">
        <f t="shared" ref="E111:M111" si="25">D111-$K36</f>
        <v>88</v>
      </c>
      <c r="F111" s="669">
        <f t="shared" si="25"/>
        <v>82</v>
      </c>
      <c r="G111" s="669">
        <f t="shared" si="25"/>
        <v>76</v>
      </c>
      <c r="H111" s="669">
        <f t="shared" si="25"/>
        <v>70</v>
      </c>
      <c r="I111" s="669">
        <f t="shared" si="25"/>
        <v>64</v>
      </c>
      <c r="J111" s="669">
        <f t="shared" si="25"/>
        <v>58</v>
      </c>
      <c r="K111" s="669">
        <f t="shared" si="25"/>
        <v>52</v>
      </c>
      <c r="L111" s="669">
        <f t="shared" si="25"/>
        <v>46</v>
      </c>
      <c r="M111" s="669">
        <f t="shared" si="25"/>
        <v>40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9"/>
      <c r="B112" s="671">
        <f>B37</f>
        <v>111</v>
      </c>
      <c r="C112" s="678"/>
      <c r="D112" s="678"/>
      <c r="E112" s="678"/>
      <c r="F112" s="678"/>
      <c r="G112" s="712"/>
      <c r="H112" s="712"/>
      <c r="I112" s="712"/>
      <c r="J112" s="712"/>
      <c r="K112" s="713"/>
      <c r="L112" s="714"/>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659"/>
      <c r="B113" s="689"/>
      <c r="C113" s="682"/>
      <c r="D113" s="682"/>
      <c r="E113" s="682"/>
      <c r="F113" s="682"/>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ht="15" thickTop="1">
      <c r="A114" s="579"/>
      <c r="B114" s="663">
        <f>B38</f>
        <v>111</v>
      </c>
      <c r="C114" s="651"/>
      <c r="D114" s="651"/>
      <c r="E114" s="651"/>
      <c r="F114" s="651"/>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90"/>
      <c r="D115" s="690"/>
      <c r="E115" s="690"/>
      <c r="F115" s="690"/>
      <c r="G115" s="661"/>
      <c r="H115" s="661"/>
      <c r="I115" s="661"/>
      <c r="J115" s="661"/>
      <c r="K115" s="661"/>
      <c r="L115" s="661"/>
      <c r="M115" s="662"/>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18"/>
      <c r="B116" s="719">
        <f>B39</f>
        <v>111</v>
      </c>
      <c r="C116" s="720"/>
      <c r="D116" s="720"/>
      <c r="E116" s="720"/>
      <c r="F116" s="720"/>
      <c r="G116" s="720"/>
      <c r="H116" s="720"/>
      <c r="I116" s="720"/>
      <c r="J116" s="721"/>
      <c r="K116" s="721"/>
      <c r="L116" s="722"/>
      <c r="M116" s="723"/>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7"/>
      <c r="B117" s="671"/>
      <c r="C117" s="640"/>
      <c r="D117" s="584"/>
      <c r="E117" s="584"/>
      <c r="F117" s="584"/>
      <c r="G117" s="584"/>
      <c r="H117" s="584"/>
      <c r="I117" s="584"/>
      <c r="J117" s="584"/>
      <c r="K117" s="584"/>
      <c r="L117" s="584"/>
      <c r="M117" s="724"/>
      <c r="N117" s="2043"/>
      <c r="O117" s="2043"/>
      <c r="P117" s="2045"/>
      <c r="Q117" s="2046"/>
      <c r="R117" s="2047"/>
      <c r="S117" s="2047"/>
      <c r="T117" s="2047"/>
      <c r="U117" s="2047"/>
      <c r="V117" s="2047"/>
      <c r="W117" s="2047"/>
      <c r="X117" s="2047"/>
      <c r="Y117" s="2047"/>
      <c r="Z117" s="2047"/>
      <c r="AA117" s="2047"/>
      <c r="AB117" s="2047"/>
      <c r="AC117" s="2047"/>
    </row>
    <row r="118" spans="1:29" ht="28.5">
      <c r="A118" s="654" t="s">
        <v>545</v>
      </c>
      <c r="B118" s="655" t="s">
        <v>587</v>
      </c>
      <c r="C118" s="694" t="str">
        <f t="shared" ref="C118:L118" si="26">C119&amp;"(含)"&amp;"-"&amp;D119</f>
        <v>0(含)-10000</v>
      </c>
      <c r="D118" s="694" t="str">
        <f t="shared" si="26"/>
        <v>10000(含)-50000</v>
      </c>
      <c r="E118" s="694" t="str">
        <f t="shared" si="26"/>
        <v>50000(含)-100000</v>
      </c>
      <c r="F118" s="694" t="str">
        <f t="shared" si="26"/>
        <v>100000(含)-150000</v>
      </c>
      <c r="G118" s="694" t="str">
        <f t="shared" si="26"/>
        <v>150000(含)-</v>
      </c>
      <c r="H118" s="694" t="str">
        <f t="shared" si="26"/>
        <v>(含)-</v>
      </c>
      <c r="I118" s="694" t="str">
        <f t="shared" si="26"/>
        <v>(含)-</v>
      </c>
      <c r="J118" s="2774" t="str">
        <f t="shared" si="26"/>
        <v>(含)-</v>
      </c>
      <c r="K118" s="2774" t="str">
        <f t="shared" si="26"/>
        <v>(含)-</v>
      </c>
      <c r="L118" s="2775" t="str">
        <f t="shared" si="26"/>
        <v>(含)-</v>
      </c>
      <c r="M118" s="2776"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9"/>
      <c r="B119" s="671"/>
      <c r="C119" s="720">
        <v>0</v>
      </c>
      <c r="D119" s="720">
        <v>10000</v>
      </c>
      <c r="E119" s="720">
        <v>50000</v>
      </c>
      <c r="F119" s="720">
        <v>100000</v>
      </c>
      <c r="G119" s="720">
        <v>150000</v>
      </c>
      <c r="H119" s="720"/>
      <c r="I119" s="720"/>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9"/>
      <c r="B120" s="668"/>
      <c r="C120" s="690">
        <v>100</v>
      </c>
      <c r="D120" s="716">
        <v>102</v>
      </c>
      <c r="E120" s="690">
        <v>104</v>
      </c>
      <c r="F120" s="716">
        <v>106</v>
      </c>
      <c r="G120" s="690"/>
      <c r="H120" s="716"/>
      <c r="I120" s="716"/>
      <c r="J120" s="716"/>
      <c r="K120" s="716"/>
      <c r="L120" s="716"/>
      <c r="M120" s="717"/>
      <c r="N120" s="2043"/>
      <c r="O120" s="2043"/>
      <c r="P120" s="2042"/>
      <c r="Q120" s="2035"/>
      <c r="R120" s="2023"/>
      <c r="S120" s="2023"/>
      <c r="T120" s="2023"/>
      <c r="U120" s="2023"/>
      <c r="V120" s="2023"/>
      <c r="W120" s="2023"/>
      <c r="X120" s="2023"/>
      <c r="Y120" s="2023"/>
      <c r="Z120" s="2023"/>
      <c r="AA120" s="2023"/>
      <c r="AB120" s="2023"/>
      <c r="AC120" s="2023"/>
    </row>
    <row r="121" spans="1:29" ht="15" thickTop="1">
      <c r="A121" s="725"/>
      <c r="B121" s="663" t="s">
        <v>588</v>
      </c>
      <c r="C121" s="3373" t="s">
        <v>3282</v>
      </c>
      <c r="D121" s="708"/>
      <c r="E121" s="708"/>
      <c r="F121" s="708"/>
      <c r="G121" s="708"/>
      <c r="H121" s="708"/>
      <c r="I121" s="708"/>
      <c r="J121" s="708"/>
      <c r="K121" s="709"/>
      <c r="L121" s="710"/>
      <c r="M121" s="711"/>
      <c r="N121" s="2041"/>
      <c r="O121" s="2041"/>
      <c r="P121" s="2042"/>
      <c r="Q121" s="2035"/>
      <c r="R121" s="2023"/>
      <c r="S121" s="2023"/>
      <c r="T121" s="2023"/>
      <c r="U121" s="2023"/>
      <c r="V121" s="2023"/>
      <c r="W121" s="2023"/>
      <c r="X121" s="2023"/>
      <c r="Y121" s="2023"/>
      <c r="Z121" s="2023"/>
      <c r="AA121" s="2023"/>
      <c r="AB121" s="2023"/>
      <c r="AC121" s="2023"/>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5"/>
      <c r="B123" s="663" t="s">
        <v>589</v>
      </c>
      <c r="C123" s="678"/>
      <c r="D123" s="678"/>
      <c r="E123" s="678"/>
      <c r="F123" s="708"/>
      <c r="G123" s="708"/>
      <c r="H123" s="708"/>
      <c r="I123" s="708"/>
      <c r="J123" s="708"/>
      <c r="K123" s="709"/>
      <c r="L123" s="710"/>
      <c r="M123" s="711"/>
      <c r="N123" s="2041"/>
      <c r="O123" s="2041"/>
      <c r="P123" s="2042"/>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18"/>
      <c r="B125" s="1806" t="s">
        <v>2409</v>
      </c>
      <c r="C125" s="1324" t="s">
        <v>3283</v>
      </c>
      <c r="D125" s="1324"/>
      <c r="E125" s="1324"/>
      <c r="F125" s="1324"/>
      <c r="G125" s="1324"/>
      <c r="H125" s="708"/>
      <c r="I125" s="708"/>
      <c r="J125" s="708"/>
      <c r="K125" s="709"/>
      <c r="L125" s="710"/>
      <c r="M125" s="711"/>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5"/>
      <c r="B127" s="663" t="s">
        <v>590</v>
      </c>
      <c r="C127" s="3328" t="s">
        <v>3267</v>
      </c>
      <c r="D127" s="3328" t="s">
        <v>3268</v>
      </c>
      <c r="E127" s="3373" t="s">
        <v>3269</v>
      </c>
      <c r="F127" s="3373" t="s">
        <v>3270</v>
      </c>
      <c r="G127" s="3373" t="s">
        <v>3271</v>
      </c>
      <c r="H127" s="708"/>
      <c r="I127" s="708"/>
      <c r="J127" s="708"/>
      <c r="K127" s="709"/>
      <c r="L127" s="710"/>
      <c r="M127" s="711"/>
      <c r="N127" s="2041"/>
      <c r="O127" s="2041"/>
      <c r="P127" s="2042"/>
      <c r="Q127" s="2035"/>
      <c r="R127" s="2023"/>
      <c r="S127" s="2023"/>
      <c r="T127" s="2023"/>
      <c r="U127" s="2023"/>
      <c r="V127" s="2023"/>
      <c r="W127" s="2023"/>
      <c r="X127" s="2023"/>
      <c r="Y127" s="2023"/>
      <c r="Z127" s="2023"/>
      <c r="AA127" s="2023"/>
      <c r="AB127" s="2023"/>
      <c r="AC127" s="2023"/>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5"/>
      <c r="B129" s="663">
        <f>B45</f>
        <v>111</v>
      </c>
      <c r="C129" s="678"/>
      <c r="D129" s="678"/>
      <c r="E129" s="678"/>
      <c r="F129" s="678"/>
      <c r="G129" s="678"/>
      <c r="H129" s="708"/>
      <c r="I129" s="708"/>
      <c r="J129" s="708"/>
      <c r="K129" s="709"/>
      <c r="L129" s="710"/>
      <c r="M129" s="711"/>
      <c r="N129" s="2041"/>
      <c r="O129" s="2041"/>
      <c r="P129" s="2042"/>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42"/>
      <c r="Q130" s="2035"/>
      <c r="R130" s="2023"/>
      <c r="S130" s="2023"/>
      <c r="T130" s="2023"/>
      <c r="U130" s="2023"/>
      <c r="V130" s="2023"/>
      <c r="W130" s="2023"/>
      <c r="X130" s="2023"/>
      <c r="Y130" s="2023"/>
      <c r="Z130" s="2023"/>
      <c r="AA130" s="2023"/>
      <c r="AB130" s="2023"/>
      <c r="AC130" s="2023"/>
    </row>
    <row r="131" spans="1:29" ht="15" thickTop="1">
      <c r="A131" s="725"/>
      <c r="B131" s="663">
        <f>B46</f>
        <v>111</v>
      </c>
      <c r="C131" s="651"/>
      <c r="D131" s="651"/>
      <c r="E131" s="651"/>
      <c r="F131" s="651"/>
      <c r="G131" s="708"/>
      <c r="H131" s="708"/>
      <c r="I131" s="708"/>
      <c r="J131" s="708"/>
      <c r="K131" s="709"/>
      <c r="L131" s="710"/>
      <c r="M131" s="711"/>
      <c r="N131" s="2041"/>
      <c r="O131" s="2041"/>
      <c r="P131" s="2042"/>
      <c r="Q131" s="2035"/>
      <c r="R131" s="2023"/>
      <c r="S131" s="2023"/>
      <c r="T131" s="2023"/>
      <c r="U131" s="2023"/>
      <c r="V131" s="2023"/>
      <c r="W131" s="2023"/>
      <c r="X131" s="2023"/>
      <c r="Y131" s="2023"/>
      <c r="Z131" s="2023"/>
      <c r="AA131" s="2023"/>
      <c r="AB131" s="2023"/>
      <c r="AC131" s="2023"/>
    </row>
    <row r="132" spans="1:29" ht="15.75" thickBot="1">
      <c r="A132" s="659"/>
      <c r="B132" s="668"/>
      <c r="C132" s="690"/>
      <c r="D132" s="690"/>
      <c r="E132" s="690"/>
      <c r="F132" s="690"/>
      <c r="G132" s="661"/>
      <c r="H132" s="661"/>
      <c r="I132" s="661"/>
      <c r="J132" s="661"/>
      <c r="K132" s="661"/>
      <c r="L132" s="661"/>
      <c r="M132" s="662"/>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18"/>
      <c r="B133" s="663">
        <f>B47</f>
        <v>111</v>
      </c>
      <c r="C133" s="651"/>
      <c r="D133" s="651"/>
      <c r="E133" s="651"/>
      <c r="F133" s="651"/>
      <c r="G133" s="679"/>
      <c r="H133" s="679"/>
      <c r="I133" s="679"/>
      <c r="J133" s="679"/>
      <c r="K133" s="679"/>
      <c r="L133" s="680"/>
      <c r="M133" s="681"/>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88"/>
      <c r="B134" s="726"/>
      <c r="C134" s="690"/>
      <c r="D134" s="690"/>
      <c r="E134" s="690"/>
      <c r="F134" s="690"/>
      <c r="G134" s="716"/>
      <c r="H134" s="716"/>
      <c r="I134" s="716"/>
      <c r="J134" s="716"/>
      <c r="K134" s="716"/>
      <c r="L134" s="716"/>
      <c r="M134" s="717"/>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rowBreaks count="1" manualBreakCount="1">
    <brk id="55" max="13" man="1"/>
  </rowBreaks>
  <drawing r:id="rId2"/>
  <legacyDrawing r:id="rId3"/>
</worksheet>
</file>

<file path=xl/worksheets/sheet34.xml><?xml version="1.0" encoding="utf-8"?>
<worksheet xmlns="http://schemas.openxmlformats.org/spreadsheetml/2006/main" xmlns:r="http://schemas.openxmlformats.org/officeDocument/2006/relationships">
  <dimension ref="A1:AN5"/>
  <sheetViews>
    <sheetView zoomScale="50" zoomScaleNormal="50" workbookViewId="0">
      <pane xSplit="2" ySplit="2" topLeftCell="R3" activePane="bottomRight" state="frozenSplit"/>
      <selection activeCell="E4" sqref="E4"/>
      <selection pane="topRight" activeCell="E4" sqref="E4"/>
      <selection pane="bottomLeft" activeCell="E4" sqref="E4"/>
      <selection pane="bottomRight" activeCell="AE3" sqref="AE3"/>
    </sheetView>
  </sheetViews>
  <sheetFormatPr defaultRowHeight="13.5"/>
  <cols>
    <col min="7" max="7" width="16.75" customWidth="1"/>
    <col min="10" max="10" width="22.75" customWidth="1"/>
    <col min="11" max="11" width="10.25" customWidth="1"/>
    <col min="16" max="16" width="14.875" customWidth="1"/>
    <col min="17" max="17" width="15.625" customWidth="1"/>
    <col min="18" max="18" width="23" customWidth="1"/>
    <col min="19" max="19" width="13.125" customWidth="1"/>
    <col min="20" max="20" width="12.75" customWidth="1"/>
    <col min="21" max="21" width="14.375" customWidth="1"/>
    <col min="22" max="22" width="14.875" customWidth="1"/>
    <col min="23" max="26" width="24.875" customWidth="1"/>
    <col min="27" max="27" width="14.875" customWidth="1"/>
  </cols>
  <sheetData>
    <row r="1" spans="1:40" s="3461" customFormat="1" ht="63" customHeight="1">
      <c r="A1" s="3838" t="s">
        <v>2359</v>
      </c>
      <c r="B1" s="3835" t="s">
        <v>3155</v>
      </c>
      <c r="C1" s="3835" t="s">
        <v>3156</v>
      </c>
      <c r="D1" s="3835" t="s">
        <v>3749</v>
      </c>
      <c r="E1" s="3835" t="s">
        <v>3157</v>
      </c>
      <c r="F1" s="3835" t="s">
        <v>3316</v>
      </c>
      <c r="G1" s="3835" t="s">
        <v>3158</v>
      </c>
      <c r="H1" s="3835" t="s">
        <v>3159</v>
      </c>
      <c r="I1" s="3835" t="s">
        <v>3160</v>
      </c>
      <c r="J1" s="3835" t="s">
        <v>3161</v>
      </c>
      <c r="K1" s="3836" t="s">
        <v>3750</v>
      </c>
      <c r="L1" s="3835" t="s">
        <v>3163</v>
      </c>
      <c r="M1" s="3835"/>
      <c r="N1" s="3835"/>
      <c r="O1" s="3835"/>
      <c r="P1" s="3835" t="s">
        <v>3321</v>
      </c>
      <c r="Q1" s="3835"/>
      <c r="R1" s="3835" t="s">
        <v>3751</v>
      </c>
      <c r="S1" s="3835"/>
      <c r="T1" s="3835" t="s">
        <v>3164</v>
      </c>
      <c r="U1" s="3835"/>
      <c r="V1" s="3835" t="s">
        <v>3165</v>
      </c>
      <c r="W1" s="3837" t="s">
        <v>3197</v>
      </c>
      <c r="X1" s="3835" t="s">
        <v>3198</v>
      </c>
      <c r="Y1" s="3832" t="s">
        <v>3199</v>
      </c>
      <c r="Z1" s="3832" t="s">
        <v>3166</v>
      </c>
      <c r="AA1" s="3464" t="s">
        <v>3752</v>
      </c>
      <c r="AB1" s="3462"/>
      <c r="AC1" s="3462"/>
      <c r="AD1" s="3833"/>
      <c r="AI1" s="3726"/>
      <c r="AJ1" s="3726"/>
      <c r="AK1" s="3726"/>
      <c r="AL1" s="3726"/>
      <c r="AM1" s="3726"/>
    </row>
    <row r="2" spans="1:40" s="3461" customFormat="1" ht="75" customHeight="1">
      <c r="A2" s="3838"/>
      <c r="B2" s="3835"/>
      <c r="C2" s="3835"/>
      <c r="D2" s="3835"/>
      <c r="E2" s="3835"/>
      <c r="F2" s="3835"/>
      <c r="G2" s="3835"/>
      <c r="H2" s="3835"/>
      <c r="I2" s="3835"/>
      <c r="J2" s="3835"/>
      <c r="K2" s="3836"/>
      <c r="L2" s="3465" t="s">
        <v>3167</v>
      </c>
      <c r="M2" s="3465" t="s">
        <v>3168</v>
      </c>
      <c r="N2" s="3465" t="s">
        <v>3169</v>
      </c>
      <c r="O2" s="3465" t="s">
        <v>3170</v>
      </c>
      <c r="P2" s="3465" t="s">
        <v>3171</v>
      </c>
      <c r="Q2" s="3465" t="s">
        <v>3131</v>
      </c>
      <c r="R2" s="3465" t="s">
        <v>3171</v>
      </c>
      <c r="S2" s="3465" t="s">
        <v>3131</v>
      </c>
      <c r="T2" s="3465" t="s">
        <v>3171</v>
      </c>
      <c r="U2" s="3465" t="s">
        <v>3131</v>
      </c>
      <c r="V2" s="3835"/>
      <c r="W2" s="3837"/>
      <c r="X2" s="3835"/>
      <c r="Y2" s="3832"/>
      <c r="Z2" s="3832"/>
      <c r="AA2" s="3464"/>
      <c r="AD2" s="3834"/>
      <c r="AI2" s="3726"/>
      <c r="AJ2" s="3726"/>
      <c r="AK2" s="3726"/>
      <c r="AL2" s="3726"/>
      <c r="AM2" s="3726"/>
    </row>
    <row r="3" spans="1:40" s="3441" customFormat="1" ht="318" customHeight="1">
      <c r="A3" s="3466">
        <v>4</v>
      </c>
      <c r="B3" s="3467" t="s">
        <v>3753</v>
      </c>
      <c r="C3" s="3467" t="s">
        <v>3754</v>
      </c>
      <c r="D3" s="3467" t="s">
        <v>3755</v>
      </c>
      <c r="E3" s="3467" t="s">
        <v>3226</v>
      </c>
      <c r="F3" s="3467" t="s">
        <v>3756</v>
      </c>
      <c r="G3" s="3467" t="s">
        <v>3757</v>
      </c>
      <c r="H3" s="3467" t="s">
        <v>3823</v>
      </c>
      <c r="I3" s="3467"/>
      <c r="J3" s="3467" t="s">
        <v>3758</v>
      </c>
      <c r="K3" s="3468">
        <v>2.8</v>
      </c>
      <c r="L3" s="3467">
        <v>2.5</v>
      </c>
      <c r="M3" s="3467" t="s">
        <v>3759</v>
      </c>
      <c r="N3" s="3467" t="s">
        <v>3760</v>
      </c>
      <c r="O3" s="3467" t="s">
        <v>3761</v>
      </c>
      <c r="P3" s="3467" t="s">
        <v>3762</v>
      </c>
      <c r="Q3" s="3467" t="s">
        <v>3763</v>
      </c>
      <c r="R3" s="3467" t="s">
        <v>3764</v>
      </c>
      <c r="S3" s="3467" t="s">
        <v>3765</v>
      </c>
      <c r="T3" s="3467" t="s">
        <v>3766</v>
      </c>
      <c r="U3" s="3467" t="s">
        <v>3767</v>
      </c>
      <c r="V3" s="3469">
        <v>22367</v>
      </c>
      <c r="W3" s="3467" t="s">
        <v>3768</v>
      </c>
      <c r="X3" s="3467" t="s">
        <v>3769</v>
      </c>
      <c r="Y3" s="3467" t="s">
        <v>3769</v>
      </c>
      <c r="Z3" s="3467" t="s">
        <v>3826</v>
      </c>
      <c r="AA3" s="3470">
        <v>44214</v>
      </c>
      <c r="AB3" s="3463"/>
      <c r="AC3" s="3463"/>
      <c r="AD3" s="3463"/>
      <c r="AE3" s="3463"/>
      <c r="AF3" s="3463"/>
      <c r="AG3" s="3463"/>
      <c r="AH3" s="3463"/>
      <c r="AI3" s="3463"/>
      <c r="AJ3" s="3440"/>
      <c r="AK3" s="3440"/>
      <c r="AL3" s="3440"/>
      <c r="AM3" s="3440"/>
      <c r="AN3" s="3440"/>
    </row>
    <row r="4" spans="1:40" s="3441" customFormat="1" ht="318" customHeight="1">
      <c r="A4" s="3466">
        <v>8</v>
      </c>
      <c r="B4" s="3467" t="s">
        <v>3786</v>
      </c>
      <c r="C4" s="3467" t="s">
        <v>3787</v>
      </c>
      <c r="D4" s="3467" t="s">
        <v>3788</v>
      </c>
      <c r="E4" s="3467" t="s">
        <v>3770</v>
      </c>
      <c r="F4" s="3467" t="s">
        <v>3756</v>
      </c>
      <c r="G4" s="3467" t="s">
        <v>3789</v>
      </c>
      <c r="H4" s="3467" t="s">
        <v>3822</v>
      </c>
      <c r="I4" s="3467"/>
      <c r="J4" s="3467" t="s">
        <v>3842</v>
      </c>
      <c r="K4" s="3468">
        <v>2.0590000000000002</v>
      </c>
      <c r="L4" s="3467" t="s">
        <v>3771</v>
      </c>
      <c r="M4" s="3467" t="s">
        <v>3790</v>
      </c>
      <c r="N4" s="3467" t="s">
        <v>3772</v>
      </c>
      <c r="O4" s="3467" t="s">
        <v>3773</v>
      </c>
      <c r="P4" s="3467" t="s">
        <v>3774</v>
      </c>
      <c r="Q4" s="3467" t="s">
        <v>3775</v>
      </c>
      <c r="R4" s="3467" t="s">
        <v>3776</v>
      </c>
      <c r="S4" s="3467" t="s">
        <v>3777</v>
      </c>
      <c r="T4" s="3467" t="s">
        <v>3791</v>
      </c>
      <c r="U4" s="3467" t="s">
        <v>3792</v>
      </c>
      <c r="V4" s="3469">
        <v>22303.52</v>
      </c>
      <c r="W4" s="3467" t="s">
        <v>3778</v>
      </c>
      <c r="X4" s="3467" t="s">
        <v>3779</v>
      </c>
      <c r="Y4" s="3467" t="s">
        <v>3779</v>
      </c>
      <c r="Z4" s="3467" t="s">
        <v>3824</v>
      </c>
      <c r="AA4" s="3470">
        <v>44263</v>
      </c>
      <c r="AB4" s="3463"/>
      <c r="AC4" s="3463"/>
      <c r="AD4" s="3463"/>
      <c r="AE4" s="3463"/>
      <c r="AF4" s="3463"/>
      <c r="AG4" s="3463"/>
      <c r="AH4" s="3463"/>
      <c r="AI4" s="3463"/>
      <c r="AJ4" s="3440"/>
      <c r="AK4" s="3440"/>
      <c r="AL4" s="3440"/>
      <c r="AM4" s="3440"/>
      <c r="AN4" s="3440"/>
    </row>
    <row r="5" spans="1:40" s="3441" customFormat="1" ht="318" customHeight="1">
      <c r="A5" s="3466">
        <v>9</v>
      </c>
      <c r="B5" s="3467" t="s">
        <v>3793</v>
      </c>
      <c r="C5" s="3467" t="s">
        <v>3794</v>
      </c>
      <c r="D5" s="3467" t="s">
        <v>3788</v>
      </c>
      <c r="E5" s="3467" t="s">
        <v>3770</v>
      </c>
      <c r="F5" s="3467" t="s">
        <v>3756</v>
      </c>
      <c r="G5" s="3467" t="s">
        <v>3795</v>
      </c>
      <c r="H5" s="3467" t="s">
        <v>3821</v>
      </c>
      <c r="I5" s="3467"/>
      <c r="J5" s="3467" t="s">
        <v>3820</v>
      </c>
      <c r="K5" s="3468">
        <v>2.028</v>
      </c>
      <c r="L5" s="3467" t="s">
        <v>3771</v>
      </c>
      <c r="M5" s="3467" t="s">
        <v>3790</v>
      </c>
      <c r="N5" s="3467" t="s">
        <v>3772</v>
      </c>
      <c r="O5" s="3467" t="s">
        <v>3773</v>
      </c>
      <c r="P5" s="3467" t="s">
        <v>3780</v>
      </c>
      <c r="Q5" s="3467" t="s">
        <v>3781</v>
      </c>
      <c r="R5" s="3467" t="s">
        <v>3782</v>
      </c>
      <c r="S5" s="3467" t="s">
        <v>3783</v>
      </c>
      <c r="T5" s="3467" t="s">
        <v>3796</v>
      </c>
      <c r="U5" s="3467" t="s">
        <v>3797</v>
      </c>
      <c r="V5" s="3469">
        <v>22303.52</v>
      </c>
      <c r="W5" s="3467" t="s">
        <v>3784</v>
      </c>
      <c r="X5" s="3467" t="s">
        <v>3785</v>
      </c>
      <c r="Y5" s="3467" t="s">
        <v>3825</v>
      </c>
      <c r="Z5" s="3467" t="s">
        <v>3785</v>
      </c>
      <c r="AA5" s="3470">
        <v>44263</v>
      </c>
      <c r="AB5" s="3463"/>
      <c r="AC5" s="3463"/>
      <c r="AD5" s="3463"/>
      <c r="AE5" s="3463"/>
      <c r="AF5" s="3463"/>
      <c r="AG5" s="3463"/>
      <c r="AH5" s="3463"/>
      <c r="AI5" s="3463"/>
      <c r="AJ5" s="3440"/>
      <c r="AK5" s="3440"/>
      <c r="AL5" s="3440"/>
      <c r="AM5" s="3440"/>
      <c r="AN5" s="3440"/>
    </row>
  </sheetData>
  <mergeCells count="26">
    <mergeCell ref="F1:F2"/>
    <mergeCell ref="A1:A2"/>
    <mergeCell ref="B1:B2"/>
    <mergeCell ref="C1:C2"/>
    <mergeCell ref="D1:D2"/>
    <mergeCell ref="E1:E2"/>
    <mergeCell ref="X1:X2"/>
    <mergeCell ref="G1:G2"/>
    <mergeCell ref="H1:H2"/>
    <mergeCell ref="I1:I2"/>
    <mergeCell ref="J1:J2"/>
    <mergeCell ref="K1:K2"/>
    <mergeCell ref="L1:O1"/>
    <mergeCell ref="P1:Q1"/>
    <mergeCell ref="R1:S1"/>
    <mergeCell ref="T1:U1"/>
    <mergeCell ref="V1:V2"/>
    <mergeCell ref="W1:W2"/>
    <mergeCell ref="AL1:AL2"/>
    <mergeCell ref="AM1:AM2"/>
    <mergeCell ref="Y1:Y2"/>
    <mergeCell ref="Z1:Z2"/>
    <mergeCell ref="AD1:AD2"/>
    <mergeCell ref="AI1:AI2"/>
    <mergeCell ref="AJ1:AJ2"/>
    <mergeCell ref="AK1:AK2"/>
  </mergeCells>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tabColor theme="0"/>
  </sheetPr>
  <dimension ref="A1:V5"/>
  <sheetViews>
    <sheetView zoomScale="70" zoomScaleNormal="70" workbookViewId="0">
      <pane xSplit="2" ySplit="2" topLeftCell="G3" activePane="bottomRight" state="frozenSplit"/>
      <selection activeCell="E4" sqref="E4"/>
      <selection pane="topRight" activeCell="E4" sqref="E4"/>
      <selection pane="bottomLeft" activeCell="E4" sqref="E4"/>
      <selection pane="bottomRight" activeCell="R4" sqref="R4"/>
    </sheetView>
  </sheetViews>
  <sheetFormatPr defaultRowHeight="13.5"/>
  <cols>
    <col min="2" max="2" width="21.875" customWidth="1"/>
    <col min="5" max="5" width="22.125" customWidth="1"/>
    <col min="6" max="6" width="13.5" customWidth="1"/>
    <col min="7" max="7" width="13.125" customWidth="1"/>
    <col min="14" max="14" width="18.75" customWidth="1"/>
    <col min="15" max="15" width="19.25" customWidth="1"/>
    <col min="16" max="16" width="21.125" customWidth="1"/>
    <col min="17" max="17" width="28.5" customWidth="1"/>
  </cols>
  <sheetData>
    <row r="1" spans="1:22" s="3352" customFormat="1" ht="22.5">
      <c r="A1" s="3839" t="s">
        <v>2359</v>
      </c>
      <c r="B1" s="3728" t="s">
        <v>3155</v>
      </c>
      <c r="C1" s="3728" t="s">
        <v>3156</v>
      </c>
      <c r="D1" s="3728" t="s">
        <v>3157</v>
      </c>
      <c r="E1" s="3728" t="s">
        <v>3158</v>
      </c>
      <c r="F1" s="3728" t="s">
        <v>3159</v>
      </c>
      <c r="G1" s="3728" t="s">
        <v>3160</v>
      </c>
      <c r="H1" s="3728" t="s">
        <v>3161</v>
      </c>
      <c r="I1" s="3729" t="s">
        <v>3162</v>
      </c>
      <c r="J1" s="3728" t="s">
        <v>3163</v>
      </c>
      <c r="K1" s="3728"/>
      <c r="L1" s="3728"/>
      <c r="M1" s="3728"/>
      <c r="N1" s="3728" t="s">
        <v>3164</v>
      </c>
      <c r="O1" s="3728"/>
      <c r="P1" s="3728" t="s">
        <v>3165</v>
      </c>
      <c r="Q1" s="3728" t="s">
        <v>3166</v>
      </c>
    </row>
    <row r="2" spans="1:22" s="3352" customFormat="1" ht="56.25">
      <c r="A2" s="3839"/>
      <c r="B2" s="3728"/>
      <c r="C2" s="3728"/>
      <c r="D2" s="3728"/>
      <c r="E2" s="3728"/>
      <c r="F2" s="3728"/>
      <c r="G2" s="3728"/>
      <c r="H2" s="3728"/>
      <c r="I2" s="3729"/>
      <c r="J2" s="3353" t="s">
        <v>3167</v>
      </c>
      <c r="K2" s="3353" t="s">
        <v>3168</v>
      </c>
      <c r="L2" s="3353" t="s">
        <v>3169</v>
      </c>
      <c r="M2" s="3353" t="s">
        <v>3170</v>
      </c>
      <c r="N2" s="3353" t="s">
        <v>3171</v>
      </c>
      <c r="O2" s="3353" t="s">
        <v>3131</v>
      </c>
      <c r="P2" s="3728"/>
      <c r="Q2" s="3728"/>
    </row>
    <row r="3" spans="1:22" s="3355" customFormat="1" ht="112.5">
      <c r="A3" s="3375">
        <v>1</v>
      </c>
      <c r="B3" s="3376" t="s">
        <v>3277</v>
      </c>
      <c r="C3" s="3376" t="s">
        <v>3172</v>
      </c>
      <c r="D3" s="3376" t="s">
        <v>3173</v>
      </c>
      <c r="E3" s="3376" t="s">
        <v>3174</v>
      </c>
      <c r="F3" s="3376">
        <v>174891.64</v>
      </c>
      <c r="G3" s="3376" t="s">
        <v>3175</v>
      </c>
      <c r="H3" s="3376">
        <v>291606</v>
      </c>
      <c r="I3" s="3377">
        <v>1.67</v>
      </c>
      <c r="J3" s="3376">
        <v>2.5</v>
      </c>
      <c r="K3" s="3376" t="s">
        <v>3176</v>
      </c>
      <c r="L3" s="3378" t="s">
        <v>3177</v>
      </c>
      <c r="M3" s="3376" t="s">
        <v>3178</v>
      </c>
      <c r="N3" s="3376" t="s">
        <v>3179</v>
      </c>
      <c r="O3" s="3376" t="s">
        <v>3180</v>
      </c>
      <c r="P3" s="3376">
        <v>8712.6550000000007</v>
      </c>
      <c r="Q3" s="3376" t="s">
        <v>3181</v>
      </c>
      <c r="R3" s="3354">
        <v>44105</v>
      </c>
      <c r="S3" s="3355">
        <v>7</v>
      </c>
    </row>
    <row r="4" spans="1:22" s="3471" customFormat="1" ht="267.75" customHeight="1">
      <c r="A4" s="3471">
        <v>8</v>
      </c>
      <c r="B4" s="3471" t="s">
        <v>3843</v>
      </c>
      <c r="C4" s="3471" t="s">
        <v>3798</v>
      </c>
      <c r="D4" s="3472" t="s">
        <v>3799</v>
      </c>
      <c r="E4" s="3471" t="s">
        <v>3800</v>
      </c>
      <c r="F4" s="3471">
        <v>78298.679999999993</v>
      </c>
      <c r="G4" s="3472" t="s">
        <v>3801</v>
      </c>
      <c r="H4" s="3472" t="s">
        <v>3802</v>
      </c>
      <c r="I4" s="3471">
        <v>4.68</v>
      </c>
      <c r="J4" s="3471" t="s">
        <v>3803</v>
      </c>
      <c r="K4" s="3471" t="s">
        <v>3804</v>
      </c>
      <c r="L4" s="3471" t="s">
        <v>3805</v>
      </c>
      <c r="M4" s="3471" t="s">
        <v>3806</v>
      </c>
      <c r="N4" s="3471" t="s">
        <v>3807</v>
      </c>
      <c r="O4" s="3471" t="s">
        <v>3808</v>
      </c>
      <c r="P4" s="3471" t="s">
        <v>3809</v>
      </c>
      <c r="Q4" s="3471" t="s">
        <v>3810</v>
      </c>
      <c r="R4" s="3471" t="s">
        <v>3811</v>
      </c>
      <c r="S4" s="3471" t="s">
        <v>3812</v>
      </c>
      <c r="T4" s="3471">
        <v>15010.72</v>
      </c>
      <c r="U4" s="3472" t="s">
        <v>3813</v>
      </c>
      <c r="V4" s="3473">
        <v>43869</v>
      </c>
    </row>
    <row r="5" spans="1:22" s="3357" customFormat="1" ht="206.25">
      <c r="A5" s="3379">
        <v>3</v>
      </c>
      <c r="B5" s="3380" t="s">
        <v>3184</v>
      </c>
      <c r="C5" s="3380" t="s">
        <v>3185</v>
      </c>
      <c r="D5" s="3380" t="s">
        <v>3186</v>
      </c>
      <c r="E5" s="3380" t="s">
        <v>3187</v>
      </c>
      <c r="F5" s="3380">
        <v>38062.076999999997</v>
      </c>
      <c r="G5" s="3380" t="s">
        <v>3188</v>
      </c>
      <c r="H5" s="3380" t="s">
        <v>3189</v>
      </c>
      <c r="I5" s="3381" t="s">
        <v>3190</v>
      </c>
      <c r="J5" s="3380">
        <v>2.5</v>
      </c>
      <c r="K5" s="3380" t="s">
        <v>3191</v>
      </c>
      <c r="L5" s="3380" t="s">
        <v>3192</v>
      </c>
      <c r="M5" s="3380" t="s">
        <v>3193</v>
      </c>
      <c r="N5" s="3376" t="s">
        <v>3194</v>
      </c>
      <c r="O5" s="3376" t="s">
        <v>3195</v>
      </c>
      <c r="P5" s="3376" t="s">
        <v>3196</v>
      </c>
      <c r="Q5" s="3376" t="s">
        <v>3279</v>
      </c>
      <c r="R5" s="3356">
        <v>43952</v>
      </c>
      <c r="S5" s="3357">
        <v>7</v>
      </c>
    </row>
  </sheetData>
  <mergeCells count="13">
    <mergeCell ref="F1:F2"/>
    <mergeCell ref="A1:A2"/>
    <mergeCell ref="B1:B2"/>
    <mergeCell ref="C1:C2"/>
    <mergeCell ref="D1:D2"/>
    <mergeCell ref="E1:E2"/>
    <mergeCell ref="Q1:Q2"/>
    <mergeCell ref="G1:G2"/>
    <mergeCell ref="H1:H2"/>
    <mergeCell ref="I1:I2"/>
    <mergeCell ref="J1:M1"/>
    <mergeCell ref="N1:O1"/>
    <mergeCell ref="P1:P2"/>
  </mergeCells>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tabColor rgb="FF92D050"/>
  </sheetPr>
  <dimension ref="A1:AR118"/>
  <sheetViews>
    <sheetView view="pageBreakPreview" topLeftCell="A19" zoomScale="80" zoomScaleNormal="60" zoomScaleSheetLayoutView="80" workbookViewId="0">
      <selection activeCell="C38" sqref="C38"/>
    </sheetView>
  </sheetViews>
  <sheetFormatPr defaultColWidth="12" defaultRowHeight="12"/>
  <cols>
    <col min="1" max="1" width="9.875" style="1350" customWidth="1"/>
    <col min="2" max="2" width="20.875" style="1464"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2410</v>
      </c>
      <c r="D1" s="1457">
        <f>SUM(D29:D30,D33:D39)</f>
        <v>51607.64</v>
      </c>
      <c r="E1" s="1352" t="s">
        <v>2411</v>
      </c>
      <c r="F1" s="2303">
        <f>'数据-基础表'!E13</f>
        <v>7186.12</v>
      </c>
      <c r="G1" s="1347"/>
      <c r="H1" s="1347"/>
      <c r="I1" s="1347"/>
      <c r="J1" s="1347"/>
      <c r="K1" s="2066"/>
      <c r="L1" s="1792" t="s">
        <v>2226</v>
      </c>
      <c r="M1" s="1793">
        <f>SUMPRODUCT((区片价!B5:B9=I2)*(区片价!C3:F3=E2)*(区片价!C5:F9))</f>
        <v>0</v>
      </c>
      <c r="N1" s="1794">
        <f>SUMPRODUCT((因素修正幅度!B5:B9=I2)*(因素修正幅度!C3:F3=E2)*(因素修正幅度!C5:F9))</f>
        <v>0</v>
      </c>
      <c r="O1" s="2066"/>
      <c r="P1" s="2066"/>
      <c r="Q1" s="2066"/>
      <c r="R1" s="2649" t="s">
        <v>2740</v>
      </c>
      <c r="S1" s="2649" t="s">
        <v>2741</v>
      </c>
      <c r="T1" s="2649" t="s">
        <v>2762</v>
      </c>
      <c r="U1" s="2649" t="s">
        <v>2763</v>
      </c>
      <c r="V1" s="2649" t="s">
        <v>2764</v>
      </c>
      <c r="W1" s="2066"/>
      <c r="X1" s="2066"/>
      <c r="Y1" s="2066"/>
      <c r="Z1" s="2066"/>
      <c r="AA1" s="2066"/>
      <c r="AB1" s="2066"/>
      <c r="AC1" s="2067"/>
    </row>
    <row r="2" spans="1:39" ht="15.75">
      <c r="A2" s="1352" t="s">
        <v>911</v>
      </c>
      <c r="B2" s="1023">
        <f ca="1">C26</f>
        <v>113852</v>
      </c>
      <c r="C2" s="1353" t="s">
        <v>912</v>
      </c>
      <c r="D2" s="1354" t="s">
        <v>913</v>
      </c>
      <c r="E2" s="1355" t="s">
        <v>2998</v>
      </c>
      <c r="F2" s="1354" t="s">
        <v>915</v>
      </c>
      <c r="G2" s="1577" t="str">
        <f>IF(E2="商业",项目基本情况!B43,IF(E2="办公",项目基本情况!C43,IF(E2="住宅",项目基本情况!D43,项目基本情况!E43)))</f>
        <v>五级</v>
      </c>
      <c r="H2" s="1354" t="s">
        <v>917</v>
      </c>
      <c r="I2" s="1578" t="str">
        <f>IF(E2="商业",项目基本情况!B44,IF(E2="办公",项目基本情况!C44,IF(E2="住宅",项目基本情况!D44,项目基本情况!E44)))</f>
        <v>Ⅴ-05</v>
      </c>
      <c r="J2" s="1356"/>
      <c r="K2" s="3225"/>
      <c r="L2" s="1795" t="s">
        <v>2227</v>
      </c>
      <c r="M2" s="1796">
        <f>SUMPRODUCT((区片价!B10:B28=I2)*(区片价!C3:F3=E2)*(区片价!C10:F28))</f>
        <v>0</v>
      </c>
      <c r="N2" s="1797">
        <f>SUMPRODUCT((因素修正幅度!B10:B28=I2)*(因素修正幅度!C3:F3=E2)*(因素修正幅度!C10:F28))</f>
        <v>0</v>
      </c>
      <c r="O2" s="3225"/>
      <c r="P2" s="2066"/>
      <c r="Q2" s="2066"/>
      <c r="R2" s="2650">
        <v>1</v>
      </c>
      <c r="S2" s="2650">
        <f>ROUND(IF(G3&gt;1,IF(R2&lt;7,SUMPRODUCT((B93:B98=R2)*(C92:N92=G2)*(C93:N98)),SUMIF(C92:N92,G2,C100:N100)),IF(R2&lt;7,SUMPRODUCT((B102:B107=R2)*(C92:N92=G2)*(C102:N107)),SUMIF(C92:N92,G2,C109:N109))),4)</f>
        <v>1.8629</v>
      </c>
      <c r="T2" s="2650">
        <f ca="1">ROUND($C$5*$C$18*$C$19*$C$20*S2*$C$24,0)</f>
        <v>30003</v>
      </c>
      <c r="U2" s="2639"/>
      <c r="V2" s="2650">
        <f ca="1">ROUND(T2*U2/10000,0)</f>
        <v>0</v>
      </c>
      <c r="W2" s="2066"/>
      <c r="X2" s="2066"/>
      <c r="Y2" s="2066"/>
      <c r="Z2" s="2066"/>
      <c r="AA2" s="2066"/>
      <c r="AB2" s="2066"/>
      <c r="AC2" s="2067"/>
    </row>
    <row r="3" spans="1:39" ht="24">
      <c r="A3" s="1357" t="s">
        <v>1677</v>
      </c>
      <c r="B3" s="1023">
        <f ca="1">ROUND(B2*10000/D1,0)</f>
        <v>22061</v>
      </c>
      <c r="C3" s="1353" t="s">
        <v>918</v>
      </c>
      <c r="D3" s="1354" t="s">
        <v>919</v>
      </c>
      <c r="E3" s="1358" t="s">
        <v>3025</v>
      </c>
      <c r="F3" s="1359" t="s">
        <v>3702</v>
      </c>
      <c r="G3" s="1024">
        <f>IF(F3="宗地容积率",'数据-汇总表'!I4,IF(F3="估价对象容积率",'数据-汇总表'!I6,'数据-汇总表'!I7))</f>
        <v>1.1000000000000001</v>
      </c>
      <c r="H3" s="1360" t="s">
        <v>920</v>
      </c>
      <c r="I3" s="1025">
        <v>7</v>
      </c>
      <c r="J3" s="1356" t="s">
        <v>921</v>
      </c>
      <c r="K3" s="3225"/>
      <c r="L3" s="1795" t="s">
        <v>2228</v>
      </c>
      <c r="M3" s="1796">
        <f>SUMPRODUCT((区片价!B29:B48=I2)*(区片价!C3:F3=E2)*(区片价!C29:F48))</f>
        <v>0</v>
      </c>
      <c r="N3" s="1797">
        <f>SUMPRODUCT((因素修正幅度!B29:B48=I2)*(因素修正幅度!C3:F3=E2)*(因素修正幅度!C29:F48))</f>
        <v>0</v>
      </c>
      <c r="O3" s="3225"/>
      <c r="P3" s="2066"/>
      <c r="Q3" s="2066"/>
      <c r="R3" s="2650">
        <v>2</v>
      </c>
      <c r="S3" s="2650">
        <f>ROUND(IF(G3&gt;1,IF(R3&lt;7,SUMPRODUCT((B93:B98=R3)*(C92:N92=G2)*(C93:N98)),SUMIF(C92:N92,G2,C100:N100)),IF(R3&lt;7,SUMPRODUCT((B102:B107=R3)*(C92:N92=G2)*(C102:N107)),SUMIF(C92:N92,G2,C109:N109))),4)</f>
        <v>1.3371999999999999</v>
      </c>
      <c r="T3" s="2650">
        <f t="shared" ref="T3:T16" ca="1" si="0">ROUND($C$5*$C$18*$C$19*$C$20*S3*$C$24,0)</f>
        <v>21536</v>
      </c>
      <c r="U3" s="2639"/>
      <c r="V3" s="2650">
        <f t="shared" ref="V3:V16" ca="1" si="1">ROUND(T3*U3/10000,0)</f>
        <v>0</v>
      </c>
      <c r="W3" s="2066"/>
      <c r="X3" s="2066"/>
      <c r="Y3" s="2066"/>
      <c r="Z3" s="2066"/>
      <c r="AA3" s="2066"/>
      <c r="AB3" s="2066"/>
      <c r="AC3" s="2067"/>
    </row>
    <row r="4" spans="1:39" ht="28.5">
      <c r="A4" s="1801" t="s">
        <v>2267</v>
      </c>
      <c r="B4" s="2304">
        <f ca="1">ROUND(B2*10000/F1,0)</f>
        <v>158433</v>
      </c>
      <c r="C4" s="1804" t="s">
        <v>2242</v>
      </c>
      <c r="D4" s="1804">
        <f ca="1">ROUND(B2/(F1/666.67),0)</f>
        <v>10562</v>
      </c>
      <c r="E4" s="1804" t="s">
        <v>2243</v>
      </c>
      <c r="F4" s="1802"/>
      <c r="G4" s="1802"/>
      <c r="H4" s="1802"/>
      <c r="I4" s="1802"/>
      <c r="J4" s="1803"/>
      <c r="K4" s="3226"/>
      <c r="L4" s="1795" t="s">
        <v>2229</v>
      </c>
      <c r="M4" s="1796">
        <f>SUMPRODUCT((区片价!B49:B75=I2)*(区片价!C3:F3=E2)*(区片价!C49:F75))</f>
        <v>0</v>
      </c>
      <c r="N4" s="1797">
        <f>SUMPRODUCT((因素修正幅度!B49:B75=I2)*(因素修正幅度!C3:F3=E2)*(因素修正幅度!C49:F75))</f>
        <v>0</v>
      </c>
      <c r="O4" s="3226"/>
      <c r="P4" s="2066"/>
      <c r="Q4" s="2066"/>
      <c r="R4" s="2650">
        <v>3</v>
      </c>
      <c r="S4" s="2650">
        <f>ROUND(IF(G3&gt;1,IF(R4&lt;7,SUMPRODUCT((B93:B98=R4)*(C92:N92=G2)*(C93:N98)),SUMIF(C92:N92,G2,C100:N100)),IF(R4&lt;7,SUMPRODUCT((B102:B107=R4)*(C92:N92=G2)*(C102:N107)),SUMIF(C92:N92,G2,C109:N109))),4)</f>
        <v>1.0788</v>
      </c>
      <c r="T4" s="2650">
        <f t="shared" ca="1" si="0"/>
        <v>17375</v>
      </c>
      <c r="U4" s="2639"/>
      <c r="V4" s="2650">
        <f t="shared" ca="1" si="1"/>
        <v>0</v>
      </c>
      <c r="W4" s="2066"/>
      <c r="X4" s="2066"/>
      <c r="Y4" s="2066"/>
      <c r="Z4" s="2066"/>
      <c r="AA4" s="2066"/>
      <c r="AB4" s="2066"/>
      <c r="AC4" s="2067"/>
    </row>
    <row r="5" spans="1:39" s="1367" customFormat="1" ht="15.75" thickBot="1">
      <c r="A5" s="1563" t="s">
        <v>1813</v>
      </c>
      <c r="B5" s="1361" t="s">
        <v>922</v>
      </c>
      <c r="C5" s="1026">
        <f>ROUND(IF(E2="商业",C6*C7+C16,(IF(E2="住宅",C6*C12+C16,C6+C16))),0)</f>
        <v>12450</v>
      </c>
      <c r="D5" s="2787">
        <f>ROUND(C6+C16,0)</f>
        <v>12450</v>
      </c>
      <c r="E5" s="2787"/>
      <c r="F5" s="1362"/>
      <c r="G5" s="1363"/>
      <c r="H5" s="1363"/>
      <c r="I5" s="1363"/>
      <c r="J5" s="1364"/>
      <c r="K5" s="3227"/>
      <c r="L5" s="1795" t="s">
        <v>2230</v>
      </c>
      <c r="M5" s="1796">
        <f>SUMPRODUCT((区片价!B76:B109=I2)*(区片价!C3:F3=E2)*(区片价!C76:F109))</f>
        <v>12450</v>
      </c>
      <c r="N5" s="1797">
        <f>SUMPRODUCT((因素修正幅度!B76:B109=I2)*(因素修正幅度!C3:F3=E2)*(因素修正幅度!C76:F109))</f>
        <v>9.6000000000000002E-2</v>
      </c>
      <c r="O5" s="3227"/>
      <c r="P5" s="3230"/>
      <c r="Q5" s="2066"/>
      <c r="R5" s="2650">
        <v>4</v>
      </c>
      <c r="S5" s="2650">
        <f>ROUND(IF(G3&gt;1,IF(R5&lt;7,SUMPRODUCT((B93:B98=R5)*(C92:N92=G2)*(C93:N98)),SUMIF(C92:N92,G2,C100:N100)),IF(R5&lt;7,SUMPRODUCT((B102:B107=R5)*(C92:N92=G2)*(C102:N107)),SUMIF(C92:N92,G2,C109:N109))),4)</f>
        <v>0.86560000000000004</v>
      </c>
      <c r="T5" s="2650">
        <f t="shared" ca="1" si="0"/>
        <v>13941</v>
      </c>
      <c r="U5" s="2639"/>
      <c r="V5" s="2650">
        <f t="shared" ca="1" si="1"/>
        <v>0</v>
      </c>
      <c r="W5" s="2066"/>
      <c r="X5" s="2066"/>
      <c r="Y5" s="2066"/>
      <c r="Z5" s="2066"/>
      <c r="AA5" s="2066"/>
      <c r="AB5" s="2066"/>
      <c r="AC5" s="2068"/>
      <c r="AD5" s="1365"/>
      <c r="AE5" s="1365"/>
      <c r="AF5" s="1365"/>
      <c r="AG5" s="1365"/>
      <c r="AH5" s="1365"/>
      <c r="AI5" s="1365"/>
      <c r="AJ5" s="1366"/>
      <c r="AK5" s="1366"/>
      <c r="AL5" s="1366"/>
      <c r="AM5" s="1366"/>
    </row>
    <row r="6" spans="1:39" ht="15.75" thickBot="1">
      <c r="A6" s="1564" t="s">
        <v>1860</v>
      </c>
      <c r="B6" s="1368" t="s">
        <v>922</v>
      </c>
      <c r="C6" s="1027">
        <f>SUMIF(L1:L12,'基准地价（商业）'!G2,M1:M12)</f>
        <v>12450</v>
      </c>
      <c r="D6" s="1369" t="s">
        <v>1685</v>
      </c>
      <c r="E6" s="1370"/>
      <c r="F6" s="1370"/>
      <c r="G6" s="1371"/>
      <c r="H6" s="1371"/>
      <c r="I6" s="1371"/>
      <c r="J6" s="1372"/>
      <c r="K6" s="3228"/>
      <c r="L6" s="1795" t="s">
        <v>2231</v>
      </c>
      <c r="M6" s="1796">
        <f>SUMPRODUCT((区片价!B110:B157=I2)*(区片价!C3:F3=E2)*(区片价!C110:F157))</f>
        <v>0</v>
      </c>
      <c r="N6" s="1797">
        <f>SUMPRODUCT((因素修正幅度!B110:B157=I2)*(因素修正幅度!C3:F3=E2)*(因素修正幅度!C110:F157))</f>
        <v>0</v>
      </c>
      <c r="O6" s="3228"/>
      <c r="P6" s="3231"/>
      <c r="Q6" s="2066"/>
      <c r="R6" s="2650">
        <v>5</v>
      </c>
      <c r="S6" s="2650">
        <f>ROUND(IF(G3&gt;1,IF(R6&lt;7,SUMPRODUCT((B93:B98=R6)*(C92:N92=G2)*(C93:N98)),SUMIF(C92:N92,G2,C100:N100)),IF(R6&lt;7,SUMPRODUCT((B102:B107=R6)*(C92:N92=G2)*(C102:N107)),SUMIF(C92:N92,G2,C109:N109))),4)</f>
        <v>0.73709999999999998</v>
      </c>
      <c r="T6" s="2650">
        <f t="shared" ca="1" si="0"/>
        <v>11871</v>
      </c>
      <c r="U6" s="2639"/>
      <c r="V6" s="2650">
        <f t="shared" ca="1" si="1"/>
        <v>0</v>
      </c>
      <c r="W6" s="2066"/>
      <c r="X6" s="2066"/>
      <c r="Y6" s="2066"/>
      <c r="Z6" s="2066"/>
      <c r="AA6" s="2066"/>
      <c r="AB6" s="2066"/>
      <c r="AC6" s="2068"/>
      <c r="AD6" s="1365"/>
      <c r="AE6" s="1365"/>
      <c r="AF6" s="1365"/>
      <c r="AG6" s="1365"/>
      <c r="AH6" s="1365"/>
      <c r="AI6" s="1365"/>
      <c r="AJ6" s="1366"/>
    </row>
    <row r="7" spans="1:39" ht="24">
      <c r="A7" s="3748" t="str">
        <f>IF(E2="商业",IF(C8="不临58条商业街","",2),"")</f>
        <v/>
      </c>
      <c r="B7" s="1373" t="s">
        <v>923</v>
      </c>
      <c r="C7" s="1028">
        <f>IF(C8="不临58条商业街",1,ROUND(1+(1.6*E8+1.2*E9+0.8*E10+0.4*E11)*C9,4))</f>
        <v>1</v>
      </c>
      <c r="D7" s="1374" t="s">
        <v>924</v>
      </c>
      <c r="E7" s="1029"/>
      <c r="F7" s="1375"/>
      <c r="G7" s="1376"/>
      <c r="H7" s="1376"/>
      <c r="I7" s="1376"/>
      <c r="J7" s="1377"/>
      <c r="K7" s="3228"/>
      <c r="L7" s="1795" t="s">
        <v>2232</v>
      </c>
      <c r="M7" s="1796">
        <f>SUMPRODUCT((区片价!B158:B205=I2)*(区片价!C3:F3=E2)*(区片价!C158:F205))</f>
        <v>0</v>
      </c>
      <c r="N7" s="1797">
        <f>SUMPRODUCT((因素修正幅度!B158:B205=I2)*(因素修正幅度!C3:F3=E2)*(因素修正幅度!C158:F205))</f>
        <v>0</v>
      </c>
      <c r="O7" s="3228"/>
      <c r="P7" s="3231"/>
      <c r="Q7" s="2066"/>
      <c r="R7" s="2650">
        <v>6</v>
      </c>
      <c r="S7" s="2650">
        <f>ROUND(IF(G3&gt;1,IF(R7&lt;7,SUMPRODUCT((B93:B98=R7)*(C92:N92=G2)*(C93:N98)),SUMIF(C92:N92,G2,C100:N100)),IF(R7&lt;7,SUMPRODUCT((B102:B107=R7)*(C92:N92=G2)*(C102:N107)),SUMIF(C92:N92,G2,C109:N109))),4)</f>
        <v>0.6482</v>
      </c>
      <c r="T7" s="2650">
        <f t="shared" ca="1" si="0"/>
        <v>10440</v>
      </c>
      <c r="U7" s="2639"/>
      <c r="V7" s="2650">
        <f t="shared" ca="1" si="1"/>
        <v>0</v>
      </c>
      <c r="W7" s="2648" t="s">
        <v>2743</v>
      </c>
      <c r="X7" s="2640" t="str">
        <f>G2</f>
        <v>五级</v>
      </c>
      <c r="Y7" s="2640" t="s">
        <v>2744</v>
      </c>
      <c r="Z7" s="2641">
        <f>G3</f>
        <v>1.1000000000000001</v>
      </c>
      <c r="AA7" s="2069"/>
      <c r="AB7" s="2069"/>
      <c r="AC7" s="2070"/>
      <c r="AD7" s="2642"/>
      <c r="AE7" s="2642"/>
      <c r="AF7" s="2642"/>
      <c r="AG7" s="2642"/>
      <c r="AH7" s="2642"/>
      <c r="AI7" s="2642"/>
      <c r="AJ7" s="2643"/>
    </row>
    <row r="8" spans="1:39" ht="25.5">
      <c r="A8" s="3752"/>
      <c r="B8" s="1360" t="s">
        <v>925</v>
      </c>
      <c r="C8" s="1465" t="s">
        <v>3026</v>
      </c>
      <c r="D8" s="1030" t="s">
        <v>926</v>
      </c>
      <c r="E8" s="1031" t="e">
        <f>ROUND(C11/E7,4)</f>
        <v>#DIV/0!</v>
      </c>
      <c r="F8" s="1378" t="s">
        <v>927</v>
      </c>
      <c r="G8" s="1379"/>
      <c r="H8" s="1379"/>
      <c r="I8" s="1379"/>
      <c r="J8" s="1380"/>
      <c r="K8" s="3228"/>
      <c r="L8" s="1795" t="s">
        <v>2233</v>
      </c>
      <c r="M8" s="1796">
        <f>SUMPRODUCT((区片价!B206:B244=I2)*(区片价!C3:F3=E2)*(区片价!C206:F244))</f>
        <v>0</v>
      </c>
      <c r="N8" s="1797">
        <f>SUMPRODUCT((因素修正幅度!B206:B244=I2)*(因素修正幅度!C3:F3=E2)*(因素修正幅度!C206:F244))</f>
        <v>0</v>
      </c>
      <c r="O8" s="3228"/>
      <c r="P8" s="2066"/>
      <c r="Q8" s="2066"/>
      <c r="R8" s="2650">
        <v>7</v>
      </c>
      <c r="S8" s="2639"/>
      <c r="T8" s="2650">
        <f t="shared" ca="1" si="0"/>
        <v>0</v>
      </c>
      <c r="U8" s="2639"/>
      <c r="V8" s="2650">
        <f t="shared" ca="1" si="1"/>
        <v>0</v>
      </c>
      <c r="W8" s="3753" t="s">
        <v>2761</v>
      </c>
      <c r="X8" s="3754"/>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752"/>
      <c r="B9" s="1360" t="s">
        <v>928</v>
      </c>
      <c r="C9" s="1032">
        <f>SUMIF(修正!C59:C119,C8,修正!E59:E119)</f>
        <v>0</v>
      </c>
      <c r="D9" s="1033" t="s">
        <v>929</v>
      </c>
      <c r="E9" s="1033" t="e">
        <f>ROUND(C11/E7,4)</f>
        <v>#DIV/0!</v>
      </c>
      <c r="F9" s="1378" t="s">
        <v>930</v>
      </c>
      <c r="G9" s="1379"/>
      <c r="H9" s="1379"/>
      <c r="I9" s="1379"/>
      <c r="J9" s="1380"/>
      <c r="K9" s="3228"/>
      <c r="L9" s="1795" t="s">
        <v>2234</v>
      </c>
      <c r="M9" s="1796">
        <f>SUMPRODUCT((区片价!B245:B289=I2)*(区片价!C3:F3=E2)*(区片价!C245:F289))</f>
        <v>0</v>
      </c>
      <c r="N9" s="1797">
        <f>SUMPRODUCT((因素修正幅度!B245:B289=I2)*(因素修正幅度!C3:F3=E2)*(因素修正幅度!C245:F289))</f>
        <v>0</v>
      </c>
      <c r="O9" s="3228"/>
      <c r="P9" s="2066"/>
      <c r="Q9" s="2066"/>
      <c r="R9" s="2650">
        <v>8</v>
      </c>
      <c r="S9" s="2639"/>
      <c r="T9" s="2650">
        <f t="shared" ca="1" si="0"/>
        <v>0</v>
      </c>
      <c r="U9" s="2639"/>
      <c r="V9" s="2650">
        <f t="shared" ca="1" si="1"/>
        <v>0</v>
      </c>
      <c r="W9" s="3755" t="s">
        <v>2757</v>
      </c>
      <c r="X9" s="2644" t="s">
        <v>2758</v>
      </c>
      <c r="Y9" s="2780"/>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752"/>
      <c r="B10" s="1360" t="s">
        <v>931</v>
      </c>
      <c r="C10" s="1033">
        <f>SUMIF(修正!C59:C119,C8,修正!F59:F119)</f>
        <v>0</v>
      </c>
      <c r="D10" s="1033" t="s">
        <v>932</v>
      </c>
      <c r="E10" s="1033" t="e">
        <f>ROUND(C11/E7,4)</f>
        <v>#DIV/0!</v>
      </c>
      <c r="F10" s="1378" t="s">
        <v>933</v>
      </c>
      <c r="G10" s="1379"/>
      <c r="H10" s="1379"/>
      <c r="I10" s="1379"/>
      <c r="J10" s="1380"/>
      <c r="K10" s="3228"/>
      <c r="L10" s="1795" t="s">
        <v>2235</v>
      </c>
      <c r="M10" s="1796">
        <f>SUMPRODUCT((区片价!B290:B316=I2)*(区片价!C3:F3=E2)*(区片价!C290:F316))</f>
        <v>0</v>
      </c>
      <c r="N10" s="1797">
        <f>SUMPRODUCT((因素修正幅度!B290:B316=I2)*(因素修正幅度!C3:F3=E2)*(因素修正幅度!C290:F316))</f>
        <v>0</v>
      </c>
      <c r="O10" s="3228"/>
      <c r="P10" s="2066"/>
      <c r="Q10" s="2066"/>
      <c r="R10" s="2650">
        <v>9</v>
      </c>
      <c r="S10" s="2639"/>
      <c r="T10" s="2650">
        <f t="shared" ca="1" si="0"/>
        <v>0</v>
      </c>
      <c r="U10" s="2639"/>
      <c r="V10" s="2650">
        <f t="shared" ca="1" si="1"/>
        <v>0</v>
      </c>
      <c r="W10" s="3755"/>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752"/>
      <c r="B11" s="1381" t="s">
        <v>934</v>
      </c>
      <c r="C11" s="1034">
        <f>C10/4</f>
        <v>0</v>
      </c>
      <c r="D11" s="1034" t="s">
        <v>935</v>
      </c>
      <c r="E11" s="1034" t="e">
        <f>ROUND(C11/E7,4)</f>
        <v>#DIV/0!</v>
      </c>
      <c r="F11" s="1382" t="s">
        <v>936</v>
      </c>
      <c r="G11" s="1383"/>
      <c r="H11" s="1383"/>
      <c r="I11" s="1383"/>
      <c r="J11" s="1384"/>
      <c r="K11" s="3228"/>
      <c r="L11" s="1795" t="s">
        <v>2236</v>
      </c>
      <c r="M11" s="1796">
        <f>SUMPRODUCT((区片价!B317:B337=I2)*(区片价!C3:F3=E2)*(区片价!C317:F337))</f>
        <v>0</v>
      </c>
      <c r="N11" s="1797">
        <f>SUMPRODUCT((因素修正幅度!B317:B337=I2)*(因素修正幅度!C3:F3=E2)*(因素修正幅度!C317:F337))</f>
        <v>0</v>
      </c>
      <c r="O11" s="3228"/>
      <c r="P11" s="2066"/>
      <c r="Q11" s="2066"/>
      <c r="R11" s="2650">
        <v>10</v>
      </c>
      <c r="S11" s="2639"/>
      <c r="T11" s="2650">
        <f t="shared" ca="1" si="0"/>
        <v>0</v>
      </c>
      <c r="U11" s="2639"/>
      <c r="V11" s="2650">
        <f t="shared" ca="1" si="1"/>
        <v>0</v>
      </c>
      <c r="W11" s="3755" t="s">
        <v>2759</v>
      </c>
      <c r="X11" s="1033" t="s">
        <v>2744</v>
      </c>
      <c r="Y11" s="1578">
        <f>$G$3</f>
        <v>1.1000000000000001</v>
      </c>
      <c r="Z11" s="1578">
        <f t="shared" ref="Z11:AJ11" si="3">$G$3</f>
        <v>1.1000000000000001</v>
      </c>
      <c r="AA11" s="1578">
        <f t="shared" si="3"/>
        <v>1.1000000000000001</v>
      </c>
      <c r="AB11" s="1578">
        <f t="shared" si="3"/>
        <v>1.1000000000000001</v>
      </c>
      <c r="AC11" s="1578">
        <f t="shared" si="3"/>
        <v>1.1000000000000001</v>
      </c>
      <c r="AD11" s="1578">
        <f t="shared" si="3"/>
        <v>1.1000000000000001</v>
      </c>
      <c r="AE11" s="1578">
        <f t="shared" si="3"/>
        <v>1.1000000000000001</v>
      </c>
      <c r="AF11" s="1578">
        <f t="shared" si="3"/>
        <v>1.1000000000000001</v>
      </c>
      <c r="AG11" s="1578">
        <f t="shared" si="3"/>
        <v>1.1000000000000001</v>
      </c>
      <c r="AH11" s="1578">
        <f t="shared" si="3"/>
        <v>1.1000000000000001</v>
      </c>
      <c r="AI11" s="1578">
        <f t="shared" si="3"/>
        <v>1.1000000000000001</v>
      </c>
      <c r="AJ11" s="1578">
        <f t="shared" si="3"/>
        <v>1.1000000000000001</v>
      </c>
    </row>
    <row r="12" spans="1:39" ht="25.5" thickBot="1">
      <c r="A12" s="3748" t="s">
        <v>1861</v>
      </c>
      <c r="B12" s="1385" t="s">
        <v>937</v>
      </c>
      <c r="C12" s="1028">
        <f>ROUND(C15*D15*E15*F15*G15*H15*I15*J15,4)</f>
        <v>1</v>
      </c>
      <c r="D12" s="1386" t="s">
        <v>938</v>
      </c>
      <c r="E12" s="1387"/>
      <c r="F12" s="1387"/>
      <c r="G12" s="1388"/>
      <c r="H12" s="1388"/>
      <c r="I12" s="1388"/>
      <c r="J12" s="1389"/>
      <c r="K12" s="3228"/>
      <c r="L12" s="1798" t="s">
        <v>2237</v>
      </c>
      <c r="M12" s="1799">
        <f>SUMPRODUCT((区片价!B338:B344=I2)*(区片价!C3:F3=E2)*(区片价!C338:F344))</f>
        <v>0</v>
      </c>
      <c r="N12" s="1800">
        <f>SUMPRODUCT((因素修正幅度!B338:B344=I2)*(因素修正幅度!C3:F3=E2)*(因素修正幅度!C338:F344))</f>
        <v>0</v>
      </c>
      <c r="O12" s="3228"/>
      <c r="P12" s="2066"/>
      <c r="Q12" s="2066"/>
      <c r="R12" s="2650">
        <v>11</v>
      </c>
      <c r="S12" s="2639"/>
      <c r="T12" s="2650">
        <f t="shared" ca="1" si="0"/>
        <v>0</v>
      </c>
      <c r="U12" s="2639"/>
      <c r="V12" s="2650">
        <f t="shared" ca="1" si="1"/>
        <v>0</v>
      </c>
      <c r="W12" s="3755"/>
      <c r="X12" s="2647" t="s">
        <v>2760</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756"/>
      <c r="B13" s="1390" t="s">
        <v>1686</v>
      </c>
      <c r="C13" s="1391" t="s">
        <v>1687</v>
      </c>
      <c r="D13" s="1070" t="s">
        <v>1688</v>
      </c>
      <c r="E13" s="1070" t="s">
        <v>1689</v>
      </c>
      <c r="F13" s="1392" t="s">
        <v>939</v>
      </c>
      <c r="G13" s="1393" t="s">
        <v>1632</v>
      </c>
      <c r="H13" s="1394" t="s">
        <v>1632</v>
      </c>
      <c r="I13" s="1395" t="s">
        <v>1632</v>
      </c>
      <c r="J13" s="1396" t="s">
        <v>1632</v>
      </c>
      <c r="K13" s="2837"/>
      <c r="L13" s="2837"/>
      <c r="M13" s="2837"/>
      <c r="N13" s="2837"/>
      <c r="O13" s="2837"/>
      <c r="P13" s="2066"/>
      <c r="Q13" s="2066"/>
      <c r="R13" s="2650">
        <v>12</v>
      </c>
      <c r="S13" s="2639"/>
      <c r="T13" s="2650">
        <f t="shared" ca="1" si="0"/>
        <v>0</v>
      </c>
      <c r="U13" s="2639"/>
      <c r="V13" s="2650">
        <f t="shared" ca="1" si="1"/>
        <v>0</v>
      </c>
      <c r="W13" s="3755"/>
      <c r="X13" s="2647"/>
      <c r="Y13" s="2646">
        <f>(-0.163*(Y12^2)-0.59*Y12+7617)*(10^(-4))/Y11</f>
        <v>0.69245454545454543</v>
      </c>
      <c r="Z13" s="2646">
        <f t="shared" ref="Z13:AJ13" si="5">(-0.163*(Z12^2)-0.59*Z12+7617)*(10^(-4))/Z11</f>
        <v>0.69245454545454543</v>
      </c>
      <c r="AA13" s="2646">
        <f t="shared" si="5"/>
        <v>0.69245454545454543</v>
      </c>
      <c r="AB13" s="2646">
        <f t="shared" si="5"/>
        <v>0.69245454545454543</v>
      </c>
      <c r="AC13" s="2646">
        <f t="shared" si="5"/>
        <v>0.69245454545454543</v>
      </c>
      <c r="AD13" s="2646">
        <f t="shared" si="5"/>
        <v>0.69245454545454543</v>
      </c>
      <c r="AE13" s="2646">
        <f t="shared" si="5"/>
        <v>0.69245454545454543</v>
      </c>
      <c r="AF13" s="2646">
        <f t="shared" si="5"/>
        <v>0.69245454545454543</v>
      </c>
      <c r="AG13" s="2646">
        <f t="shared" si="5"/>
        <v>0.69245454545454543</v>
      </c>
      <c r="AH13" s="2646">
        <f t="shared" si="5"/>
        <v>0.69245454545454543</v>
      </c>
      <c r="AI13" s="2646">
        <f t="shared" si="5"/>
        <v>0.69245454545454543</v>
      </c>
      <c r="AJ13" s="2646">
        <f t="shared" si="5"/>
        <v>0.69245454545454543</v>
      </c>
    </row>
    <row r="14" spans="1:39" ht="12.75" customHeight="1">
      <c r="A14" s="3756"/>
      <c r="B14" s="1397"/>
      <c r="C14" s="1398"/>
      <c r="D14" s="1399"/>
      <c r="E14" s="1399"/>
      <c r="F14" s="1400"/>
      <c r="G14" s="1401" t="s">
        <v>940</v>
      </c>
      <c r="H14" s="1402"/>
      <c r="I14" s="1403"/>
      <c r="J14" s="1404"/>
      <c r="K14" s="3229"/>
      <c r="L14" s="3229"/>
      <c r="M14" s="3229"/>
      <c r="N14" s="3229"/>
      <c r="O14" s="3229"/>
      <c r="P14" s="2066"/>
      <c r="Q14" s="2066"/>
      <c r="R14" s="2650">
        <v>13</v>
      </c>
      <c r="S14" s="2639"/>
      <c r="T14" s="2650">
        <f t="shared" ca="1" si="0"/>
        <v>0</v>
      </c>
      <c r="U14" s="2639"/>
      <c r="V14" s="2650">
        <f t="shared" ca="1" si="1"/>
        <v>0</v>
      </c>
      <c r="W14" s="2066"/>
      <c r="X14" s="2066"/>
      <c r="Y14" s="2066"/>
      <c r="Z14" s="2066"/>
      <c r="AA14" s="2066"/>
      <c r="AB14" s="2066"/>
      <c r="AC14" s="2067"/>
    </row>
    <row r="15" spans="1:39" ht="13.5" customHeight="1" thickBot="1">
      <c r="A15" s="3757"/>
      <c r="B15" s="2842" t="s">
        <v>1690</v>
      </c>
      <c r="C15" s="1034">
        <f>IF(C14="有",1.1,1)</f>
        <v>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6"/>
      <c r="Q15" s="2066"/>
      <c r="R15" s="2650">
        <v>14</v>
      </c>
      <c r="S15" s="2639"/>
      <c r="T15" s="2650">
        <f t="shared" ca="1" si="0"/>
        <v>0</v>
      </c>
      <c r="U15" s="2639"/>
      <c r="V15" s="2650">
        <f t="shared" ca="1" si="1"/>
        <v>0</v>
      </c>
      <c r="W15" s="2066"/>
      <c r="X15" s="2066"/>
      <c r="Y15" s="2066"/>
      <c r="Z15" s="2066"/>
      <c r="AA15" s="2066"/>
      <c r="AB15" s="2066"/>
      <c r="AC15" s="2067"/>
    </row>
    <row r="16" spans="1:39" ht="24.6" customHeight="1">
      <c r="A16" s="3748" t="s">
        <v>1828</v>
      </c>
      <c r="B16" s="1373" t="s">
        <v>941</v>
      </c>
      <c r="C16" s="1037">
        <f>ROUND(IF(F17="与级别开发程度一致",0,(G17-E17)/C17),0)</f>
        <v>0</v>
      </c>
      <c r="D16" s="3750" t="s">
        <v>945</v>
      </c>
      <c r="E16" s="3751"/>
      <c r="F16" s="3750" t="s">
        <v>942</v>
      </c>
      <c r="G16" s="3751"/>
      <c r="H16" s="1405" t="s">
        <v>3013</v>
      </c>
      <c r="I16" s="1405" t="s">
        <v>3014</v>
      </c>
      <c r="J16" s="1405" t="s">
        <v>3015</v>
      </c>
      <c r="K16" s="1405" t="s">
        <v>3016</v>
      </c>
      <c r="L16" s="1405" t="s">
        <v>3017</v>
      </c>
      <c r="M16" s="1405" t="s">
        <v>3019</v>
      </c>
      <c r="N16" s="1405" t="s">
        <v>3012</v>
      </c>
      <c r="O16" s="2847" t="s">
        <v>3018</v>
      </c>
      <c r="P16" s="2066"/>
      <c r="Q16" s="2069"/>
      <c r="R16" s="2650">
        <v>15</v>
      </c>
      <c r="S16" s="2639"/>
      <c r="T16" s="2650">
        <f t="shared" ca="1" si="0"/>
        <v>0</v>
      </c>
      <c r="U16" s="2639"/>
      <c r="V16" s="2650">
        <f t="shared" ca="1" si="1"/>
        <v>0</v>
      </c>
      <c r="W16" s="2069"/>
      <c r="X16" s="2069"/>
      <c r="Y16" s="2069"/>
      <c r="Z16" s="2069"/>
      <c r="AA16" s="2069"/>
      <c r="AB16" s="2069"/>
      <c r="AC16" s="2070"/>
    </row>
    <row r="17" spans="1:40" ht="24.75" thickBot="1">
      <c r="A17" s="3749"/>
      <c r="B17" s="2848" t="s">
        <v>944</v>
      </c>
      <c r="C17" s="2849">
        <f>SUMPRODUCT((修正!A2:A5=E2)*(修正!B1:M1=G2)*(修正!B2:M5))</f>
        <v>2.5</v>
      </c>
      <c r="D17" s="2850" t="str">
        <f>IF(OR(G2="八级",G2="九级",G2="十级",G2="十一级",G2="十二级"),"五通一平","七通一平")</f>
        <v>七通一平</v>
      </c>
      <c r="E17" s="2840">
        <f>SUMPRODUCT((修正!B1:M1=G2)*(修正!B15:M15))</f>
        <v>300</v>
      </c>
      <c r="F17" s="2841" t="s">
        <v>3030</v>
      </c>
      <c r="G17" s="2840">
        <f>SUM(H17:O17)</f>
        <v>300</v>
      </c>
      <c r="H17" s="1036">
        <f>SUMPRODUCT((七通一平=H16)*(修正!B1:M1=G2)*(修正!B6:M14))</f>
        <v>65</v>
      </c>
      <c r="I17" s="1036">
        <f>SUMPRODUCT((七通一平=I16)*(修正!B1:M1=G2)*(修正!B6:M14))</f>
        <v>55</v>
      </c>
      <c r="J17" s="1036">
        <f>SUMPRODUCT((七通一平=J16)*(修正!B1:M1=G2)*(修正!B6:M14))</f>
        <v>15</v>
      </c>
      <c r="K17" s="1036">
        <f>SUMPRODUCT((七通一平=K16)*(修正!B1:M1=G2)*(修正!B6:M14))</f>
        <v>25</v>
      </c>
      <c r="L17" s="1036">
        <f>SUMPRODUCT((七通一平=L16)*(修正!B1:M1=G2)*(修正!B6:M14))</f>
        <v>35</v>
      </c>
      <c r="M17" s="1036">
        <f>SUMPRODUCT((七通一平=M16)*(修正!B1:M1=G2)*(修正!B6:M14))</f>
        <v>40</v>
      </c>
      <c r="N17" s="1036">
        <f>SUMPRODUCT((七通一平=N16)*(修正!B1:M1=G2)*(修正!B6:M14))</f>
        <v>15</v>
      </c>
      <c r="O17" s="2851">
        <f>SUMPRODUCT((七通一平=O16)*(修正!B1:M1=G2)*(修正!B6:M14))</f>
        <v>50</v>
      </c>
      <c r="P17" s="2066"/>
      <c r="Q17" s="2069"/>
      <c r="R17" s="2070"/>
      <c r="S17" s="2070"/>
      <c r="T17" s="2070"/>
      <c r="U17" s="2070"/>
      <c r="V17" s="2070"/>
      <c r="W17" s="2069"/>
      <c r="X17" s="2069"/>
      <c r="Y17" s="2069"/>
      <c r="Z17" s="2069"/>
      <c r="AA17" s="2069"/>
      <c r="AB17" s="2069"/>
      <c r="AC17" s="2070"/>
      <c r="AH17" s="1348"/>
      <c r="AI17" s="1348"/>
      <c r="AJ17" s="1351"/>
      <c r="AK17" s="1351"/>
      <c r="AL17" s="1351"/>
      <c r="AM17" s="1351"/>
    </row>
    <row r="18" spans="1:40" s="1367" customFormat="1" ht="15.75" thickBot="1">
      <c r="A18" s="2493" t="s">
        <v>1819</v>
      </c>
      <c r="B18" s="2843" t="s">
        <v>946</v>
      </c>
      <c r="C18" s="2844">
        <f>SUMIF(修正!C18:C39,E3,修正!E18:E39)</f>
        <v>1.1000000000000001</v>
      </c>
      <c r="D18" s="2845"/>
      <c r="E18" s="2846"/>
      <c r="F18" s="2829"/>
      <c r="G18" s="2828"/>
      <c r="H18" s="2828"/>
      <c r="I18" s="2828"/>
      <c r="J18" s="2836"/>
      <c r="K18" s="3227"/>
      <c r="L18" s="2828"/>
      <c r="M18" s="2828"/>
      <c r="N18" s="2828"/>
      <c r="O18" s="2828"/>
      <c r="P18" s="3232"/>
      <c r="Q18" s="2071"/>
      <c r="R18" s="2071"/>
      <c r="S18" s="2071"/>
      <c r="T18" s="2071"/>
      <c r="U18" s="2071"/>
      <c r="V18" s="2071"/>
      <c r="W18" s="2070"/>
      <c r="X18" s="2070"/>
      <c r="Y18" s="2070"/>
      <c r="Z18" s="2070"/>
      <c r="AA18" s="2069"/>
      <c r="AB18" s="2069"/>
      <c r="AC18" s="2072"/>
      <c r="AD18" s="1410"/>
      <c r="AE18" s="1410"/>
      <c r="AF18" s="1410"/>
      <c r="AG18" s="1410"/>
      <c r="AH18" s="1349"/>
      <c r="AI18" s="1349"/>
      <c r="AJ18" s="1350"/>
      <c r="AK18" s="1350"/>
      <c r="AL18" s="1350"/>
    </row>
    <row r="19" spans="1:40" s="1367" customFormat="1" ht="27.75" thickBot="1">
      <c r="A19" s="1565" t="s">
        <v>1825</v>
      </c>
      <c r="B19" s="1408" t="s">
        <v>947</v>
      </c>
      <c r="C19" s="3451">
        <v>1.3906000000000001</v>
      </c>
      <c r="D19" s="1412" t="s">
        <v>948</v>
      </c>
      <c r="E19" s="1039">
        <v>41640</v>
      </c>
      <c r="F19" s="1412" t="s">
        <v>949</v>
      </c>
      <c r="G19" s="1040">
        <f>'数据-取费表'!B2</f>
        <v>44412</v>
      </c>
      <c r="H19" s="1413" t="s">
        <v>3031</v>
      </c>
      <c r="I19" s="2499" t="str">
        <f>IF(H19="季度增幅（自定义）",SUMIF(N21:N24,E2,O21:O24),"")</f>
        <v/>
      </c>
      <c r="J19" s="1409"/>
      <c r="K19" s="3227"/>
      <c r="L19" s="2747" t="s">
        <v>2819</v>
      </c>
      <c r="M19" s="2748">
        <f>ROUND(SUMIF(地价!B2:F2,E2,地价!B33:F33),0)</f>
        <v>258</v>
      </c>
      <c r="N19" s="2501" t="s">
        <v>1666</v>
      </c>
      <c r="O19" s="2500">
        <f>ROUNDDOWN(DATEDIF(E19,G19,"M")/3,0)</f>
        <v>30</v>
      </c>
      <c r="P19" s="2070"/>
      <c r="Q19" s="2638"/>
      <c r="R19" s="2072"/>
      <c r="S19" s="2072"/>
      <c r="T19" s="2072"/>
      <c r="U19" s="2072"/>
      <c r="V19" s="2072"/>
      <c r="W19" s="2072"/>
      <c r="X19" s="2072"/>
      <c r="Y19" s="1349"/>
      <c r="Z19" s="1349"/>
      <c r="AA19" s="1349"/>
      <c r="AB19" s="1349"/>
      <c r="AC19" s="1410"/>
      <c r="AD19" s="1411"/>
      <c r="AE19" s="1415"/>
      <c r="AF19" s="1350"/>
      <c r="AG19" s="1366"/>
      <c r="AH19" s="1366"/>
      <c r="AI19" s="1366"/>
    </row>
    <row r="20" spans="1:40" s="1367" customFormat="1" ht="27.75" thickBot="1">
      <c r="A20" s="2493" t="s">
        <v>1826</v>
      </c>
      <c r="B20" s="2494" t="s">
        <v>962</v>
      </c>
      <c r="C20" s="2495">
        <f ca="1">ROUND(POWER(1+G20,J20-I20)*(POWER(1+G20,I20)-1)/(POWER(1+G20,J20)-1),4)</f>
        <v>0.80130000000000001</v>
      </c>
      <c r="D20" s="2496" t="s">
        <v>963</v>
      </c>
      <c r="E20" s="2777">
        <f ca="1">存贷款利率!I4/100</f>
        <v>4.3499999999999997E-2</v>
      </c>
      <c r="F20" s="2496" t="s">
        <v>964</v>
      </c>
      <c r="G20" s="2497">
        <f ca="1">SUMIF(M26:P26,E2,M28:P28)</f>
        <v>5.3999999999999999E-2</v>
      </c>
      <c r="H20" s="2496" t="s">
        <v>965</v>
      </c>
      <c r="I20" s="2492">
        <f>SUMIF('数据-取费表'!C6:C15,E2,'数据-取费表'!F6:F15)/COUNTIF('数据-取费表'!C6:C15,E2)</f>
        <v>23.12</v>
      </c>
      <c r="J20" s="2498">
        <f>IF(E2="住宅",70,IF(E2="商业",40,50))</f>
        <v>40</v>
      </c>
      <c r="K20" s="2838"/>
      <c r="L20" s="2749" t="s">
        <v>2820</v>
      </c>
      <c r="M20" s="2831">
        <f>ROUND(SUMPRODUCT((地价!A4:A33=YEAR(G19)&amp;"-"&amp;ROUNDUP(MONTH(G19)/3,0))*(地价!B2:F2=E2)*(地价!B4:F33)),0)</f>
        <v>0</v>
      </c>
      <c r="N20" s="2504" t="s">
        <v>2625</v>
      </c>
      <c r="O20" s="2502" t="s">
        <v>2624</v>
      </c>
      <c r="P20" s="2503" t="s">
        <v>2629</v>
      </c>
      <c r="Q20" s="2638"/>
      <c r="R20" s="2072"/>
      <c r="S20" s="2072"/>
      <c r="T20" s="2072"/>
      <c r="U20" s="2072"/>
      <c r="V20" s="2072"/>
      <c r="W20" s="2072"/>
      <c r="X20" s="2072"/>
      <c r="Y20" s="1410"/>
      <c r="Z20" s="1410"/>
      <c r="AA20" s="1410"/>
      <c r="AB20" s="1410"/>
      <c r="AC20" s="1410"/>
      <c r="AD20" s="1410"/>
    </row>
    <row r="21" spans="1:40" s="1367" customFormat="1" ht="14.25">
      <c r="A21" s="1567" t="s">
        <v>1827</v>
      </c>
      <c r="B21" s="1418" t="s">
        <v>3038</v>
      </c>
      <c r="C21" s="1139">
        <f>IF(B21="容积率修正",IF(G3&lt;=10,D22,J22),C23)</f>
        <v>1.3697999999999999</v>
      </c>
      <c r="D21" s="1419"/>
      <c r="E21" s="1419"/>
      <c r="F21" s="1419"/>
      <c r="G21" s="1419"/>
      <c r="H21" s="1419"/>
      <c r="I21" s="1419"/>
      <c r="J21" s="1420"/>
      <c r="K21" s="3227"/>
      <c r="L21" s="1419"/>
      <c r="M21" s="1419"/>
      <c r="N21" s="1416" t="s">
        <v>966</v>
      </c>
      <c r="O21" s="1478"/>
      <c r="P21" s="2491">
        <f>SUMPRODUCT((地价!A3:A33=YEAR(G19)&amp;"-"&amp;ROUNDUP(MONTH(G19)/3,0))*(地价!AD2:AH2=N21)*(地价!AD3:AH33))</f>
        <v>0</v>
      </c>
      <c r="Q21" s="2638"/>
      <c r="R21" s="2072"/>
      <c r="S21" s="2072"/>
      <c r="T21" s="2072"/>
      <c r="U21" s="2072"/>
      <c r="V21" s="2072"/>
      <c r="W21" s="2072"/>
      <c r="X21" s="2072"/>
      <c r="Y21" s="1349"/>
      <c r="Z21" s="1349"/>
      <c r="AA21" s="1349"/>
      <c r="AB21" s="1349"/>
      <c r="AC21" s="1410"/>
      <c r="AD21" s="1410"/>
    </row>
    <row r="22" spans="1:40" s="1367" customFormat="1" ht="14.25">
      <c r="A22" s="1568" t="s">
        <v>1860</v>
      </c>
      <c r="B22" s="1421" t="s">
        <v>967</v>
      </c>
      <c r="C22" s="1041" t="s">
        <v>1692</v>
      </c>
      <c r="D22" s="1041">
        <f>IF(E22=G22,F22,IF(G3&lt;=10,ROUND(F22+(H22-F22)*(G3-E22)/(G22-E22),4),"——"))</f>
        <v>1.3697999999999999</v>
      </c>
      <c r="E22" s="1024">
        <f>ROUNDDOWN(G3,1)</f>
        <v>1.1000000000000001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1024">
        <f>ROUNDUP(G3,1)</f>
        <v>1.1000000000000001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1.3697999999999999</v>
      </c>
      <c r="I22" s="1041" t="s">
        <v>968</v>
      </c>
      <c r="J22" s="1041" t="str">
        <f>IF(G3&gt;10,D113,"——")</f>
        <v>——</v>
      </c>
      <c r="K22" s="3233"/>
      <c r="L22" s="1419"/>
      <c r="M22" s="1419"/>
      <c r="N22" s="1416" t="s">
        <v>969</v>
      </c>
      <c r="O22" s="1478"/>
      <c r="P22" s="2491">
        <f>SUMPRODUCT((地价!A3:A33=YEAR(G19)&amp;"-"&amp;ROUNDUP(MONTH(G19)/3,0))*(地价!AD2:AH2=N22)*(地价!AD3:AH33))</f>
        <v>0</v>
      </c>
      <c r="Q22" s="2638"/>
      <c r="R22" s="2072"/>
      <c r="S22" s="2072"/>
      <c r="T22" s="2072"/>
      <c r="U22" s="2072"/>
      <c r="V22" s="2072"/>
      <c r="W22" s="2072"/>
      <c r="X22" s="2072"/>
      <c r="Y22" s="1410"/>
      <c r="Z22" s="1410"/>
      <c r="AA22" s="1410"/>
      <c r="AB22" s="1410"/>
      <c r="AC22" s="1410"/>
      <c r="AD22" s="1410"/>
    </row>
    <row r="23" spans="1:40" ht="15.75" thickBot="1">
      <c r="A23" s="1568" t="s">
        <v>1861</v>
      </c>
      <c r="B23" s="1421" t="s">
        <v>970</v>
      </c>
      <c r="C23" s="1042">
        <f>ROUND(IF(G3&gt;1,IF(I3&lt;7,SUMPRODUCT((B93:B98=I3)*(C92:N92=G2)*(C93:N98)),SUMIF(C92:N92,G2,C100:N100)),IF(I3&lt;7,SUMPRODUCT((B102:B107=I3)*(C92:N92=G2)*(C102:N107)),SUMIF(C92:N92,G2,C109:N109))),4)</f>
        <v>0.64729999999999999</v>
      </c>
      <c r="D23" s="1466"/>
      <c r="E23" s="1466"/>
      <c r="F23" s="1467"/>
      <c r="G23" s="1468"/>
      <c r="H23" s="1469"/>
      <c r="I23" s="1470"/>
      <c r="J23" s="1470"/>
      <c r="K23" s="3234"/>
      <c r="L23" s="1347"/>
      <c r="M23" s="1347"/>
      <c r="N23" s="1416" t="s">
        <v>914</v>
      </c>
      <c r="O23" s="1478"/>
      <c r="P23" s="2491">
        <f>SUMPRODUCT((地价!A3:A33=YEAR(G19)&amp;"-"&amp;ROUNDUP(MONTH(G19)/3,0))*(地价!AD2:AH2=N23)*(地价!AD3:AH33))</f>
        <v>0</v>
      </c>
      <c r="Q23" s="2638"/>
      <c r="R23" s="2072"/>
      <c r="S23" s="2072"/>
      <c r="T23" s="2072"/>
      <c r="U23" s="2072"/>
      <c r="V23" s="2072"/>
      <c r="W23" s="2072"/>
      <c r="X23" s="2072"/>
      <c r="Y23" s="1349"/>
      <c r="Z23" s="1349"/>
      <c r="AA23" s="1349"/>
      <c r="AB23" s="1349"/>
      <c r="AC23" s="1349"/>
      <c r="AE23" s="1350"/>
      <c r="AF23" s="1350"/>
      <c r="AG23" s="1350"/>
      <c r="AH23" s="1350"/>
      <c r="AI23" s="1350"/>
      <c r="AJ23" s="1351"/>
      <c r="AK23" s="1351"/>
      <c r="AL23" s="1351"/>
      <c r="AM23" s="1351"/>
    </row>
    <row r="24" spans="1:40" s="1367" customFormat="1" ht="15.75" thickBot="1">
      <c r="A24" s="1566" t="s">
        <v>1862</v>
      </c>
      <c r="B24" s="1361" t="s">
        <v>971</v>
      </c>
      <c r="C24" s="1043">
        <f>SUMIF(A44:A87,E2,B44:B87)</f>
        <v>1.0553999999999999</v>
      </c>
      <c r="D24" s="1471"/>
      <c r="E24" s="1472"/>
      <c r="F24" s="1472"/>
      <c r="G24" s="1472"/>
      <c r="H24" s="1472"/>
      <c r="I24" s="1472"/>
      <c r="J24" s="1472"/>
      <c r="K24" s="3234"/>
      <c r="L24" s="1419"/>
      <c r="M24" s="1419"/>
      <c r="N24" s="1416" t="s">
        <v>972</v>
      </c>
      <c r="O24" s="2830"/>
      <c r="P24" s="2491">
        <f>SUMPRODUCT((地价!A3:A33=YEAR(G19)&amp;"-"&amp;ROUNDUP(MONTH(G19)/3,0))*(地价!AD2:AH2=N24)*(地价!AD3:AH33))</f>
        <v>0</v>
      </c>
      <c r="Q24" s="2638"/>
      <c r="R24" s="2072"/>
      <c r="S24" s="2072"/>
      <c r="T24" s="2072"/>
      <c r="U24" s="2072"/>
      <c r="V24" s="2072"/>
      <c r="W24" s="2072"/>
      <c r="X24" s="2072"/>
      <c r="Y24" s="1410"/>
      <c r="Z24" s="1410"/>
      <c r="AA24" s="1410"/>
      <c r="AB24" s="1410"/>
      <c r="AC24" s="1410"/>
      <c r="AD24" s="1410"/>
    </row>
    <row r="25" spans="1:40" ht="15" thickBot="1">
      <c r="A25" s="1566" t="s">
        <v>1863</v>
      </c>
      <c r="B25" s="1423" t="s">
        <v>973</v>
      </c>
      <c r="C25" s="1424"/>
      <c r="D25" s="1376"/>
      <c r="E25" s="1376"/>
      <c r="F25" s="1425"/>
      <c r="G25" s="1376"/>
      <c r="H25" s="1376"/>
      <c r="I25" s="1376"/>
      <c r="J25" s="1377"/>
      <c r="K25" s="3228"/>
      <c r="L25" s="2072"/>
      <c r="M25" s="2072"/>
      <c r="N25" s="2832" t="s">
        <v>2627</v>
      </c>
      <c r="O25" s="2833"/>
      <c r="P25" s="2298">
        <f>SUMPRODUCT((地价!A3:A33=YEAR(G19)&amp;"-"&amp;ROUNDUP(MONTH(G19)/3,0))*(地价!AD2:AH2=N25)*(地价!AD3:AH33))</f>
        <v>0</v>
      </c>
      <c r="Q25" s="2638"/>
      <c r="R25" s="2072"/>
      <c r="S25" s="2072"/>
      <c r="T25" s="2072"/>
      <c r="U25" s="2072"/>
      <c r="V25" s="2072"/>
      <c r="W25" s="2072"/>
      <c r="X25" s="2072"/>
      <c r="Y25" s="1349"/>
      <c r="Z25" s="1349"/>
      <c r="AA25" s="1349"/>
      <c r="AB25" s="1349"/>
      <c r="AC25" s="1349"/>
      <c r="AE25" s="1350"/>
      <c r="AF25" s="1350"/>
      <c r="AG25" s="1350"/>
      <c r="AH25" s="1350"/>
      <c r="AI25" s="1351"/>
      <c r="AJ25" s="1351"/>
      <c r="AK25" s="1351"/>
      <c r="AL25" s="1351"/>
      <c r="AM25" s="1351"/>
    </row>
    <row r="26" spans="1:40" ht="14.25">
      <c r="A26" s="1426"/>
      <c r="B26" s="1421" t="s">
        <v>977</v>
      </c>
      <c r="C26" s="3011">
        <f ca="1">IF(B21="容积率修正",E29+SUM(E33:E39),SUM(V2:V16)+SUM(E33:E39))</f>
        <v>113852</v>
      </c>
      <c r="D26" s="1427"/>
      <c r="E26" s="1402"/>
      <c r="F26" s="1428"/>
      <c r="G26" s="1402"/>
      <c r="H26" s="1402"/>
      <c r="I26" s="1402"/>
      <c r="J26" s="1429"/>
      <c r="K26" s="3228"/>
      <c r="L26" s="1525" t="s">
        <v>889</v>
      </c>
      <c r="M26" s="1374" t="s">
        <v>974</v>
      </c>
      <c r="N26" s="1374" t="s">
        <v>975</v>
      </c>
      <c r="O26" s="1374" t="s">
        <v>893</v>
      </c>
      <c r="P26" s="1414" t="s">
        <v>976</v>
      </c>
      <c r="Q26" s="2638"/>
      <c r="R26" s="2072"/>
      <c r="S26" s="2072"/>
      <c r="T26" s="2072"/>
      <c r="U26" s="2072"/>
      <c r="V26" s="2072"/>
      <c r="W26" s="2072"/>
      <c r="X26" s="2072"/>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f ca="1">E30+SUM(I33:I39)</f>
        <v>0</v>
      </c>
      <c r="D27" s="1431"/>
      <c r="E27" s="1432"/>
      <c r="F27" s="1433"/>
      <c r="G27" s="1432"/>
      <c r="H27" s="1432"/>
      <c r="I27" s="1432"/>
      <c r="J27" s="1434"/>
      <c r="K27" s="3228"/>
      <c r="L27" s="1406" t="s">
        <v>978</v>
      </c>
      <c r="M27" s="1032">
        <v>0.25</v>
      </c>
      <c r="N27" s="1032">
        <v>0.2</v>
      </c>
      <c r="O27" s="1032">
        <v>0.15</v>
      </c>
      <c r="P27" s="1475">
        <v>0.1</v>
      </c>
      <c r="Q27" s="2072"/>
      <c r="R27" s="2638"/>
      <c r="S27" s="2638"/>
      <c r="T27" s="2638"/>
      <c r="U27" s="2638"/>
      <c r="V27" s="2638"/>
      <c r="W27" s="2072"/>
      <c r="X27" s="2072"/>
      <c r="Y27" s="2072"/>
      <c r="Z27" s="2072"/>
      <c r="AA27" s="2072"/>
      <c r="AB27" s="2072"/>
      <c r="AC27" s="2072"/>
    </row>
    <row r="28" spans="1:40" ht="15" thickBot="1">
      <c r="A28" s="1422"/>
      <c r="B28" s="1435" t="s">
        <v>980</v>
      </c>
      <c r="C28" s="1436" t="s">
        <v>981</v>
      </c>
      <c r="D28" s="1436" t="s">
        <v>982</v>
      </c>
      <c r="E28" s="1437" t="s">
        <v>983</v>
      </c>
      <c r="F28" s="1438"/>
      <c r="G28" s="1388"/>
      <c r="H28" s="1388"/>
      <c r="I28" s="1388"/>
      <c r="J28" s="1389"/>
      <c r="K28" s="3228"/>
      <c r="L28" s="1407" t="s">
        <v>964</v>
      </c>
      <c r="M28" s="1476">
        <f ca="1">ROUND($E$20*(1+M27),3)</f>
        <v>5.3999999999999999E-2</v>
      </c>
      <c r="N28" s="1476">
        <f ca="1">ROUND($E$20*(1+N27),3)</f>
        <v>5.1999999999999998E-2</v>
      </c>
      <c r="O28" s="1476">
        <f ca="1">ROUND($E$20*(1+O27),3)</f>
        <v>0.05</v>
      </c>
      <c r="P28" s="1477">
        <f ca="1">ROUND($E$20*(1+P27),3)</f>
        <v>4.8000000000000001E-2</v>
      </c>
      <c r="Q28" s="2072"/>
      <c r="R28" s="2638"/>
      <c r="S28" s="2638"/>
      <c r="T28" s="2638"/>
      <c r="U28" s="2638"/>
      <c r="V28" s="2638"/>
      <c r="W28" s="2072"/>
      <c r="X28" s="2072"/>
      <c r="Y28" s="2072"/>
      <c r="Z28" s="2072"/>
      <c r="AA28" s="2072"/>
      <c r="AB28" s="2072"/>
      <c r="AC28" s="2072"/>
      <c r="AD28" s="1410"/>
      <c r="AE28" s="1410"/>
      <c r="AF28" s="1410"/>
      <c r="AG28" s="1410"/>
    </row>
    <row r="29" spans="1:40" ht="14.25">
      <c r="A29" s="1439"/>
      <c r="B29" s="1440" t="s">
        <v>984</v>
      </c>
      <c r="C29" s="1044">
        <f ca="1">ROUND(C5*C18*C19*C20*C21*C24,0)</f>
        <v>22061</v>
      </c>
      <c r="D29" s="3307">
        <f>'数据-汇总表'!F19</f>
        <v>51607.64</v>
      </c>
      <c r="E29" s="1759">
        <f ca="1">ROUND(C29*D29/10000,0)</f>
        <v>113852</v>
      </c>
      <c r="F29" s="1441" t="s">
        <v>1691</v>
      </c>
      <c r="G29" s="1442"/>
      <c r="H29" s="1442"/>
      <c r="I29" s="1442"/>
      <c r="J29" s="1443"/>
      <c r="K29" s="3235"/>
      <c r="L29" s="3235"/>
      <c r="M29" s="3235"/>
      <c r="N29" s="3235"/>
      <c r="O29" s="3235"/>
      <c r="P29" s="2066"/>
      <c r="Q29" s="2072"/>
      <c r="R29" s="2072"/>
      <c r="S29" s="2072"/>
      <c r="T29" s="2072"/>
      <c r="U29" s="2072"/>
      <c r="V29" s="2072"/>
      <c r="W29" s="2638"/>
      <c r="X29" s="2638"/>
      <c r="Y29" s="2638"/>
      <c r="Z29" s="2638"/>
      <c r="AA29" s="2638"/>
      <c r="AB29" s="2072"/>
      <c r="AC29" s="2072"/>
      <c r="AD29" s="2072"/>
      <c r="AE29" s="2072"/>
      <c r="AF29" s="2072"/>
      <c r="AG29" s="2072"/>
      <c r="AH29" s="2072"/>
      <c r="AJ29" s="1349"/>
      <c r="AK29" s="1349"/>
      <c r="AL29" s="1349"/>
      <c r="AM29" s="1348"/>
      <c r="AN29" s="1348"/>
    </row>
    <row r="30" spans="1:40" ht="24.75" thickBot="1">
      <c r="A30" s="1444"/>
      <c r="B30" s="1445" t="s">
        <v>985</v>
      </c>
      <c r="C30" s="1036">
        <f ca="1">ROUND(IF(E2="工业",C29*M39,C29*M38),0)</f>
        <v>5515</v>
      </c>
      <c r="D30" s="1446"/>
      <c r="E30" s="1759">
        <f ca="1">ROUND(C30*D30/10000,0)</f>
        <v>0</v>
      </c>
      <c r="F30" s="1447" t="s">
        <v>986</v>
      </c>
      <c r="G30" s="1448"/>
      <c r="H30" s="1448"/>
      <c r="I30" s="1448"/>
      <c r="J30" s="1449"/>
      <c r="K30" s="3228"/>
      <c r="L30" s="3228"/>
      <c r="M30" s="3228"/>
      <c r="N30" s="3228"/>
      <c r="O30" s="3228"/>
      <c r="P30" s="2066"/>
      <c r="Q30" s="2066"/>
      <c r="R30" s="2066"/>
      <c r="S30" s="2066"/>
      <c r="T30" s="2066"/>
      <c r="U30" s="2066"/>
      <c r="V30" s="2066"/>
      <c r="W30" s="2067"/>
      <c r="X30" s="2067"/>
      <c r="Y30" s="2067"/>
      <c r="Z30" s="2067"/>
      <c r="AA30" s="2067"/>
      <c r="AB30" s="2066"/>
      <c r="AC30" s="2066"/>
      <c r="AD30" s="2066"/>
      <c r="AE30" s="2066"/>
      <c r="AF30" s="2066"/>
      <c r="AG30" s="2066"/>
      <c r="AH30" s="2066"/>
      <c r="AI30" s="1410"/>
      <c r="AJ30" s="1410"/>
      <c r="AK30" s="1410"/>
      <c r="AL30" s="1410"/>
      <c r="AM30" s="1348"/>
      <c r="AN30" s="1348"/>
    </row>
    <row r="31" spans="1:40">
      <c r="A31" s="1450"/>
      <c r="B31" s="1451" t="s">
        <v>987</v>
      </c>
      <c r="C31" s="1452" t="s">
        <v>988</v>
      </c>
      <c r="D31" s="1388"/>
      <c r="E31" s="1452"/>
      <c r="F31" s="1452"/>
      <c r="G31" s="1386" t="s">
        <v>986</v>
      </c>
      <c r="H31" s="1388"/>
      <c r="I31" s="1453"/>
      <c r="J31" s="1389"/>
      <c r="K31" s="3228"/>
      <c r="L31" s="3228"/>
      <c r="M31" s="3228"/>
      <c r="N31" s="3228"/>
      <c r="O31" s="3228"/>
      <c r="P31" s="2066"/>
      <c r="Q31" s="2066"/>
      <c r="R31" s="2066"/>
      <c r="S31" s="2066"/>
      <c r="T31" s="2066"/>
      <c r="U31" s="2066"/>
      <c r="V31" s="2066"/>
      <c r="W31" s="2067"/>
      <c r="X31" s="2067"/>
      <c r="Y31" s="2067"/>
      <c r="Z31" s="2067"/>
      <c r="AA31" s="2067"/>
      <c r="AB31" s="2066"/>
      <c r="AC31" s="2066"/>
      <c r="AD31" s="2066"/>
      <c r="AE31" s="2066"/>
      <c r="AF31" s="2066"/>
      <c r="AG31" s="2066"/>
      <c r="AH31" s="2066"/>
      <c r="AJ31" s="1349"/>
      <c r="AK31" s="1349"/>
      <c r="AL31" s="1349"/>
      <c r="AM31" s="1348"/>
      <c r="AN31" s="1348"/>
    </row>
    <row r="32" spans="1:40" ht="24">
      <c r="A32" s="1439"/>
      <c r="B32" s="1454"/>
      <c r="C32" s="1455" t="s">
        <v>981</v>
      </c>
      <c r="D32" s="1456" t="s">
        <v>982</v>
      </c>
      <c r="E32" s="1456" t="s">
        <v>983</v>
      </c>
      <c r="F32" s="1457" t="s">
        <v>989</v>
      </c>
      <c r="G32" s="1417" t="s">
        <v>981</v>
      </c>
      <c r="H32" s="1417" t="s">
        <v>982</v>
      </c>
      <c r="I32" s="1417" t="s">
        <v>983</v>
      </c>
      <c r="J32" s="1458"/>
      <c r="K32" s="3236"/>
      <c r="L32" s="3236"/>
      <c r="M32" s="3236"/>
      <c r="N32" s="3236"/>
      <c r="O32" s="3236"/>
      <c r="P32" s="2066"/>
      <c r="Q32" s="2066"/>
      <c r="R32" s="2066"/>
      <c r="S32" s="2066"/>
      <c r="T32" s="2066"/>
      <c r="U32" s="2066"/>
      <c r="V32" s="2066"/>
      <c r="W32" s="2067"/>
      <c r="X32" s="2067"/>
      <c r="Y32" s="2067"/>
      <c r="Z32" s="2067"/>
      <c r="AA32" s="2067"/>
      <c r="AB32" s="2066"/>
      <c r="AC32" s="2066"/>
      <c r="AD32" s="2066"/>
      <c r="AE32" s="2066"/>
      <c r="AF32" s="2066"/>
      <c r="AG32" s="2066"/>
      <c r="AH32" s="2066"/>
      <c r="AI32" s="1348"/>
      <c r="AJ32" s="1348"/>
      <c r="AK32" s="1348"/>
      <c r="AL32" s="1348"/>
      <c r="AM32" s="1348"/>
      <c r="AN32" s="1348"/>
    </row>
    <row r="33" spans="1:44" ht="12.75">
      <c r="A33" s="3764"/>
      <c r="B33" s="1460" t="s">
        <v>990</v>
      </c>
      <c r="C33" s="1044">
        <f ca="1">ROUND(D5*C19*C20*C24*F33,0)</f>
        <v>10249</v>
      </c>
      <c r="D33" s="3308"/>
      <c r="E33" s="1033">
        <f ca="1">ROUND(C33*D33/10000,0)</f>
        <v>0</v>
      </c>
      <c r="F33" s="1033">
        <f>SUMIF(修正!A45:A56,G2,修正!B45:B56)</f>
        <v>0.7</v>
      </c>
      <c r="G33" s="1033">
        <f t="shared" ref="G33" ca="1" si="6">ROUND(IF(E2="工业",C33*$M$39,C33*$M$38),0)</f>
        <v>2562</v>
      </c>
      <c r="H33" s="1033">
        <f>D33</f>
        <v>0</v>
      </c>
      <c r="I33" s="1033">
        <f ca="1">ROUND(G33*H33/10000,0)</f>
        <v>0</v>
      </c>
      <c r="J33" s="3764" t="s">
        <v>2987</v>
      </c>
      <c r="K33" s="2837"/>
      <c r="L33" s="2837"/>
      <c r="M33" s="2837"/>
      <c r="N33" s="2837"/>
      <c r="O33" s="2837"/>
      <c r="P33" s="2066"/>
      <c r="Q33" s="2066"/>
      <c r="R33" s="2066"/>
      <c r="S33" s="2066"/>
      <c r="T33" s="2066"/>
      <c r="U33" s="2066"/>
      <c r="V33" s="2066"/>
      <c r="W33" s="2067"/>
      <c r="X33" s="2067"/>
      <c r="Y33" s="2067"/>
      <c r="Z33" s="2067"/>
      <c r="AA33" s="2067"/>
      <c r="AB33" s="2066"/>
      <c r="AC33" s="2066"/>
      <c r="AD33" s="2066"/>
      <c r="AE33" s="2066"/>
      <c r="AF33" s="2066"/>
      <c r="AG33" s="2066"/>
      <c r="AH33" s="2067"/>
      <c r="AJ33" s="1349"/>
      <c r="AK33" s="1349"/>
      <c r="AL33" s="1349"/>
      <c r="AM33" s="1349"/>
      <c r="AN33" s="1349"/>
      <c r="AO33" s="1350"/>
      <c r="AP33" s="1350"/>
      <c r="AQ33" s="1350"/>
      <c r="AR33" s="1350"/>
    </row>
    <row r="34" spans="1:44" ht="12.75">
      <c r="A34" s="3765"/>
      <c r="B34" s="1391" t="s">
        <v>991</v>
      </c>
      <c r="C34" s="1044">
        <f ca="1">ROUND(D5*C19*C20*C24*F34,0)</f>
        <v>5857</v>
      </c>
      <c r="D34" s="3308"/>
      <c r="E34" s="1033">
        <f t="shared" ref="E34:E39" ca="1" si="7">ROUND(C34*D34/10000,0)</f>
        <v>0</v>
      </c>
      <c r="F34" s="1033">
        <f>SUMIF(修正!A45:A56,G2,修正!C45:C56)</f>
        <v>0.4</v>
      </c>
      <c r="G34" s="1033">
        <f ca="1">ROUND(IF(E2="工业",C34*$M$39,C34*$M$38),0)</f>
        <v>1464</v>
      </c>
      <c r="H34" s="1033">
        <f t="shared" ref="H34:H39" si="8">D34</f>
        <v>0</v>
      </c>
      <c r="I34" s="1033">
        <f t="shared" ref="I34:I39" ca="1" si="9">ROUND(G34*H34/10000,0)</f>
        <v>0</v>
      </c>
      <c r="J34" s="3765"/>
      <c r="K34" s="2837"/>
      <c r="L34" s="2837"/>
      <c r="M34" s="2837"/>
      <c r="N34" s="2837"/>
      <c r="O34" s="2837"/>
      <c r="P34" s="2066"/>
      <c r="Q34" s="2066"/>
      <c r="R34" s="2066"/>
      <c r="S34" s="2066"/>
      <c r="T34" s="2066"/>
      <c r="U34" s="2066"/>
      <c r="V34" s="2066"/>
      <c r="W34" s="2067"/>
      <c r="X34" s="2067"/>
      <c r="Y34" s="2067"/>
      <c r="Z34" s="2067"/>
      <c r="AA34" s="2067"/>
      <c r="AB34" s="2066"/>
      <c r="AC34" s="2066"/>
      <c r="AD34" s="2066"/>
      <c r="AE34" s="2066"/>
      <c r="AF34" s="2066"/>
      <c r="AG34" s="2066"/>
      <c r="AH34" s="2067"/>
      <c r="AJ34" s="1349"/>
      <c r="AK34" s="1349"/>
      <c r="AL34" s="1349"/>
      <c r="AM34" s="1349"/>
      <c r="AN34" s="1349"/>
      <c r="AO34" s="1350"/>
      <c r="AP34" s="1350"/>
      <c r="AQ34" s="1350"/>
      <c r="AR34" s="1350"/>
    </row>
    <row r="35" spans="1:44" ht="12.75">
      <c r="A35" s="3765"/>
      <c r="B35" s="1391" t="s">
        <v>992</v>
      </c>
      <c r="C35" s="1044">
        <f ca="1">ROUND(D5*C19*C20*C24*F35,0)</f>
        <v>4100</v>
      </c>
      <c r="D35" s="3308"/>
      <c r="E35" s="1033">
        <f t="shared" ca="1" si="7"/>
        <v>0</v>
      </c>
      <c r="F35" s="1033">
        <f>SUMIF(修正!A45:A56,G2,修正!D45:D56)</f>
        <v>0.28000000000000003</v>
      </c>
      <c r="G35" s="1033">
        <f ca="1">ROUND(IF(E2="工业",C35*$M$39,C35*$M$38),0)</f>
        <v>1025</v>
      </c>
      <c r="H35" s="1033">
        <f t="shared" si="8"/>
        <v>0</v>
      </c>
      <c r="I35" s="1033">
        <f t="shared" ca="1" si="9"/>
        <v>0</v>
      </c>
      <c r="J35" s="3765"/>
      <c r="K35" s="2837"/>
      <c r="L35" s="2837"/>
      <c r="M35" s="2837"/>
      <c r="N35" s="2837"/>
      <c r="O35" s="2837"/>
      <c r="P35" s="2066"/>
      <c r="Q35" s="2066"/>
      <c r="R35" s="2066"/>
      <c r="S35" s="2066"/>
      <c r="T35" s="2066"/>
      <c r="U35" s="2066"/>
      <c r="V35" s="2066"/>
      <c r="W35" s="2067"/>
      <c r="X35" s="2067"/>
      <c r="Y35" s="2067"/>
      <c r="Z35" s="2067"/>
      <c r="AA35" s="2067"/>
      <c r="AB35" s="2066"/>
      <c r="AC35" s="2066"/>
      <c r="AD35" s="2066"/>
      <c r="AE35" s="2066"/>
      <c r="AF35" s="2066"/>
      <c r="AG35" s="2066"/>
      <c r="AH35" s="2067"/>
      <c r="AJ35" s="1349"/>
      <c r="AK35" s="1349"/>
      <c r="AL35" s="1349"/>
      <c r="AM35" s="1349"/>
      <c r="AN35" s="1349"/>
      <c r="AO35" s="1350"/>
      <c r="AP35" s="1350"/>
      <c r="AQ35" s="1350"/>
      <c r="AR35" s="1350"/>
    </row>
    <row r="36" spans="1:44" ht="13.5" thickBot="1">
      <c r="A36" s="3766"/>
      <c r="B36" s="1391" t="s">
        <v>993</v>
      </c>
      <c r="C36" s="1044">
        <f ca="1">ROUND(D5*C19*C20*C24*F36,0)</f>
        <v>3660</v>
      </c>
      <c r="D36" s="3308"/>
      <c r="E36" s="1033">
        <f t="shared" ca="1" si="7"/>
        <v>0</v>
      </c>
      <c r="F36" s="1033">
        <f>SUMIF(修正!A45:A56,G2,修正!E45:E56)</f>
        <v>0.25</v>
      </c>
      <c r="G36" s="1033">
        <f ca="1">ROUND(IF(E2="工业",C36*$M$39,C36*$M$38),0)</f>
        <v>915</v>
      </c>
      <c r="H36" s="1033">
        <f t="shared" si="8"/>
        <v>0</v>
      </c>
      <c r="I36" s="1033">
        <f t="shared" ca="1" si="9"/>
        <v>0</v>
      </c>
      <c r="J36" s="3766"/>
      <c r="K36" s="2837"/>
      <c r="L36" s="2837"/>
      <c r="M36" s="2837"/>
      <c r="N36" s="2837"/>
      <c r="O36" s="2837"/>
      <c r="P36" s="2066"/>
      <c r="Q36" s="2066"/>
      <c r="R36" s="2066"/>
      <c r="S36" s="2066"/>
      <c r="T36" s="2066"/>
      <c r="U36" s="2066"/>
      <c r="V36" s="2066"/>
      <c r="W36" s="2067"/>
      <c r="X36" s="2067"/>
      <c r="Y36" s="2067"/>
      <c r="Z36" s="2067"/>
      <c r="AA36" s="2067"/>
      <c r="AB36" s="2066"/>
      <c r="AC36" s="2066"/>
      <c r="AD36" s="2066"/>
      <c r="AE36" s="2066"/>
      <c r="AF36" s="2066"/>
      <c r="AG36" s="2066"/>
      <c r="AH36" s="2067"/>
      <c r="AJ36" s="1349"/>
      <c r="AK36" s="1349"/>
      <c r="AL36" s="1349"/>
      <c r="AM36" s="1349"/>
      <c r="AN36" s="1349"/>
      <c r="AO36" s="1350"/>
      <c r="AP36" s="1350"/>
      <c r="AQ36" s="1350"/>
      <c r="AR36" s="1350"/>
    </row>
    <row r="37" spans="1:44" ht="12.75">
      <c r="A37" s="1459"/>
      <c r="B37" s="1391" t="s">
        <v>994</v>
      </c>
      <c r="C37" s="1033">
        <f ca="1">ROUND(D5*C19*C20*C24*F37,0)</f>
        <v>3660</v>
      </c>
      <c r="D37" s="1473"/>
      <c r="E37" s="1033">
        <f t="shared" ca="1" si="7"/>
        <v>0</v>
      </c>
      <c r="F37" s="1044">
        <f>SUMIF(修正!A45:A56,G2,修正!F45:F56)</f>
        <v>0.25</v>
      </c>
      <c r="G37" s="1033">
        <f ca="1">ROUND(IF(E2="工业",C37*$M$39,C37*$M$38),0)</f>
        <v>915</v>
      </c>
      <c r="H37" s="1033">
        <f t="shared" si="8"/>
        <v>0</v>
      </c>
      <c r="I37" s="1033">
        <f t="shared" ca="1" si="9"/>
        <v>0</v>
      </c>
      <c r="J37" s="1461"/>
      <c r="K37" s="2066"/>
      <c r="L37" s="1479" t="s">
        <v>1693</v>
      </c>
      <c r="M37" s="1480"/>
      <c r="N37" s="2066"/>
      <c r="O37" s="2066"/>
      <c r="P37" s="2066"/>
      <c r="Q37" s="2066"/>
      <c r="R37" s="2067"/>
      <c r="S37" s="2067"/>
      <c r="T37" s="2067"/>
      <c r="U37" s="2067"/>
      <c r="V37" s="2067"/>
      <c r="W37" s="2066"/>
      <c r="X37" s="2066"/>
      <c r="Y37" s="2066"/>
      <c r="Z37" s="2066"/>
      <c r="AA37" s="2066"/>
      <c r="AB37" s="2066"/>
      <c r="AC37" s="2067"/>
    </row>
    <row r="38" spans="1:44" ht="12.75">
      <c r="A38" s="1459"/>
      <c r="B38" s="1391" t="s">
        <v>995</v>
      </c>
      <c r="C38" s="1033">
        <f ca="1">ROUND(D5*C19*C41*C24*F38,0)</f>
        <v>4061</v>
      </c>
      <c r="D38" s="1473"/>
      <c r="E38" s="1033">
        <f t="shared" ca="1" si="7"/>
        <v>0</v>
      </c>
      <c r="F38" s="1044">
        <f>SUMIF(修正!A45:A56,G2,修正!G45:G56)</f>
        <v>0.25</v>
      </c>
      <c r="G38" s="1033">
        <f ca="1">ROUND(IF(E2="工业",C38*$M$39,C38*$M$38),0)</f>
        <v>1015</v>
      </c>
      <c r="H38" s="1033">
        <f t="shared" si="8"/>
        <v>0</v>
      </c>
      <c r="I38" s="1033">
        <f t="shared" ca="1" si="9"/>
        <v>0</v>
      </c>
      <c r="J38" s="1461"/>
      <c r="K38" s="2066"/>
      <c r="L38" s="1481" t="s">
        <v>1695</v>
      </c>
      <c r="M38" s="1482">
        <v>0.25</v>
      </c>
      <c r="N38" s="2066"/>
      <c r="O38" s="2066"/>
      <c r="P38" s="2066"/>
      <c r="Q38" s="2066"/>
      <c r="R38" s="2067"/>
      <c r="S38" s="2067"/>
      <c r="T38" s="2067"/>
      <c r="U38" s="2067"/>
      <c r="V38" s="2067"/>
      <c r="W38" s="2066"/>
      <c r="X38" s="2066"/>
      <c r="Y38" s="2066"/>
      <c r="Z38" s="2066"/>
      <c r="AA38" s="2066"/>
      <c r="AB38" s="2066"/>
      <c r="AC38" s="2067"/>
    </row>
    <row r="39" spans="1:44" ht="13.5" thickBot="1">
      <c r="A39" s="1444"/>
      <c r="B39" s="1462" t="s">
        <v>996</v>
      </c>
      <c r="C39" s="1036">
        <f ca="1">ROUND(D5*C19*C41*C24*F39,0)</f>
        <v>3248</v>
      </c>
      <c r="D39" s="1474"/>
      <c r="E39" s="1036">
        <f t="shared" ca="1" si="7"/>
        <v>0</v>
      </c>
      <c r="F39" s="1046">
        <f>SUMIF(修正!A45:A56,G2,修正!H45:H56)</f>
        <v>0.2</v>
      </c>
      <c r="G39" s="1036">
        <f ca="1">ROUND(IF(E2="工业",C39*$M$39,C39*$M$38),0)</f>
        <v>812</v>
      </c>
      <c r="H39" s="1036">
        <f t="shared" si="8"/>
        <v>0</v>
      </c>
      <c r="I39" s="1036">
        <f t="shared" ca="1" si="9"/>
        <v>0</v>
      </c>
      <c r="J39" s="1463"/>
      <c r="K39" s="2066"/>
      <c r="L39" s="1483" t="s">
        <v>1694</v>
      </c>
      <c r="M39" s="1484">
        <v>0.15</v>
      </c>
      <c r="N39" s="2066"/>
      <c r="O39" s="2066"/>
      <c r="P39" s="2066"/>
      <c r="Q39" s="2066"/>
      <c r="R39" s="2067"/>
      <c r="S39" s="2067"/>
      <c r="T39" s="2067"/>
      <c r="U39" s="2067"/>
      <c r="V39" s="2067"/>
      <c r="W39" s="2066"/>
      <c r="X39" s="2066"/>
      <c r="Y39" s="2066"/>
      <c r="Z39" s="2066"/>
      <c r="AA39" s="2066"/>
      <c r="AB39" s="2066"/>
      <c r="AC39" s="2067"/>
    </row>
    <row r="40" spans="1:44" s="1348"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9"/>
      <c r="AE40" s="1349"/>
      <c r="AF40" s="1349"/>
      <c r="AG40" s="1349"/>
      <c r="AH40" s="1349"/>
      <c r="AI40" s="1349"/>
      <c r="AJ40" s="1349"/>
      <c r="AK40" s="1349"/>
      <c r="AL40" s="1349"/>
      <c r="AM40" s="1349"/>
    </row>
    <row r="41" spans="1:44" s="1348" customFormat="1" ht="12.75">
      <c r="A41" s="1349"/>
      <c r="B41" s="2827" t="s">
        <v>2945</v>
      </c>
      <c r="C41" s="826">
        <f ca="1">ROUND(POWER(1+E41,H41-G41)*(POWER(1+E41,G41)-1)/(POWER(1+E41,H41)-1),4)</f>
        <v>0.88890000000000002</v>
      </c>
      <c r="D41" s="370" t="s">
        <v>2943</v>
      </c>
      <c r="E41" s="2826">
        <f ca="1">G20</f>
        <v>5.3999999999999999E-2</v>
      </c>
      <c r="F41" s="370" t="s">
        <v>2944</v>
      </c>
      <c r="G41" s="388">
        <v>33.119999999999997</v>
      </c>
      <c r="H41" s="370">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9"/>
      <c r="AE41" s="1349"/>
      <c r="AF41" s="1349"/>
      <c r="AG41" s="1349"/>
      <c r="AH41" s="1349"/>
      <c r="AI41" s="1349"/>
      <c r="AJ41" s="1349"/>
      <c r="AK41" s="1349"/>
      <c r="AL41" s="1349"/>
      <c r="AM41" s="1349"/>
    </row>
    <row r="42" spans="1:44" s="1348" customFormat="1">
      <c r="A42" s="1349"/>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9"/>
      <c r="AE42" s="1349"/>
      <c r="AF42" s="1349"/>
      <c r="AG42" s="1349"/>
      <c r="AH42" s="1349"/>
      <c r="AI42" s="1349"/>
      <c r="AJ42" s="1349"/>
      <c r="AK42" s="1349"/>
      <c r="AL42" s="1349"/>
      <c r="AM42" s="1349"/>
    </row>
    <row r="43" spans="1:44" s="1348" customFormat="1">
      <c r="A43" s="1349"/>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9"/>
      <c r="AE43" s="1349"/>
      <c r="AF43" s="1349"/>
      <c r="AG43" s="1349"/>
      <c r="AH43" s="1349"/>
      <c r="AI43" s="1349"/>
      <c r="AJ43" s="1349"/>
      <c r="AK43" s="1349"/>
      <c r="AL43" s="1349"/>
      <c r="AM43" s="1349"/>
    </row>
    <row r="44" spans="1:44" s="1348" customFormat="1" ht="15" thickBot="1">
      <c r="A44" s="2270" t="s">
        <v>997</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9"/>
      <c r="AE44" s="1349"/>
      <c r="AF44" s="1349"/>
      <c r="AG44" s="1349"/>
      <c r="AH44" s="1349"/>
      <c r="AI44" s="1349"/>
      <c r="AJ44" s="1349"/>
      <c r="AK44" s="1349"/>
      <c r="AL44" s="1349"/>
      <c r="AM44" s="1349"/>
    </row>
    <row r="45" spans="1:44" s="1348" customFormat="1" ht="15">
      <c r="A45" s="2275" t="s">
        <v>998</v>
      </c>
      <c r="B45" s="2276">
        <f>1+E47</f>
        <v>1.0553999999999999</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9"/>
      <c r="AE45" s="1349"/>
      <c r="AF45" s="1349"/>
      <c r="AG45" s="1349"/>
      <c r="AH45" s="1349"/>
      <c r="AI45" s="1349"/>
      <c r="AJ45" s="1349"/>
      <c r="AK45" s="1349"/>
      <c r="AL45" s="1349"/>
      <c r="AM45" s="1349"/>
    </row>
    <row r="46" spans="1:44" s="1348" customFormat="1" ht="24">
      <c r="A46" s="1048" t="s">
        <v>999</v>
      </c>
      <c r="B46" s="2259" t="s">
        <v>1000</v>
      </c>
      <c r="C46" s="2281" t="s">
        <v>1001</v>
      </c>
      <c r="D46" s="2282" t="s">
        <v>1002</v>
      </c>
      <c r="E46" s="2283" t="s">
        <v>1004</v>
      </c>
      <c r="F46" s="2284" t="s">
        <v>2238</v>
      </c>
      <c r="G46" s="2282" t="s">
        <v>1005</v>
      </c>
      <c r="H46" s="2265" t="s">
        <v>2402</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9"/>
      <c r="AF46" s="1349"/>
      <c r="AG46" s="1349"/>
      <c r="AH46" s="1349"/>
      <c r="AI46" s="1349"/>
      <c r="AJ46" s="1349"/>
      <c r="AK46" s="1349"/>
      <c r="AL46" s="1349"/>
      <c r="AM46" s="1349"/>
      <c r="AN46" s="1349"/>
    </row>
    <row r="47" spans="1:44" s="1348" customFormat="1" ht="24">
      <c r="A47" s="1048" t="s">
        <v>1011</v>
      </c>
      <c r="B47" s="2262" t="str">
        <f>估价对象房地状况!C16</f>
        <v>安泰购购物中心 1.2，商业繁华度一般</v>
      </c>
      <c r="C47" s="1035" t="s">
        <v>3042</v>
      </c>
      <c r="D47" s="3485">
        <f t="shared" ref="D47:D55" si="10">SUMIF($J$46:$N$46,C47,J47:N47)</f>
        <v>1.5800000000000002E-2</v>
      </c>
      <c r="E47" s="2287">
        <f>ROUND(SUM(D47:D55),4)</f>
        <v>5.5399999999999998E-2</v>
      </c>
      <c r="F47" s="2288">
        <f>IF(E2="商业",SUMIF(L1:L12,G2,N1:N12),"——")</f>
        <v>9.6000000000000002E-2</v>
      </c>
      <c r="G47" s="2266">
        <f>H47</f>
        <v>1.5800000000000002E-2</v>
      </c>
      <c r="H47" s="2311">
        <f t="shared" ref="H47:H55" si="11">IFERROR(ROUNDDOWN(($F$47*I47/2),4),"——")</f>
        <v>1.5800000000000002E-2</v>
      </c>
      <c r="I47" s="2286">
        <v>0.33</v>
      </c>
      <c r="J47" s="3483">
        <f t="shared" ref="J47:J55" si="12">K47+$G47</f>
        <v>3.1600000000000003E-2</v>
      </c>
      <c r="K47" s="3483">
        <f t="shared" ref="K47:K55" si="13">$L47+$G47</f>
        <v>1.5800000000000002E-2</v>
      </c>
      <c r="L47" s="3483">
        <v>0</v>
      </c>
      <c r="M47" s="3483">
        <f t="shared" ref="M47:N55" si="14">L47-$G47</f>
        <v>-1.5800000000000002E-2</v>
      </c>
      <c r="N47" s="3483">
        <f t="shared" si="14"/>
        <v>-3.1600000000000003E-2</v>
      </c>
      <c r="P47" s="2073"/>
      <c r="Q47" s="2073"/>
      <c r="R47" s="2074"/>
      <c r="S47" s="2074"/>
      <c r="T47" s="2074"/>
      <c r="U47" s="2074"/>
      <c r="V47" s="2074"/>
      <c r="W47" s="2073"/>
      <c r="X47" s="2073"/>
      <c r="Y47" s="2073"/>
      <c r="Z47" s="2073"/>
      <c r="AA47" s="2073"/>
      <c r="AB47" s="2073"/>
      <c r="AC47" s="2073"/>
      <c r="AD47" s="2074"/>
      <c r="AE47" s="1349"/>
      <c r="AF47" s="1349"/>
      <c r="AG47" s="1349"/>
      <c r="AH47" s="1349"/>
      <c r="AI47" s="1349"/>
      <c r="AJ47" s="1349"/>
      <c r="AK47" s="1349"/>
      <c r="AL47" s="1349"/>
      <c r="AM47" s="1349"/>
      <c r="AN47" s="1349"/>
    </row>
    <row r="48" spans="1:44" s="1348" customFormat="1" ht="111.95" customHeight="1">
      <c r="A48" s="1048" t="s">
        <v>1012</v>
      </c>
      <c r="B48" s="2259" t="str">
        <f>估价对象房地状况!C18</f>
        <v>紧邻地铁16号线（西北旺站），周边有333路、384路、438路、570路、575路、623路、902路、908路、909路、快速直达专线152路、专143路等多条公交线路，交通便捷度好</v>
      </c>
      <c r="C48" s="1035" t="s">
        <v>3042</v>
      </c>
      <c r="D48" s="3485">
        <f t="shared" si="10"/>
        <v>1.2E-2</v>
      </c>
      <c r="E48" s="2290"/>
      <c r="F48" s="2288"/>
      <c r="G48" s="2266">
        <f t="shared" ref="G48:G55" si="15">H48</f>
        <v>1.2E-2</v>
      </c>
      <c r="H48" s="2311">
        <f t="shared" si="11"/>
        <v>1.2E-2</v>
      </c>
      <c r="I48" s="2286">
        <v>0.25</v>
      </c>
      <c r="J48" s="3483">
        <f t="shared" si="12"/>
        <v>2.4E-2</v>
      </c>
      <c r="K48" s="3483">
        <f t="shared" si="13"/>
        <v>1.2E-2</v>
      </c>
      <c r="L48" s="3483">
        <v>0</v>
      </c>
      <c r="M48" s="3483">
        <f t="shared" si="14"/>
        <v>-1.2E-2</v>
      </c>
      <c r="N48" s="3483">
        <f t="shared" si="14"/>
        <v>-2.4E-2</v>
      </c>
      <c r="P48" s="2073"/>
      <c r="Q48" s="2073"/>
      <c r="R48" s="2074"/>
      <c r="S48" s="2074"/>
      <c r="T48" s="2074"/>
      <c r="U48" s="2074"/>
      <c r="V48" s="2074"/>
      <c r="W48" s="2073"/>
      <c r="X48" s="2073"/>
      <c r="Y48" s="2073"/>
      <c r="Z48" s="2073"/>
      <c r="AA48" s="2073"/>
      <c r="AB48" s="2073"/>
      <c r="AC48" s="2073"/>
      <c r="AD48" s="2074"/>
      <c r="AE48" s="1349"/>
      <c r="AF48" s="1349"/>
      <c r="AG48" s="1349"/>
      <c r="AH48" s="1349"/>
      <c r="AI48" s="1349"/>
      <c r="AJ48" s="1349"/>
      <c r="AK48" s="1349"/>
      <c r="AL48" s="1349"/>
      <c r="AM48" s="1349"/>
      <c r="AN48" s="1349"/>
    </row>
    <row r="49" spans="1:40" s="1348" customFormat="1" ht="24">
      <c r="A49" s="1048" t="s">
        <v>1013</v>
      </c>
      <c r="B49" s="2259">
        <f>估价对象房地状况!C19</f>
        <v>0</v>
      </c>
      <c r="C49" s="1035" t="s">
        <v>3042</v>
      </c>
      <c r="D49" s="3485">
        <f t="shared" si="10"/>
        <v>2.3999999999999998E-3</v>
      </c>
      <c r="E49" s="2290"/>
      <c r="F49" s="2288"/>
      <c r="G49" s="2266">
        <f t="shared" si="15"/>
        <v>2.3999999999999998E-3</v>
      </c>
      <c r="H49" s="2311">
        <f t="shared" si="11"/>
        <v>2.3999999999999998E-3</v>
      </c>
      <c r="I49" s="2286">
        <v>0.05</v>
      </c>
      <c r="J49" s="3483">
        <f t="shared" si="12"/>
        <v>4.7999999999999996E-3</v>
      </c>
      <c r="K49" s="3483">
        <f t="shared" si="13"/>
        <v>2.3999999999999998E-3</v>
      </c>
      <c r="L49" s="3483">
        <v>0</v>
      </c>
      <c r="M49" s="3483">
        <f t="shared" si="14"/>
        <v>-2.3999999999999998E-3</v>
      </c>
      <c r="N49" s="3483">
        <f t="shared" si="14"/>
        <v>-4.7999999999999996E-3</v>
      </c>
      <c r="P49" s="2073"/>
      <c r="Q49" s="2073"/>
      <c r="R49" s="2074"/>
      <c r="S49" s="2074"/>
      <c r="T49" s="2074"/>
      <c r="U49" s="2074"/>
      <c r="V49" s="2074"/>
      <c r="W49" s="2073"/>
      <c r="X49" s="2073"/>
      <c r="Y49" s="2073"/>
      <c r="Z49" s="2073"/>
      <c r="AA49" s="2073"/>
      <c r="AB49" s="2073"/>
      <c r="AC49" s="2073"/>
      <c r="AD49" s="2074"/>
      <c r="AE49" s="1349"/>
      <c r="AF49" s="1349"/>
      <c r="AG49" s="1349"/>
      <c r="AH49" s="1349"/>
      <c r="AI49" s="1349"/>
      <c r="AJ49" s="1349"/>
      <c r="AK49" s="1349"/>
      <c r="AL49" s="1349"/>
      <c r="AM49" s="1349"/>
      <c r="AN49" s="1349"/>
    </row>
    <row r="50" spans="1:40" s="1348" customFormat="1" ht="36">
      <c r="A50" s="1048" t="s">
        <v>1014</v>
      </c>
      <c r="B50" s="2779" t="s">
        <v>2901</v>
      </c>
      <c r="C50" s="1035" t="s">
        <v>3042</v>
      </c>
      <c r="D50" s="3485">
        <f t="shared" si="10"/>
        <v>2.3999999999999998E-3</v>
      </c>
      <c r="E50" s="2290"/>
      <c r="F50" s="2288"/>
      <c r="G50" s="2266">
        <f t="shared" si="15"/>
        <v>2.3999999999999998E-3</v>
      </c>
      <c r="H50" s="2311">
        <f t="shared" si="11"/>
        <v>2.3999999999999998E-3</v>
      </c>
      <c r="I50" s="2286">
        <v>0.05</v>
      </c>
      <c r="J50" s="3483">
        <f t="shared" si="12"/>
        <v>4.7999999999999996E-3</v>
      </c>
      <c r="K50" s="3483">
        <f t="shared" si="13"/>
        <v>2.3999999999999998E-3</v>
      </c>
      <c r="L50" s="3483">
        <v>0</v>
      </c>
      <c r="M50" s="3483">
        <f t="shared" si="14"/>
        <v>-2.3999999999999998E-3</v>
      </c>
      <c r="N50" s="3483">
        <f t="shared" si="14"/>
        <v>-4.7999999999999996E-3</v>
      </c>
      <c r="P50" s="2073"/>
      <c r="Q50" s="2073"/>
      <c r="R50" s="2074"/>
      <c r="S50" s="2074"/>
      <c r="T50" s="2074"/>
      <c r="U50" s="2074"/>
      <c r="V50" s="2074"/>
      <c r="W50" s="2073"/>
      <c r="X50" s="2073"/>
      <c r="Y50" s="2073"/>
      <c r="Z50" s="2073"/>
      <c r="AA50" s="2073"/>
      <c r="AB50" s="2073"/>
      <c r="AC50" s="2073"/>
      <c r="AD50" s="2074"/>
      <c r="AE50" s="1349"/>
      <c r="AF50" s="1349"/>
      <c r="AG50" s="1349"/>
      <c r="AH50" s="1349"/>
      <c r="AI50" s="1349"/>
      <c r="AJ50" s="1349"/>
      <c r="AK50" s="1349"/>
      <c r="AL50" s="1349"/>
      <c r="AM50" s="1349"/>
      <c r="AN50" s="1349"/>
    </row>
    <row r="51" spans="1:40" s="1348" customFormat="1" ht="24">
      <c r="A51" s="1048" t="s">
        <v>1015</v>
      </c>
      <c r="B51" s="2259">
        <f>估价对象房地状况!C24</f>
        <v>0</v>
      </c>
      <c r="C51" s="1035" t="s">
        <v>3042</v>
      </c>
      <c r="D51" s="3485">
        <f t="shared" si="10"/>
        <v>3.8E-3</v>
      </c>
      <c r="E51" s="2290"/>
      <c r="F51" s="2288"/>
      <c r="G51" s="2266">
        <f t="shared" si="15"/>
        <v>3.8E-3</v>
      </c>
      <c r="H51" s="2311">
        <f t="shared" si="11"/>
        <v>3.8E-3</v>
      </c>
      <c r="I51" s="2286">
        <v>0.08</v>
      </c>
      <c r="J51" s="3483">
        <f t="shared" si="12"/>
        <v>7.6E-3</v>
      </c>
      <c r="K51" s="3483">
        <f t="shared" si="13"/>
        <v>3.8E-3</v>
      </c>
      <c r="L51" s="3483">
        <v>0</v>
      </c>
      <c r="M51" s="3483">
        <f t="shared" si="14"/>
        <v>-3.8E-3</v>
      </c>
      <c r="N51" s="3483">
        <f t="shared" si="14"/>
        <v>-7.6E-3</v>
      </c>
      <c r="P51" s="2073"/>
      <c r="Q51" s="2073"/>
      <c r="R51" s="2074"/>
      <c r="S51" s="2074"/>
      <c r="T51" s="2074"/>
      <c r="U51" s="2074"/>
      <c r="V51" s="2074"/>
      <c r="W51" s="2073"/>
      <c r="X51" s="2073"/>
      <c r="Y51" s="2073"/>
      <c r="Z51" s="2073"/>
      <c r="AA51" s="2073"/>
      <c r="AB51" s="2073"/>
      <c r="AC51" s="2073"/>
      <c r="AD51" s="2074"/>
      <c r="AE51" s="1349"/>
      <c r="AF51" s="1349"/>
      <c r="AG51" s="1349"/>
      <c r="AH51" s="1349"/>
      <c r="AI51" s="1349"/>
      <c r="AJ51" s="1349"/>
      <c r="AK51" s="1349"/>
      <c r="AL51" s="1349"/>
      <c r="AM51" s="1349"/>
      <c r="AN51" s="1349"/>
    </row>
    <row r="52" spans="1:40" s="1348" customFormat="1" ht="24">
      <c r="A52" s="1048" t="s">
        <v>1016</v>
      </c>
      <c r="B52" s="2778" t="s">
        <v>2900</v>
      </c>
      <c r="C52" s="1035" t="s">
        <v>3042</v>
      </c>
      <c r="D52" s="3485">
        <f t="shared" si="10"/>
        <v>1.4E-3</v>
      </c>
      <c r="E52" s="2290"/>
      <c r="F52" s="2288"/>
      <c r="G52" s="2266">
        <f t="shared" si="15"/>
        <v>1.4E-3</v>
      </c>
      <c r="H52" s="2311">
        <f t="shared" si="11"/>
        <v>1.4E-3</v>
      </c>
      <c r="I52" s="2286">
        <v>0.03</v>
      </c>
      <c r="J52" s="3483">
        <f t="shared" si="12"/>
        <v>2.8E-3</v>
      </c>
      <c r="K52" s="3483">
        <f t="shared" si="13"/>
        <v>1.4E-3</v>
      </c>
      <c r="L52" s="3483">
        <v>0</v>
      </c>
      <c r="M52" s="3483">
        <f t="shared" si="14"/>
        <v>-1.4E-3</v>
      </c>
      <c r="N52" s="3483">
        <f t="shared" si="14"/>
        <v>-2.8E-3</v>
      </c>
      <c r="P52" s="2073"/>
      <c r="Q52" s="2073"/>
      <c r="R52" s="2074"/>
      <c r="S52" s="2074"/>
      <c r="T52" s="2074"/>
      <c r="U52" s="2074"/>
      <c r="V52" s="2074"/>
      <c r="W52" s="2073"/>
      <c r="X52" s="2073"/>
      <c r="Y52" s="2073"/>
      <c r="Z52" s="2073"/>
      <c r="AA52" s="2073"/>
      <c r="AB52" s="2073"/>
      <c r="AC52" s="2073"/>
      <c r="AD52" s="2074"/>
      <c r="AE52" s="1349"/>
      <c r="AF52" s="1349"/>
      <c r="AG52" s="1349"/>
      <c r="AH52" s="1349"/>
      <c r="AI52" s="1349"/>
      <c r="AJ52" s="1349"/>
      <c r="AK52" s="1349"/>
      <c r="AL52" s="1349"/>
      <c r="AM52" s="1349"/>
      <c r="AN52" s="1349"/>
    </row>
    <row r="53" spans="1:40" s="1348" customFormat="1" ht="182.1" customHeight="1">
      <c r="A53" s="2291" t="s">
        <v>1017</v>
      </c>
      <c r="B5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53" s="1035" t="s">
        <v>3042</v>
      </c>
      <c r="D53" s="3485">
        <f t="shared" si="10"/>
        <v>2.3999999999999998E-3</v>
      </c>
      <c r="E53" s="2290"/>
      <c r="F53" s="2288"/>
      <c r="G53" s="2266">
        <f t="shared" si="15"/>
        <v>2.3999999999999998E-3</v>
      </c>
      <c r="H53" s="2311">
        <f t="shared" si="11"/>
        <v>2.3999999999999998E-3</v>
      </c>
      <c r="I53" s="2286">
        <v>0.05</v>
      </c>
      <c r="J53" s="3483">
        <f t="shared" si="12"/>
        <v>4.7999999999999996E-3</v>
      </c>
      <c r="K53" s="3483">
        <f t="shared" si="13"/>
        <v>2.3999999999999998E-3</v>
      </c>
      <c r="L53" s="3483">
        <v>0</v>
      </c>
      <c r="M53" s="3483">
        <f t="shared" si="14"/>
        <v>-2.3999999999999998E-3</v>
      </c>
      <c r="N53" s="3483">
        <f t="shared" si="14"/>
        <v>-4.7999999999999996E-3</v>
      </c>
      <c r="P53" s="2073"/>
      <c r="Q53" s="2073"/>
      <c r="R53" s="2074"/>
      <c r="S53" s="2074"/>
      <c r="T53" s="2074"/>
      <c r="U53" s="2074"/>
      <c r="V53" s="2074"/>
      <c r="W53" s="2073"/>
      <c r="X53" s="2073"/>
      <c r="Y53" s="2073"/>
      <c r="Z53" s="2073"/>
      <c r="AA53" s="2073"/>
      <c r="AB53" s="2073"/>
      <c r="AC53" s="2073"/>
      <c r="AD53" s="2074"/>
      <c r="AE53" s="1349"/>
      <c r="AF53" s="1349"/>
      <c r="AG53" s="1349"/>
      <c r="AH53" s="1349"/>
      <c r="AI53" s="1349"/>
      <c r="AJ53" s="1349"/>
      <c r="AK53" s="1349"/>
      <c r="AL53" s="1349"/>
      <c r="AM53" s="1349"/>
      <c r="AN53" s="1349"/>
    </row>
    <row r="54" spans="1:40" s="1348" customFormat="1" ht="24">
      <c r="A54" s="2291" t="s">
        <v>1018</v>
      </c>
      <c r="B54" s="2259" t="str">
        <f>估价对象房地状况!C22</f>
        <v>七通</v>
      </c>
      <c r="C54" s="1035" t="s">
        <v>3041</v>
      </c>
      <c r="D54" s="3485">
        <f t="shared" si="10"/>
        <v>9.5999999999999992E-3</v>
      </c>
      <c r="E54" s="2290"/>
      <c r="F54" s="2288"/>
      <c r="G54" s="2266">
        <f t="shared" si="15"/>
        <v>4.7999999999999996E-3</v>
      </c>
      <c r="H54" s="2311">
        <f t="shared" si="11"/>
        <v>4.7999999999999996E-3</v>
      </c>
      <c r="I54" s="2286">
        <v>0.1</v>
      </c>
      <c r="J54" s="3483">
        <f t="shared" si="12"/>
        <v>9.5999999999999992E-3</v>
      </c>
      <c r="K54" s="3483">
        <f t="shared" si="13"/>
        <v>4.7999999999999996E-3</v>
      </c>
      <c r="L54" s="3483">
        <v>0</v>
      </c>
      <c r="M54" s="3483">
        <f t="shared" si="14"/>
        <v>-4.7999999999999996E-3</v>
      </c>
      <c r="N54" s="3483">
        <f t="shared" si="14"/>
        <v>-9.5999999999999992E-3</v>
      </c>
      <c r="P54" s="2073"/>
      <c r="Q54" s="2073"/>
      <c r="R54" s="2074"/>
      <c r="S54" s="2074"/>
      <c r="T54" s="2074"/>
      <c r="U54" s="2074"/>
      <c r="V54" s="2074"/>
      <c r="W54" s="2073"/>
      <c r="X54" s="2073"/>
      <c r="Y54" s="2073"/>
      <c r="Z54" s="2073"/>
      <c r="AA54" s="2073"/>
      <c r="AB54" s="2073"/>
      <c r="AC54" s="2073"/>
      <c r="AD54" s="2074"/>
      <c r="AE54" s="1349"/>
      <c r="AF54" s="1349"/>
      <c r="AG54" s="1349"/>
      <c r="AH54" s="1349"/>
      <c r="AI54" s="1349"/>
      <c r="AJ54" s="1349"/>
      <c r="AK54" s="1349"/>
      <c r="AL54" s="1349"/>
      <c r="AM54" s="1349"/>
      <c r="AN54" s="1349"/>
    </row>
    <row r="55" spans="1:40" s="1348" customFormat="1" ht="114" customHeight="1" thickBot="1">
      <c r="A55" s="2292" t="s">
        <v>1019</v>
      </c>
      <c r="B55" s="2263" t="str">
        <f>估价对象房地状况!C20</f>
        <v>区域自然环境：百望山、药用植物园、百旺公园、首师大附中口袋公园、中关村公园、小关村公园、京密引水渠等；人文环境：西北旺镇政府；综合评价环境状况较好</v>
      </c>
      <c r="C55" s="1035" t="s">
        <v>3041</v>
      </c>
      <c r="D55" s="3485">
        <f t="shared" si="10"/>
        <v>5.5999999999999999E-3</v>
      </c>
      <c r="E55" s="2294"/>
      <c r="F55" s="2288"/>
      <c r="G55" s="2266">
        <f t="shared" si="15"/>
        <v>2.8E-3</v>
      </c>
      <c r="H55" s="2311">
        <f t="shared" si="11"/>
        <v>2.8E-3</v>
      </c>
      <c r="I55" s="2293">
        <v>0.06</v>
      </c>
      <c r="J55" s="3483">
        <f t="shared" si="12"/>
        <v>5.5999999999999999E-3</v>
      </c>
      <c r="K55" s="3483">
        <f t="shared" si="13"/>
        <v>2.8E-3</v>
      </c>
      <c r="L55" s="3483">
        <v>0</v>
      </c>
      <c r="M55" s="3483">
        <f t="shared" si="14"/>
        <v>-2.8E-3</v>
      </c>
      <c r="N55" s="3483">
        <f t="shared" si="14"/>
        <v>-5.5999999999999999E-3</v>
      </c>
      <c r="P55" s="2073"/>
      <c r="Q55" s="2073"/>
      <c r="R55" s="2074"/>
      <c r="S55" s="2074"/>
      <c r="T55" s="2074"/>
      <c r="U55" s="2074"/>
      <c r="V55" s="2074"/>
      <c r="W55" s="2073"/>
      <c r="X55" s="2073"/>
      <c r="Y55" s="2073"/>
      <c r="Z55" s="2073"/>
      <c r="AA55" s="2073"/>
      <c r="AB55" s="2073"/>
      <c r="AC55" s="2073"/>
      <c r="AD55" s="2074"/>
      <c r="AE55" s="1349"/>
      <c r="AF55" s="1349"/>
      <c r="AG55" s="1349"/>
      <c r="AH55" s="1349"/>
      <c r="AI55" s="1349"/>
      <c r="AJ55" s="1349"/>
      <c r="AK55" s="1349"/>
      <c r="AL55" s="1349"/>
      <c r="AM55" s="1349"/>
      <c r="AN55" s="1349"/>
    </row>
    <row r="56" spans="1:40" s="1348" customFormat="1" ht="15">
      <c r="A56" s="2275" t="s">
        <v>1020</v>
      </c>
      <c r="B56" s="2276">
        <f>1+E58</f>
        <v>1</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9"/>
      <c r="AF56" s="1349"/>
      <c r="AG56" s="1349"/>
      <c r="AH56" s="1349"/>
      <c r="AI56" s="1349"/>
      <c r="AJ56" s="1349"/>
      <c r="AK56" s="1349"/>
      <c r="AL56" s="1349"/>
      <c r="AM56" s="1349"/>
      <c r="AN56" s="1349"/>
    </row>
    <row r="57" spans="1:40" s="1348" customFormat="1" ht="24">
      <c r="A57" s="1048" t="s">
        <v>999</v>
      </c>
      <c r="B57" s="2259"/>
      <c r="C57" s="2281" t="s">
        <v>1001</v>
      </c>
      <c r="D57" s="2282" t="s">
        <v>1002</v>
      </c>
      <c r="E57" s="2283" t="s">
        <v>1004</v>
      </c>
      <c r="F57" s="2284" t="s">
        <v>2239</v>
      </c>
      <c r="G57" s="2282" t="s">
        <v>1005</v>
      </c>
      <c r="H57" s="2265" t="s">
        <v>2402</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9"/>
      <c r="AF57" s="1349"/>
      <c r="AG57" s="1349"/>
      <c r="AH57" s="1349"/>
      <c r="AI57" s="1349"/>
      <c r="AJ57" s="1349"/>
      <c r="AK57" s="1349"/>
      <c r="AL57" s="1349"/>
      <c r="AM57" s="1349"/>
      <c r="AN57" s="1349"/>
    </row>
    <row r="58" spans="1:40" s="1348" customFormat="1" ht="48">
      <c r="A58" s="1048" t="s">
        <v>1021</v>
      </c>
      <c r="B58" s="2262" t="str">
        <f>估价对象房地状况!C17</f>
        <v>卫生大厦、新浪总部大厦、百度科技园、网易大厦、腾讯北京总部大楼、联想总部等，办公集聚程度较好</v>
      </c>
      <c r="C58" s="1035"/>
      <c r="D58" s="2268">
        <f t="shared" ref="D58:D66" si="16">SUMIF($J$57:$N$57,C58,J58:N58)</f>
        <v>0</v>
      </c>
      <c r="E58" s="2287">
        <f>ROUND(SUM(D58:D66),4)</f>
        <v>0</v>
      </c>
      <c r="F58" s="2288" t="str">
        <f>IF(E2="办公",SUMIF(L1:L12,G2,N1:N12),"——")</f>
        <v>——</v>
      </c>
      <c r="G58" s="2266"/>
      <c r="H58" s="2311" t="str">
        <f>IFERROR(ROUNDDOWN($F$58*I58/2,4),"——")</f>
        <v>——</v>
      </c>
      <c r="I58" s="2286">
        <v>0.24</v>
      </c>
      <c r="J58" s="2289">
        <f t="shared" ref="J58:J66" si="17">K58+$G58</f>
        <v>0</v>
      </c>
      <c r="K58" s="2289">
        <f t="shared" ref="K58:K66" si="18">$L58+$G58</f>
        <v>0</v>
      </c>
      <c r="L58" s="2289">
        <v>0</v>
      </c>
      <c r="M58" s="2289">
        <f t="shared" ref="M58:N66" si="19">L58-$G58</f>
        <v>0</v>
      </c>
      <c r="N58" s="2289">
        <f t="shared" si="19"/>
        <v>0</v>
      </c>
      <c r="P58" s="2073"/>
      <c r="Q58" s="2073"/>
      <c r="R58" s="2074"/>
      <c r="S58" s="2074"/>
      <c r="T58" s="2074"/>
      <c r="U58" s="2074"/>
      <c r="V58" s="2074"/>
      <c r="W58" s="2073"/>
      <c r="X58" s="2073"/>
      <c r="Y58" s="2073"/>
      <c r="Z58" s="2073"/>
      <c r="AA58" s="2073"/>
      <c r="AB58" s="2073"/>
      <c r="AC58" s="2073"/>
      <c r="AD58" s="2074"/>
      <c r="AE58" s="1349"/>
      <c r="AF58" s="1349"/>
      <c r="AG58" s="1349"/>
      <c r="AH58" s="1349"/>
      <c r="AI58" s="1349"/>
      <c r="AJ58" s="1349"/>
      <c r="AK58" s="1349"/>
      <c r="AL58" s="1349"/>
      <c r="AM58" s="1349"/>
      <c r="AN58" s="1349"/>
    </row>
    <row r="59" spans="1:40" s="1348" customFormat="1" ht="84">
      <c r="A59" s="1048" t="s">
        <v>1012</v>
      </c>
      <c r="B59" s="2259" t="str">
        <f>估价对象房地状况!C18</f>
        <v>紧邻地铁16号线（西北旺站），周边有333路、384路、438路、570路、575路、623路、902路、908路、909路、快速直达专线152路、专143路等多条公交线路，交通便捷度好</v>
      </c>
      <c r="C59" s="1035"/>
      <c r="D59" s="2268">
        <f t="shared" si="16"/>
        <v>0</v>
      </c>
      <c r="E59" s="2290"/>
      <c r="F59" s="2288"/>
      <c r="G59" s="2266"/>
      <c r="H59" s="2267" t="str">
        <f t="shared" ref="H59:H66" si="20">IFERROR($F$58*I59/2,"——")</f>
        <v>——</v>
      </c>
      <c r="I59" s="2286">
        <v>0.3</v>
      </c>
      <c r="J59" s="2289">
        <f t="shared" si="17"/>
        <v>0</v>
      </c>
      <c r="K59" s="2289">
        <f t="shared" si="18"/>
        <v>0</v>
      </c>
      <c r="L59" s="2289">
        <v>0</v>
      </c>
      <c r="M59" s="2289">
        <f t="shared" si="19"/>
        <v>0</v>
      </c>
      <c r="N59" s="2289">
        <f t="shared" si="19"/>
        <v>0</v>
      </c>
      <c r="P59" s="2073"/>
      <c r="Q59" s="2073"/>
      <c r="R59" s="2074"/>
      <c r="S59" s="2074"/>
      <c r="T59" s="2074"/>
      <c r="U59" s="2074"/>
      <c r="V59" s="2074"/>
      <c r="W59" s="2073"/>
      <c r="X59" s="2073"/>
      <c r="Y59" s="2073"/>
      <c r="Z59" s="2073"/>
      <c r="AA59" s="2073"/>
      <c r="AB59" s="2073"/>
      <c r="AC59" s="2073"/>
      <c r="AD59" s="2074"/>
      <c r="AE59" s="1349"/>
      <c r="AF59" s="1349"/>
      <c r="AG59" s="1349"/>
      <c r="AH59" s="1349"/>
      <c r="AI59" s="1349"/>
      <c r="AJ59" s="1349"/>
      <c r="AK59" s="1349"/>
      <c r="AL59" s="1349"/>
      <c r="AM59" s="1349"/>
      <c r="AN59" s="1349"/>
    </row>
    <row r="60" spans="1:40" s="1348" customFormat="1" ht="24">
      <c r="A60" s="1048" t="s">
        <v>1013</v>
      </c>
      <c r="B60" s="2259">
        <f>估价对象房地状况!C19</f>
        <v>0</v>
      </c>
      <c r="C60" s="1035"/>
      <c r="D60" s="2268">
        <f t="shared" si="16"/>
        <v>0</v>
      </c>
      <c r="E60" s="2290"/>
      <c r="F60" s="2288"/>
      <c r="G60" s="2266"/>
      <c r="H60" s="2267" t="str">
        <f t="shared" si="20"/>
        <v>——</v>
      </c>
      <c r="I60" s="2286">
        <v>0.08</v>
      </c>
      <c r="J60" s="2289">
        <f t="shared" si="17"/>
        <v>0</v>
      </c>
      <c r="K60" s="2289">
        <f t="shared" si="18"/>
        <v>0</v>
      </c>
      <c r="L60" s="2289">
        <v>0</v>
      </c>
      <c r="M60" s="2289">
        <f t="shared" si="19"/>
        <v>0</v>
      </c>
      <c r="N60" s="2289">
        <f t="shared" si="19"/>
        <v>0</v>
      </c>
      <c r="P60" s="2073"/>
      <c r="Q60" s="2073"/>
      <c r="R60" s="2074"/>
      <c r="S60" s="2074"/>
      <c r="T60" s="2074"/>
      <c r="U60" s="2074"/>
      <c r="V60" s="2074"/>
      <c r="W60" s="2073"/>
      <c r="X60" s="2073"/>
      <c r="Y60" s="2073"/>
      <c r="Z60" s="2073"/>
      <c r="AA60" s="2073"/>
      <c r="AB60" s="2073"/>
      <c r="AC60" s="2073"/>
      <c r="AD60" s="2074"/>
      <c r="AE60" s="1349"/>
      <c r="AF60" s="1349"/>
      <c r="AG60" s="1349"/>
      <c r="AH60" s="1349"/>
      <c r="AI60" s="1349"/>
      <c r="AJ60" s="1349"/>
      <c r="AK60" s="1349"/>
      <c r="AL60" s="1349"/>
      <c r="AM60" s="1349"/>
      <c r="AN60" s="1349"/>
    </row>
    <row r="61" spans="1:40" s="1348" customFormat="1" ht="36">
      <c r="A61" s="1048" t="s">
        <v>1014</v>
      </c>
      <c r="B61" s="2779" t="s">
        <v>2902</v>
      </c>
      <c r="C61" s="1035"/>
      <c r="D61" s="2268">
        <f t="shared" si="16"/>
        <v>0</v>
      </c>
      <c r="E61" s="2290"/>
      <c r="F61" s="2288"/>
      <c r="G61" s="2266"/>
      <c r="H61" s="2267" t="str">
        <f t="shared" si="20"/>
        <v>——</v>
      </c>
      <c r="I61" s="2286">
        <v>0.04</v>
      </c>
      <c r="J61" s="2289">
        <f t="shared" si="17"/>
        <v>0</v>
      </c>
      <c r="K61" s="2289">
        <f t="shared" si="18"/>
        <v>0</v>
      </c>
      <c r="L61" s="2289">
        <v>0</v>
      </c>
      <c r="M61" s="2289">
        <f t="shared" si="19"/>
        <v>0</v>
      </c>
      <c r="N61" s="2289">
        <f t="shared" si="19"/>
        <v>0</v>
      </c>
      <c r="P61" s="2073"/>
      <c r="Q61" s="2073"/>
      <c r="R61" s="2074"/>
      <c r="S61" s="2074"/>
      <c r="T61" s="2074"/>
      <c r="U61" s="2074"/>
      <c r="V61" s="2074"/>
      <c r="W61" s="2073"/>
      <c r="X61" s="2073"/>
      <c r="Y61" s="2073"/>
      <c r="Z61" s="2073"/>
      <c r="AA61" s="2073"/>
      <c r="AB61" s="2073"/>
      <c r="AC61" s="2073"/>
      <c r="AD61" s="2074"/>
      <c r="AE61" s="1349"/>
      <c r="AF61" s="1349"/>
      <c r="AG61" s="1349"/>
      <c r="AH61" s="1349"/>
      <c r="AI61" s="1349"/>
      <c r="AJ61" s="1349"/>
      <c r="AK61" s="1349"/>
      <c r="AL61" s="1349"/>
      <c r="AM61" s="1349"/>
      <c r="AN61" s="1349"/>
    </row>
    <row r="62" spans="1:40" s="1348" customFormat="1" ht="24">
      <c r="A62" s="1048" t="s">
        <v>1015</v>
      </c>
      <c r="B62" s="2259">
        <f>估价对象房地状况!C24</f>
        <v>0</v>
      </c>
      <c r="C62" s="1035"/>
      <c r="D62" s="2268">
        <f t="shared" si="16"/>
        <v>0</v>
      </c>
      <c r="E62" s="2290"/>
      <c r="F62" s="2288"/>
      <c r="G62" s="2266"/>
      <c r="H62" s="2267" t="str">
        <f t="shared" si="20"/>
        <v>——</v>
      </c>
      <c r="I62" s="2286">
        <v>0.05</v>
      </c>
      <c r="J62" s="2289">
        <f t="shared" si="17"/>
        <v>0</v>
      </c>
      <c r="K62" s="2289">
        <f t="shared" si="18"/>
        <v>0</v>
      </c>
      <c r="L62" s="2289">
        <v>0</v>
      </c>
      <c r="M62" s="2289">
        <f t="shared" si="19"/>
        <v>0</v>
      </c>
      <c r="N62" s="2289">
        <f t="shared" si="19"/>
        <v>0</v>
      </c>
      <c r="P62" s="2073"/>
      <c r="Q62" s="2073"/>
      <c r="R62" s="2074"/>
      <c r="S62" s="2074"/>
      <c r="T62" s="2074"/>
      <c r="U62" s="2074"/>
      <c r="V62" s="2074"/>
      <c r="W62" s="2073"/>
      <c r="X62" s="2073"/>
      <c r="Y62" s="2073"/>
      <c r="Z62" s="2073"/>
      <c r="AA62" s="2073"/>
      <c r="AB62" s="2073"/>
      <c r="AC62" s="2073"/>
      <c r="AD62" s="2074"/>
      <c r="AE62" s="1349"/>
      <c r="AF62" s="1349"/>
      <c r="AG62" s="1349"/>
      <c r="AH62" s="1349"/>
      <c r="AI62" s="1349"/>
      <c r="AJ62" s="1349"/>
      <c r="AK62" s="1349"/>
      <c r="AL62" s="1349"/>
      <c r="AM62" s="1349"/>
      <c r="AN62" s="1349"/>
    </row>
    <row r="63" spans="1:40" s="1348" customFormat="1" ht="24">
      <c r="A63" s="1048" t="s">
        <v>1016</v>
      </c>
      <c r="B63" s="2778" t="s">
        <v>2900</v>
      </c>
      <c r="C63" s="1035"/>
      <c r="D63" s="2268">
        <f t="shared" si="16"/>
        <v>0</v>
      </c>
      <c r="E63" s="2290"/>
      <c r="F63" s="2288"/>
      <c r="G63" s="2266"/>
      <c r="H63" s="2267" t="str">
        <f t="shared" si="20"/>
        <v>——</v>
      </c>
      <c r="I63" s="2286">
        <v>0.05</v>
      </c>
      <c r="J63" s="2289">
        <f t="shared" si="17"/>
        <v>0</v>
      </c>
      <c r="K63" s="2289">
        <f t="shared" si="18"/>
        <v>0</v>
      </c>
      <c r="L63" s="2289">
        <v>0</v>
      </c>
      <c r="M63" s="2289">
        <f t="shared" si="19"/>
        <v>0</v>
      </c>
      <c r="N63" s="2289">
        <f t="shared" si="19"/>
        <v>0</v>
      </c>
      <c r="P63" s="2073"/>
      <c r="Q63" s="2073"/>
      <c r="R63" s="2074"/>
      <c r="S63" s="2074"/>
      <c r="T63" s="2074"/>
      <c r="U63" s="2074"/>
      <c r="V63" s="2074"/>
      <c r="W63" s="2073"/>
      <c r="X63" s="2073"/>
      <c r="Y63" s="2073"/>
      <c r="Z63" s="2073"/>
      <c r="AA63" s="2073"/>
      <c r="AB63" s="2073"/>
      <c r="AC63" s="2073"/>
      <c r="AD63" s="2074"/>
      <c r="AE63" s="1349"/>
      <c r="AF63" s="1349"/>
      <c r="AG63" s="1349"/>
      <c r="AH63" s="1349"/>
      <c r="AI63" s="1349"/>
      <c r="AJ63" s="1349"/>
      <c r="AK63" s="1349"/>
      <c r="AL63" s="1349"/>
      <c r="AM63" s="1349"/>
      <c r="AN63" s="1349"/>
    </row>
    <row r="64" spans="1:40" s="1348" customFormat="1" ht="144">
      <c r="A64" s="1048" t="s">
        <v>1017</v>
      </c>
      <c r="B64"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64" s="1035"/>
      <c r="D64" s="2268">
        <f t="shared" si="16"/>
        <v>0</v>
      </c>
      <c r="E64" s="2290"/>
      <c r="F64" s="2288"/>
      <c r="G64" s="2266"/>
      <c r="H64" s="2267" t="str">
        <f t="shared" si="20"/>
        <v>——</v>
      </c>
      <c r="I64" s="2286">
        <v>0.06</v>
      </c>
      <c r="J64" s="2289">
        <f t="shared" si="17"/>
        <v>0</v>
      </c>
      <c r="K64" s="2289">
        <f t="shared" si="18"/>
        <v>0</v>
      </c>
      <c r="L64" s="2289">
        <v>0</v>
      </c>
      <c r="M64" s="2289">
        <f t="shared" si="19"/>
        <v>0</v>
      </c>
      <c r="N64" s="2289">
        <f t="shared" si="19"/>
        <v>0</v>
      </c>
      <c r="P64" s="2073"/>
      <c r="Q64" s="2073"/>
      <c r="R64" s="2074"/>
      <c r="S64" s="2074"/>
      <c r="T64" s="2074"/>
      <c r="U64" s="2074"/>
      <c r="V64" s="2074"/>
      <c r="W64" s="2073"/>
      <c r="X64" s="2073"/>
      <c r="Y64" s="2073"/>
      <c r="Z64" s="2073"/>
      <c r="AA64" s="2073"/>
      <c r="AB64" s="2073"/>
      <c r="AC64" s="2073"/>
      <c r="AD64" s="2074"/>
      <c r="AE64" s="1349"/>
      <c r="AF64" s="1349"/>
      <c r="AG64" s="1349"/>
      <c r="AH64" s="1349"/>
      <c r="AI64" s="1349"/>
      <c r="AJ64" s="1349"/>
      <c r="AK64" s="1349"/>
      <c r="AL64" s="1349"/>
      <c r="AM64" s="1349"/>
      <c r="AN64" s="1349"/>
    </row>
    <row r="65" spans="1:40" s="1348" customFormat="1" ht="24">
      <c r="A65" s="1048" t="s">
        <v>1018</v>
      </c>
      <c r="B65" s="2260" t="str">
        <f>估价对象房地状况!C22</f>
        <v>七通</v>
      </c>
      <c r="C65" s="1035"/>
      <c r="D65" s="2268">
        <f t="shared" si="16"/>
        <v>0</v>
      </c>
      <c r="E65" s="2290"/>
      <c r="F65" s="2288"/>
      <c r="G65" s="2266"/>
      <c r="H65" s="2267" t="str">
        <f t="shared" si="20"/>
        <v>——</v>
      </c>
      <c r="I65" s="2286">
        <v>0.12</v>
      </c>
      <c r="J65" s="2289">
        <f t="shared" si="17"/>
        <v>0</v>
      </c>
      <c r="K65" s="2289">
        <f t="shared" si="18"/>
        <v>0</v>
      </c>
      <c r="L65" s="2289">
        <v>0</v>
      </c>
      <c r="M65" s="2289">
        <f t="shared" si="19"/>
        <v>0</v>
      </c>
      <c r="N65" s="2289">
        <f t="shared" si="19"/>
        <v>0</v>
      </c>
      <c r="P65" s="2073"/>
      <c r="Q65" s="2073"/>
      <c r="R65" s="2074"/>
      <c r="S65" s="2074"/>
      <c r="T65" s="2074"/>
      <c r="U65" s="2074"/>
      <c r="V65" s="2074"/>
      <c r="W65" s="2073"/>
      <c r="X65" s="2073"/>
      <c r="Y65" s="2073"/>
      <c r="Z65" s="2073"/>
      <c r="AA65" s="2073"/>
      <c r="AB65" s="2073"/>
      <c r="AC65" s="2073"/>
      <c r="AD65" s="2074"/>
      <c r="AE65" s="1349"/>
      <c r="AF65" s="1349"/>
      <c r="AG65" s="1349"/>
      <c r="AH65" s="1349"/>
      <c r="AI65" s="1349"/>
      <c r="AJ65" s="1349"/>
      <c r="AK65" s="1349"/>
      <c r="AL65" s="1349"/>
      <c r="AM65" s="1349"/>
      <c r="AN65" s="1349"/>
    </row>
    <row r="66" spans="1:40" s="1348" customFormat="1" ht="84.75" thickBot="1">
      <c r="A66" s="2292" t="s">
        <v>1019</v>
      </c>
      <c r="B66" s="2264" t="str">
        <f>估价对象房地状况!C20</f>
        <v>区域自然环境：百望山、药用植物园、百旺公园、首师大附中口袋公园、中关村公园、小关村公园、京密引水渠等；人文环境：西北旺镇政府；综合评价环境状况较好</v>
      </c>
      <c r="C66" s="1035"/>
      <c r="D66" s="2268">
        <f t="shared" si="16"/>
        <v>0</v>
      </c>
      <c r="E66" s="2294"/>
      <c r="F66" s="2288"/>
      <c r="G66" s="2266"/>
      <c r="H66" s="2267" t="str">
        <f t="shared" si="20"/>
        <v>——</v>
      </c>
      <c r="I66" s="2293">
        <v>0.06</v>
      </c>
      <c r="J66" s="2289">
        <f t="shared" si="17"/>
        <v>0</v>
      </c>
      <c r="K66" s="2289">
        <f t="shared" si="18"/>
        <v>0</v>
      </c>
      <c r="L66" s="2289">
        <v>0</v>
      </c>
      <c r="M66" s="2289">
        <f t="shared" si="19"/>
        <v>0</v>
      </c>
      <c r="N66" s="2289">
        <f t="shared" si="19"/>
        <v>0</v>
      </c>
      <c r="P66" s="2073"/>
      <c r="Q66" s="2073"/>
      <c r="R66" s="2074"/>
      <c r="S66" s="2074"/>
      <c r="T66" s="2074"/>
      <c r="U66" s="2074"/>
      <c r="V66" s="2074"/>
      <c r="W66" s="2073"/>
      <c r="X66" s="2073"/>
      <c r="Y66" s="2073"/>
      <c r="Z66" s="2073"/>
      <c r="AA66" s="2073"/>
      <c r="AB66" s="2073"/>
      <c r="AC66" s="2073"/>
      <c r="AD66" s="2074"/>
      <c r="AE66" s="1349"/>
      <c r="AF66" s="1349"/>
      <c r="AG66" s="1349"/>
      <c r="AH66" s="1349"/>
      <c r="AI66" s="1349"/>
      <c r="AJ66" s="1349"/>
      <c r="AK66" s="1349"/>
      <c r="AL66" s="1349"/>
      <c r="AM66" s="1349"/>
      <c r="AN66" s="1349"/>
    </row>
    <row r="67" spans="1:40" s="1348" customFormat="1" ht="15">
      <c r="A67" s="2275" t="s">
        <v>1022</v>
      </c>
      <c r="B67" s="2276">
        <f>1+E69</f>
        <v>1</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9"/>
      <c r="AF67" s="1349"/>
      <c r="AG67" s="1349"/>
      <c r="AH67" s="1349"/>
      <c r="AI67" s="1349"/>
      <c r="AJ67" s="1349"/>
      <c r="AK67" s="1349"/>
      <c r="AL67" s="1349"/>
      <c r="AM67" s="1349"/>
      <c r="AN67" s="1349"/>
    </row>
    <row r="68" spans="1:40" s="1348" customFormat="1" ht="24">
      <c r="A68" s="1048" t="s">
        <v>999</v>
      </c>
      <c r="B68" s="2259"/>
      <c r="C68" s="2281" t="s">
        <v>1001</v>
      </c>
      <c r="D68" s="2282" t="s">
        <v>1002</v>
      </c>
      <c r="E68" s="2283" t="s">
        <v>1004</v>
      </c>
      <c r="F68" s="2284" t="s">
        <v>2240</v>
      </c>
      <c r="G68" s="2282" t="s">
        <v>1005</v>
      </c>
      <c r="H68" s="2265" t="s">
        <v>2402</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9"/>
      <c r="AF68" s="1349"/>
      <c r="AG68" s="1349"/>
      <c r="AH68" s="1349"/>
      <c r="AI68" s="1349"/>
      <c r="AJ68" s="1349"/>
      <c r="AK68" s="1349"/>
      <c r="AL68" s="1349"/>
      <c r="AM68" s="1349"/>
      <c r="AN68" s="1349"/>
    </row>
    <row r="69" spans="1:40" s="1348" customFormat="1" ht="48">
      <c r="A69" s="1048" t="s">
        <v>1023</v>
      </c>
      <c r="B69" s="2262" t="str">
        <f>估价对象房地状况!C15</f>
        <v>估价对象周边居住用地比例、居住小区规模和社区发展完善程度，综合评价居住社区成熟度一般</v>
      </c>
      <c r="C69" s="1140"/>
      <c r="D69" s="2268">
        <f t="shared" ref="D69:D77" si="21">SUMIF($J$68:$N$68,C69,J69:N69)</f>
        <v>0</v>
      </c>
      <c r="E69" s="2287">
        <f>ROUND(SUM(D69:D77),4)</f>
        <v>0</v>
      </c>
      <c r="F69" s="2288" t="str">
        <f>IF(E2="住宅",SUMIF(L1:L12,G2,N1:N12),"——")</f>
        <v>——</v>
      </c>
      <c r="G69" s="2269"/>
      <c r="H69" s="2312" t="str">
        <f t="shared" ref="H69:H77" si="22">IFERROR(ROUNDDOWN($F$69*I69/2,4),"——")</f>
        <v>——</v>
      </c>
      <c r="I69" s="2286">
        <v>0.14000000000000001</v>
      </c>
      <c r="J69" s="2289">
        <f t="shared" ref="J69:J77" si="23">K69+$G69</f>
        <v>0</v>
      </c>
      <c r="K69" s="2289">
        <f t="shared" ref="K69:K77" si="24">$L69+$G69</f>
        <v>0</v>
      </c>
      <c r="L69" s="2289">
        <v>0</v>
      </c>
      <c r="M69" s="2289">
        <f t="shared" ref="M69:N77" si="25">L69-$G69</f>
        <v>0</v>
      </c>
      <c r="N69" s="2289">
        <f t="shared" si="25"/>
        <v>0</v>
      </c>
      <c r="P69" s="2073"/>
      <c r="Q69" s="2073"/>
      <c r="R69" s="2074"/>
      <c r="S69" s="2074"/>
      <c r="T69" s="2074"/>
      <c r="U69" s="2074"/>
      <c r="V69" s="2074"/>
      <c r="W69" s="2073"/>
      <c r="X69" s="2073"/>
      <c r="Y69" s="2073"/>
      <c r="Z69" s="2073"/>
      <c r="AA69" s="2073"/>
      <c r="AB69" s="2073"/>
      <c r="AC69" s="2073"/>
      <c r="AD69" s="2074"/>
      <c r="AE69" s="1349"/>
      <c r="AF69" s="1349"/>
      <c r="AG69" s="1349"/>
      <c r="AH69" s="1349"/>
      <c r="AI69" s="1349"/>
      <c r="AJ69" s="1349"/>
      <c r="AK69" s="1349"/>
      <c r="AL69" s="1349"/>
      <c r="AM69" s="1349"/>
      <c r="AN69" s="1349"/>
    </row>
    <row r="70" spans="1:40" s="1348" customFormat="1" ht="84">
      <c r="A70" s="1048" t="s">
        <v>1024</v>
      </c>
      <c r="B70" s="2259" t="str">
        <f>估价对象房地状况!C18</f>
        <v>紧邻地铁16号线（西北旺站），周边有333路、384路、438路、570路、575路、623路、902路、908路、909路、快速直达专线152路、专143路等多条公交线路，交通便捷度好</v>
      </c>
      <c r="C70" s="1140"/>
      <c r="D70" s="2268">
        <f t="shared" si="21"/>
        <v>0</v>
      </c>
      <c r="E70" s="2296"/>
      <c r="F70" s="2297"/>
      <c r="G70" s="2269"/>
      <c r="H70" s="2312" t="str">
        <f t="shared" si="22"/>
        <v>——</v>
      </c>
      <c r="I70" s="2286">
        <v>0.3</v>
      </c>
      <c r="J70" s="2289">
        <f t="shared" si="23"/>
        <v>0</v>
      </c>
      <c r="K70" s="2289">
        <f t="shared" si="24"/>
        <v>0</v>
      </c>
      <c r="L70" s="2289">
        <v>0</v>
      </c>
      <c r="M70" s="2289">
        <f t="shared" si="25"/>
        <v>0</v>
      </c>
      <c r="N70" s="2289">
        <f t="shared" si="25"/>
        <v>0</v>
      </c>
      <c r="P70" s="2073"/>
      <c r="Q70" s="2073"/>
      <c r="R70" s="2074"/>
      <c r="S70" s="2074"/>
      <c r="T70" s="2074"/>
      <c r="U70" s="2074"/>
      <c r="V70" s="2074"/>
      <c r="W70" s="2073"/>
      <c r="X70" s="2073"/>
      <c r="Y70" s="2073"/>
      <c r="Z70" s="2073"/>
      <c r="AA70" s="2073"/>
      <c r="AB70" s="2073"/>
      <c r="AC70" s="2073"/>
      <c r="AD70" s="2074"/>
      <c r="AE70" s="1349"/>
      <c r="AF70" s="1349"/>
      <c r="AG70" s="1349"/>
      <c r="AH70" s="1349"/>
      <c r="AI70" s="1349"/>
      <c r="AJ70" s="1349"/>
      <c r="AK70" s="1349"/>
      <c r="AL70" s="1349"/>
      <c r="AM70" s="1349"/>
      <c r="AN70" s="1349"/>
    </row>
    <row r="71" spans="1:40" s="1348" customFormat="1" ht="24">
      <c r="A71" s="1048" t="s">
        <v>1013</v>
      </c>
      <c r="B71" s="2259">
        <f>估价对象房地状况!C19</f>
        <v>0</v>
      </c>
      <c r="C71" s="1140"/>
      <c r="D71" s="2268">
        <f t="shared" si="21"/>
        <v>0</v>
      </c>
      <c r="E71" s="2296"/>
      <c r="F71" s="2297"/>
      <c r="G71" s="2269"/>
      <c r="H71" s="2312" t="str">
        <f t="shared" si="22"/>
        <v>——</v>
      </c>
      <c r="I71" s="2286">
        <v>0.08</v>
      </c>
      <c r="J71" s="2289">
        <f t="shared" si="23"/>
        <v>0</v>
      </c>
      <c r="K71" s="2289">
        <f t="shared" si="24"/>
        <v>0</v>
      </c>
      <c r="L71" s="2289">
        <v>0</v>
      </c>
      <c r="M71" s="2289">
        <f t="shared" si="25"/>
        <v>0</v>
      </c>
      <c r="N71" s="2289">
        <f t="shared" si="25"/>
        <v>0</v>
      </c>
      <c r="P71" s="2073"/>
      <c r="Q71" s="2073"/>
      <c r="R71" s="2074"/>
      <c r="S71" s="2074"/>
      <c r="T71" s="2074"/>
      <c r="U71" s="2074"/>
      <c r="V71" s="2074"/>
      <c r="W71" s="2073"/>
      <c r="X71" s="2073"/>
      <c r="Y71" s="2073"/>
      <c r="Z71" s="2073"/>
      <c r="AA71" s="2073"/>
      <c r="AB71" s="2073"/>
      <c r="AC71" s="2073"/>
      <c r="AD71" s="2074"/>
      <c r="AE71" s="1349"/>
      <c r="AF71" s="1349"/>
      <c r="AG71" s="1349"/>
      <c r="AH71" s="1349"/>
      <c r="AI71" s="1349"/>
      <c r="AJ71" s="1349"/>
      <c r="AK71" s="1349"/>
      <c r="AL71" s="1349"/>
      <c r="AM71" s="1349"/>
      <c r="AN71" s="1349"/>
    </row>
    <row r="72" spans="1:40" s="1348" customFormat="1" ht="14.25">
      <c r="A72" s="1048" t="s">
        <v>1025</v>
      </c>
      <c r="B72" s="2259">
        <f>估价对象房地状况!C24</f>
        <v>0</v>
      </c>
      <c r="C72" s="1140"/>
      <c r="D72" s="2268">
        <f t="shared" si="21"/>
        <v>0</v>
      </c>
      <c r="E72" s="2296"/>
      <c r="F72" s="2297"/>
      <c r="G72" s="2269"/>
      <c r="H72" s="2312" t="str">
        <f t="shared" si="22"/>
        <v>——</v>
      </c>
      <c r="I72" s="2286">
        <v>0.04</v>
      </c>
      <c r="J72" s="2289">
        <f t="shared" si="23"/>
        <v>0</v>
      </c>
      <c r="K72" s="2289">
        <f t="shared" si="24"/>
        <v>0</v>
      </c>
      <c r="L72" s="2289">
        <v>0</v>
      </c>
      <c r="M72" s="2289">
        <f t="shared" si="25"/>
        <v>0</v>
      </c>
      <c r="N72" s="2289">
        <f t="shared" si="25"/>
        <v>0</v>
      </c>
      <c r="P72" s="2073"/>
      <c r="Q72" s="2073"/>
      <c r="R72" s="2074"/>
      <c r="S72" s="2074"/>
      <c r="T72" s="2074"/>
      <c r="U72" s="2074"/>
      <c r="V72" s="2074"/>
      <c r="W72" s="2073"/>
      <c r="X72" s="2073"/>
      <c r="Y72" s="2073"/>
      <c r="Z72" s="2073"/>
      <c r="AA72" s="2073"/>
      <c r="AB72" s="2073"/>
      <c r="AC72" s="2073"/>
      <c r="AD72" s="2074"/>
      <c r="AE72" s="1349"/>
      <c r="AF72" s="1349"/>
      <c r="AG72" s="1349"/>
      <c r="AH72" s="1349"/>
      <c r="AI72" s="1349"/>
      <c r="AJ72" s="1349"/>
      <c r="AK72" s="1349"/>
      <c r="AL72" s="1349"/>
      <c r="AM72" s="1349"/>
      <c r="AN72" s="1349"/>
    </row>
    <row r="73" spans="1:40" s="1348" customFormat="1" ht="144">
      <c r="A73" s="1048" t="s">
        <v>1017</v>
      </c>
      <c r="B7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73" s="1140"/>
      <c r="D73" s="2268">
        <f t="shared" si="21"/>
        <v>0</v>
      </c>
      <c r="E73" s="2296"/>
      <c r="F73" s="2297"/>
      <c r="G73" s="2269"/>
      <c r="H73" s="2312" t="str">
        <f t="shared" si="22"/>
        <v>——</v>
      </c>
      <c r="I73" s="2286">
        <v>0.08</v>
      </c>
      <c r="J73" s="2289">
        <f t="shared" si="23"/>
        <v>0</v>
      </c>
      <c r="K73" s="2289">
        <f t="shared" si="24"/>
        <v>0</v>
      </c>
      <c r="L73" s="2289">
        <v>0</v>
      </c>
      <c r="M73" s="2289">
        <f t="shared" si="25"/>
        <v>0</v>
      </c>
      <c r="N73" s="2289">
        <f t="shared" si="25"/>
        <v>0</v>
      </c>
      <c r="P73" s="2073"/>
      <c r="Q73" s="2073"/>
      <c r="R73" s="2074"/>
      <c r="S73" s="2074"/>
      <c r="T73" s="2074"/>
      <c r="U73" s="2074"/>
      <c r="V73" s="2074"/>
      <c r="W73" s="2073"/>
      <c r="X73" s="2073"/>
      <c r="Y73" s="2073"/>
      <c r="Z73" s="2073"/>
      <c r="AA73" s="2073"/>
      <c r="AB73" s="2073"/>
      <c r="AC73" s="2073"/>
      <c r="AD73" s="2074"/>
      <c r="AE73" s="1349"/>
      <c r="AF73" s="1349"/>
      <c r="AG73" s="1349"/>
      <c r="AH73" s="1349"/>
      <c r="AI73" s="1349"/>
      <c r="AJ73" s="1349"/>
      <c r="AK73" s="1349"/>
      <c r="AL73" s="1349"/>
      <c r="AM73" s="1349"/>
      <c r="AN73" s="1349"/>
    </row>
    <row r="74" spans="1:40" s="1348" customFormat="1" ht="24">
      <c r="A74" s="1048" t="s">
        <v>1018</v>
      </c>
      <c r="B74" s="2260" t="str">
        <f>估价对象房地状况!C22</f>
        <v>七通</v>
      </c>
      <c r="C74" s="1140"/>
      <c r="D74" s="2268">
        <f t="shared" si="21"/>
        <v>0</v>
      </c>
      <c r="E74" s="2296"/>
      <c r="F74" s="2297"/>
      <c r="G74" s="2269"/>
      <c r="H74" s="2312" t="str">
        <f t="shared" si="22"/>
        <v>——</v>
      </c>
      <c r="I74" s="2286">
        <v>0.12</v>
      </c>
      <c r="J74" s="2289">
        <f t="shared" si="23"/>
        <v>0</v>
      </c>
      <c r="K74" s="2289">
        <f t="shared" si="24"/>
        <v>0</v>
      </c>
      <c r="L74" s="2289">
        <v>0</v>
      </c>
      <c r="M74" s="2289">
        <f t="shared" si="25"/>
        <v>0</v>
      </c>
      <c r="N74" s="2289">
        <f t="shared" si="25"/>
        <v>0</v>
      </c>
      <c r="P74" s="2073"/>
      <c r="Q74" s="2073"/>
      <c r="R74" s="2074"/>
      <c r="S74" s="2074"/>
      <c r="T74" s="2074"/>
      <c r="U74" s="2074"/>
      <c r="V74" s="2074"/>
      <c r="W74" s="2073"/>
      <c r="X74" s="2073"/>
      <c r="Y74" s="2073"/>
      <c r="Z74" s="2073"/>
      <c r="AA74" s="2073"/>
      <c r="AB74" s="2073"/>
      <c r="AC74" s="2073"/>
      <c r="AD74" s="2074"/>
      <c r="AE74" s="1349"/>
      <c r="AF74" s="1349"/>
      <c r="AG74" s="1349"/>
      <c r="AH74" s="1349"/>
      <c r="AI74" s="1349"/>
      <c r="AJ74" s="1349"/>
      <c r="AK74" s="1349"/>
      <c r="AL74" s="1349"/>
      <c r="AM74" s="1349"/>
      <c r="AN74" s="1349"/>
    </row>
    <row r="75" spans="1:40" s="1348" customFormat="1" ht="24">
      <c r="A75" s="1048" t="s">
        <v>1016</v>
      </c>
      <c r="B75" s="2778" t="s">
        <v>2900</v>
      </c>
      <c r="C75" s="1140"/>
      <c r="D75" s="2268">
        <f t="shared" si="21"/>
        <v>0</v>
      </c>
      <c r="E75" s="2296"/>
      <c r="F75" s="2297"/>
      <c r="G75" s="2269"/>
      <c r="H75" s="2312" t="str">
        <f t="shared" si="22"/>
        <v>——</v>
      </c>
      <c r="I75" s="2286">
        <v>0.05</v>
      </c>
      <c r="J75" s="2289">
        <f t="shared" si="23"/>
        <v>0</v>
      </c>
      <c r="K75" s="2289">
        <f t="shared" si="24"/>
        <v>0</v>
      </c>
      <c r="L75" s="2289">
        <v>0</v>
      </c>
      <c r="M75" s="2289">
        <f t="shared" si="25"/>
        <v>0</v>
      </c>
      <c r="N75" s="2289">
        <f t="shared" si="25"/>
        <v>0</v>
      </c>
      <c r="P75" s="2073"/>
      <c r="Q75" s="2073"/>
      <c r="R75" s="2074"/>
      <c r="S75" s="2074"/>
      <c r="T75" s="2074"/>
      <c r="U75" s="2074"/>
      <c r="V75" s="2074"/>
      <c r="W75" s="2073"/>
      <c r="X75" s="2073"/>
      <c r="Y75" s="2073"/>
      <c r="Z75" s="2073"/>
      <c r="AA75" s="2073"/>
      <c r="AB75" s="2073"/>
      <c r="AC75" s="2073"/>
      <c r="AD75" s="2074"/>
      <c r="AE75" s="1349"/>
      <c r="AF75" s="1349"/>
      <c r="AG75" s="1349"/>
      <c r="AH75" s="1349"/>
      <c r="AI75" s="1349"/>
      <c r="AJ75" s="1349"/>
      <c r="AK75" s="1349"/>
      <c r="AL75" s="1349"/>
      <c r="AM75" s="1349"/>
      <c r="AN75" s="1349"/>
    </row>
    <row r="76" spans="1:40" ht="84">
      <c r="A76" s="1048" t="s">
        <v>1019</v>
      </c>
      <c r="B76" s="2262" t="str">
        <f>估价对象房地状况!C20</f>
        <v>区域自然环境：百望山、药用植物园、百旺公园、首师大附中口袋公园、中关村公园、小关村公园、京密引水渠等；人文环境：西北旺镇政府；综合评价环境状况较好</v>
      </c>
      <c r="C76" s="1140"/>
      <c r="D76" s="2268">
        <f t="shared" si="21"/>
        <v>0</v>
      </c>
      <c r="E76" s="2296"/>
      <c r="F76" s="2297"/>
      <c r="G76" s="2269"/>
      <c r="H76" s="2312" t="str">
        <f t="shared" si="22"/>
        <v>——</v>
      </c>
      <c r="I76" s="2286">
        <v>0.15</v>
      </c>
      <c r="J76" s="2289">
        <f t="shared" si="23"/>
        <v>0</v>
      </c>
      <c r="K76" s="2289">
        <f t="shared" si="24"/>
        <v>0</v>
      </c>
      <c r="L76" s="2289">
        <v>0</v>
      </c>
      <c r="M76" s="2289">
        <f t="shared" si="25"/>
        <v>0</v>
      </c>
      <c r="N76" s="2289">
        <f t="shared" si="25"/>
        <v>0</v>
      </c>
      <c r="P76" s="2076"/>
      <c r="Q76" s="2076"/>
      <c r="R76" s="2077"/>
      <c r="S76" s="2077"/>
      <c r="T76" s="2077"/>
      <c r="U76" s="2077"/>
      <c r="V76" s="2077"/>
      <c r="W76" s="2076"/>
      <c r="X76" s="2076"/>
      <c r="Y76" s="2076"/>
      <c r="Z76" s="2076"/>
      <c r="AA76" s="2076"/>
      <c r="AB76" s="2076"/>
      <c r="AC76" s="2076"/>
      <c r="AD76" s="2077"/>
      <c r="AJ76" s="1349"/>
      <c r="AN76" s="1350"/>
    </row>
    <row r="77" spans="1:40" ht="24.75" thickBot="1">
      <c r="A77" s="2292" t="s">
        <v>1026</v>
      </c>
      <c r="B77" s="1760"/>
      <c r="C77" s="1140"/>
      <c r="D77" s="2268">
        <f t="shared" si="21"/>
        <v>0</v>
      </c>
      <c r="E77" s="2298"/>
      <c r="F77" s="2297"/>
      <c r="G77" s="2269"/>
      <c r="H77" s="2312" t="str">
        <f t="shared" si="22"/>
        <v>——</v>
      </c>
      <c r="I77" s="2293">
        <v>0.04</v>
      </c>
      <c r="J77" s="2289">
        <f t="shared" si="23"/>
        <v>0</v>
      </c>
      <c r="K77" s="2289">
        <f t="shared" si="24"/>
        <v>0</v>
      </c>
      <c r="L77" s="2289">
        <v>0</v>
      </c>
      <c r="M77" s="2289">
        <f t="shared" si="25"/>
        <v>0</v>
      </c>
      <c r="N77" s="2289">
        <f t="shared" si="25"/>
        <v>0</v>
      </c>
      <c r="AC77" s="1351"/>
      <c r="AD77" s="1350"/>
      <c r="AJ77" s="1349"/>
      <c r="AN77" s="1350"/>
    </row>
    <row r="78" spans="1:40" ht="15">
      <c r="A78" s="2275" t="s">
        <v>1027</v>
      </c>
      <c r="B78" s="2276">
        <f>1+E80</f>
        <v>1</v>
      </c>
      <c r="C78" s="2295"/>
      <c r="D78" s="2278"/>
      <c r="E78" s="2279"/>
      <c r="F78" s="2280"/>
      <c r="G78" s="2274"/>
      <c r="H78" s="2274"/>
      <c r="I78" s="2274"/>
      <c r="J78" s="1047"/>
      <c r="K78" s="1047"/>
      <c r="L78" s="1047"/>
      <c r="M78" s="1047"/>
      <c r="N78" s="1047"/>
      <c r="AC78" s="1351"/>
      <c r="AD78" s="1350"/>
      <c r="AJ78" s="1349"/>
      <c r="AN78" s="1350"/>
    </row>
    <row r="79" spans="1:40" ht="24">
      <c r="A79" s="1048" t="s">
        <v>999</v>
      </c>
      <c r="B79" s="2259"/>
      <c r="C79" s="2281" t="s">
        <v>1001</v>
      </c>
      <c r="D79" s="2282" t="s">
        <v>1002</v>
      </c>
      <c r="E79" s="2283" t="s">
        <v>1004</v>
      </c>
      <c r="F79" s="2284" t="s">
        <v>2241</v>
      </c>
      <c r="G79" s="2282" t="s">
        <v>1005</v>
      </c>
      <c r="H79" s="2265" t="s">
        <v>2402</v>
      </c>
      <c r="I79" s="2282" t="s">
        <v>1003</v>
      </c>
      <c r="J79" s="2285" t="s">
        <v>1006</v>
      </c>
      <c r="K79" s="2285" t="s">
        <v>1007</v>
      </c>
      <c r="L79" s="2285" t="s">
        <v>1008</v>
      </c>
      <c r="M79" s="2285" t="s">
        <v>1009</v>
      </c>
      <c r="N79" s="2285" t="s">
        <v>1010</v>
      </c>
      <c r="AC79" s="1351"/>
      <c r="AD79" s="1350"/>
      <c r="AJ79" s="1349"/>
      <c r="AN79" s="1350"/>
    </row>
    <row r="80" spans="1:40" ht="36">
      <c r="A80" s="1048" t="s">
        <v>1028</v>
      </c>
      <c r="B80" s="2259" t="str">
        <f>估价对象房地状况!G15</f>
        <v>估价对象位于XX开发区，园区建设成熟度XX，产业集聚程度XX</v>
      </c>
      <c r="C80" s="1035"/>
      <c r="D80" s="2268">
        <f t="shared" ref="D80:D87" si="26">SUMIF($J$79:$N$79,C80,J80:N80)</f>
        <v>0</v>
      </c>
      <c r="E80" s="2287">
        <f>ROUND(SUM(D80:D87),4)</f>
        <v>0</v>
      </c>
      <c r="F80" s="2288" t="str">
        <f>IF(E2="工业",SUMIF(L1:L12,G2,N1:N12),"——")</f>
        <v>——</v>
      </c>
      <c r="G80" s="2266"/>
      <c r="H80" s="2311" t="str">
        <f t="shared" ref="H80:H87" si="27">IFERROR(ROUNDDOWN($F$80*I80/2,4),"——")</f>
        <v>——</v>
      </c>
      <c r="I80" s="2286">
        <v>0.26</v>
      </c>
      <c r="J80" s="2289">
        <f t="shared" ref="J80:J87" si="28">K80+$G80</f>
        <v>0</v>
      </c>
      <c r="K80" s="2289">
        <f t="shared" ref="K80:K87" si="29">$L80+$G80</f>
        <v>0</v>
      </c>
      <c r="L80" s="2289">
        <v>0</v>
      </c>
      <c r="M80" s="2289">
        <f t="shared" ref="M80:N87" si="30">L80-$G80</f>
        <v>0</v>
      </c>
      <c r="N80" s="2289">
        <f t="shared" si="30"/>
        <v>0</v>
      </c>
      <c r="AC80" s="1351"/>
      <c r="AD80" s="1350"/>
      <c r="AJ80" s="1349"/>
      <c r="AN80" s="1350"/>
    </row>
    <row r="81" spans="1:40" ht="48">
      <c r="A81" s="1048" t="s">
        <v>1024</v>
      </c>
      <c r="B81" s="2259" t="str">
        <f>估价对象房地状况!G16</f>
        <v>估价对象周边道路状况、公共交通通达情况、停车便捷程度，综合评价交通便捷度较好</v>
      </c>
      <c r="C81" s="1035"/>
      <c r="D81" s="2268">
        <f t="shared" si="26"/>
        <v>0</v>
      </c>
      <c r="E81" s="2296"/>
      <c r="F81" s="2297"/>
      <c r="G81" s="2266"/>
      <c r="H81" s="2311" t="str">
        <f t="shared" si="27"/>
        <v>——</v>
      </c>
      <c r="I81" s="2286">
        <v>0.33</v>
      </c>
      <c r="J81" s="2289">
        <f t="shared" si="28"/>
        <v>0</v>
      </c>
      <c r="K81" s="2289">
        <f t="shared" si="29"/>
        <v>0</v>
      </c>
      <c r="L81" s="2289">
        <v>0</v>
      </c>
      <c r="M81" s="2289">
        <f t="shared" si="30"/>
        <v>0</v>
      </c>
      <c r="N81" s="2289">
        <f t="shared" si="30"/>
        <v>0</v>
      </c>
      <c r="AC81" s="1351"/>
      <c r="AD81" s="1350"/>
      <c r="AJ81" s="1349"/>
      <c r="AN81" s="1350"/>
    </row>
    <row r="82" spans="1:40" ht="24">
      <c r="A82" s="1048" t="s">
        <v>1013</v>
      </c>
      <c r="B82" s="2259">
        <f>估价对象房地状况!G17</f>
        <v>0</v>
      </c>
      <c r="C82" s="1035"/>
      <c r="D82" s="2268">
        <f t="shared" si="26"/>
        <v>0</v>
      </c>
      <c r="E82" s="2296"/>
      <c r="F82" s="2297"/>
      <c r="G82" s="2266"/>
      <c r="H82" s="2311" t="str">
        <f t="shared" si="27"/>
        <v>——</v>
      </c>
      <c r="I82" s="2286">
        <v>0.05</v>
      </c>
      <c r="J82" s="2289">
        <f t="shared" si="28"/>
        <v>0</v>
      </c>
      <c r="K82" s="2289">
        <f t="shared" si="29"/>
        <v>0</v>
      </c>
      <c r="L82" s="2289">
        <v>0</v>
      </c>
      <c r="M82" s="2289">
        <f t="shared" si="30"/>
        <v>0</v>
      </c>
      <c r="N82" s="2289">
        <f t="shared" si="30"/>
        <v>0</v>
      </c>
      <c r="AC82" s="1351"/>
      <c r="AD82" s="1350"/>
      <c r="AJ82" s="1349"/>
      <c r="AN82" s="1350"/>
    </row>
    <row r="83" spans="1:40" ht="14.25">
      <c r="A83" s="1048" t="s">
        <v>1025</v>
      </c>
      <c r="B83" s="2259">
        <f>估价对象房地状况!G22</f>
        <v>0</v>
      </c>
      <c r="C83" s="1035"/>
      <c r="D83" s="2268">
        <f t="shared" si="26"/>
        <v>0</v>
      </c>
      <c r="E83" s="2296"/>
      <c r="F83" s="2297"/>
      <c r="G83" s="2266"/>
      <c r="H83" s="2311" t="str">
        <f t="shared" si="27"/>
        <v>——</v>
      </c>
      <c r="I83" s="2286">
        <v>0.04</v>
      </c>
      <c r="J83" s="2289">
        <f t="shared" si="28"/>
        <v>0</v>
      </c>
      <c r="K83" s="2289">
        <f t="shared" si="29"/>
        <v>0</v>
      </c>
      <c r="L83" s="2289">
        <v>0</v>
      </c>
      <c r="M83" s="2289">
        <f t="shared" si="30"/>
        <v>0</v>
      </c>
      <c r="N83" s="2289">
        <f t="shared" si="30"/>
        <v>0</v>
      </c>
      <c r="AC83" s="1351"/>
      <c r="AD83" s="1350"/>
      <c r="AJ83" s="1349"/>
      <c r="AN83" s="1350"/>
    </row>
    <row r="84" spans="1:40" ht="24">
      <c r="A84" s="1048" t="s">
        <v>1017</v>
      </c>
      <c r="B84" s="2260" t="str">
        <f>估价对象房地状况!G19</f>
        <v>估价对象所在区域公共配套设施齐备情况</v>
      </c>
      <c r="C84" s="1035"/>
      <c r="D84" s="2268">
        <f t="shared" si="26"/>
        <v>0</v>
      </c>
      <c r="E84" s="2296"/>
      <c r="F84" s="2297"/>
      <c r="G84" s="2266"/>
      <c r="H84" s="2311" t="str">
        <f t="shared" si="27"/>
        <v>——</v>
      </c>
      <c r="I84" s="2286">
        <v>0.06</v>
      </c>
      <c r="J84" s="2289">
        <f t="shared" si="28"/>
        <v>0</v>
      </c>
      <c r="K84" s="2289">
        <f t="shared" si="29"/>
        <v>0</v>
      </c>
      <c r="L84" s="2289">
        <v>0</v>
      </c>
      <c r="M84" s="2289">
        <f t="shared" si="30"/>
        <v>0</v>
      </c>
      <c r="N84" s="2289">
        <f t="shared" si="30"/>
        <v>0</v>
      </c>
      <c r="AC84" s="1351"/>
      <c r="AD84" s="1350"/>
      <c r="AJ84" s="1349"/>
      <c r="AN84" s="1350"/>
    </row>
    <row r="85" spans="1:40" ht="24">
      <c r="A85" s="1048" t="s">
        <v>1018</v>
      </c>
      <c r="B85" s="2260" t="str">
        <f>估价对象房地状况!G20</f>
        <v>估价对象所在区域基础设施水平</v>
      </c>
      <c r="C85" s="1035"/>
      <c r="D85" s="2268">
        <f t="shared" si="26"/>
        <v>0</v>
      </c>
      <c r="E85" s="2296"/>
      <c r="F85" s="2297"/>
      <c r="G85" s="2266"/>
      <c r="H85" s="2311" t="str">
        <f t="shared" si="27"/>
        <v>——</v>
      </c>
      <c r="I85" s="2286">
        <v>0.15</v>
      </c>
      <c r="J85" s="2289">
        <f t="shared" si="28"/>
        <v>0</v>
      </c>
      <c r="K85" s="2289">
        <f t="shared" si="29"/>
        <v>0</v>
      </c>
      <c r="L85" s="2289">
        <v>0</v>
      </c>
      <c r="M85" s="2289">
        <f t="shared" si="30"/>
        <v>0</v>
      </c>
      <c r="N85" s="2289">
        <f t="shared" si="30"/>
        <v>0</v>
      </c>
      <c r="AC85" s="1351"/>
      <c r="AD85" s="1350"/>
      <c r="AJ85" s="1349"/>
      <c r="AN85" s="1350"/>
    </row>
    <row r="86" spans="1:40" ht="24">
      <c r="A86" s="1048" t="s">
        <v>1016</v>
      </c>
      <c r="B86" s="2778" t="s">
        <v>2900</v>
      </c>
      <c r="C86" s="1035"/>
      <c r="D86" s="2268">
        <f t="shared" si="26"/>
        <v>0</v>
      </c>
      <c r="E86" s="2296"/>
      <c r="F86" s="2297"/>
      <c r="G86" s="2266"/>
      <c r="H86" s="2311" t="str">
        <f t="shared" si="27"/>
        <v>——</v>
      </c>
      <c r="I86" s="2286">
        <v>0.05</v>
      </c>
      <c r="J86" s="2289">
        <f t="shared" si="28"/>
        <v>0</v>
      </c>
      <c r="K86" s="2289">
        <f t="shared" si="29"/>
        <v>0</v>
      </c>
      <c r="L86" s="2289">
        <v>0</v>
      </c>
      <c r="M86" s="2289">
        <f t="shared" si="30"/>
        <v>0</v>
      </c>
      <c r="N86" s="2289">
        <f t="shared" si="30"/>
        <v>0</v>
      </c>
      <c r="AC86" s="1351"/>
      <c r="AD86" s="1350"/>
      <c r="AJ86" s="1349"/>
      <c r="AN86" s="1350"/>
    </row>
    <row r="87" spans="1:40" ht="36.75" thickBot="1">
      <c r="A87" s="2292" t="s">
        <v>1029</v>
      </c>
      <c r="B87" s="2261" t="str">
        <f>估价对象房地状况!G18</f>
        <v>该园区内是否有污染型企业，绿化情况，卫生条件，整体环境状况判断</v>
      </c>
      <c r="C87" s="1035"/>
      <c r="D87" s="2268">
        <f t="shared" si="26"/>
        <v>0</v>
      </c>
      <c r="E87" s="2298"/>
      <c r="F87" s="2297"/>
      <c r="G87" s="2266"/>
      <c r="H87" s="2311" t="str">
        <f t="shared" si="27"/>
        <v>——</v>
      </c>
      <c r="I87" s="2293">
        <v>0.06</v>
      </c>
      <c r="J87" s="2289">
        <f t="shared" si="28"/>
        <v>0</v>
      </c>
      <c r="K87" s="2289">
        <f t="shared" si="29"/>
        <v>0</v>
      </c>
      <c r="L87" s="2289">
        <v>0</v>
      </c>
      <c r="M87" s="2289">
        <f t="shared" si="30"/>
        <v>0</v>
      </c>
      <c r="N87" s="2289">
        <f t="shared" si="30"/>
        <v>0</v>
      </c>
      <c r="AC87" s="1351"/>
      <c r="AD87" s="1350"/>
      <c r="AJ87" s="1349"/>
      <c r="AN87" s="1350"/>
    </row>
    <row r="90" spans="1:40">
      <c r="A90" s="3767" t="s">
        <v>1624</v>
      </c>
      <c r="B90" s="3767"/>
      <c r="C90" s="3767"/>
      <c r="D90" s="3767"/>
      <c r="E90" s="3767"/>
      <c r="F90" s="3767"/>
      <c r="G90" s="3767"/>
      <c r="H90" s="3767"/>
      <c r="I90" s="3767"/>
      <c r="J90" s="3767"/>
      <c r="K90" s="2301"/>
      <c r="L90" s="2301"/>
      <c r="M90" s="2301"/>
      <c r="N90" s="2301"/>
    </row>
    <row r="91" spans="1:40">
      <c r="A91" s="3768" t="s">
        <v>1434</v>
      </c>
      <c r="B91" s="3768" t="s">
        <v>1625</v>
      </c>
      <c r="C91" s="1121" t="s">
        <v>1626</v>
      </c>
      <c r="D91" s="1122"/>
      <c r="E91" s="1122"/>
      <c r="F91" s="1122"/>
      <c r="G91" s="1122"/>
      <c r="H91" s="1122"/>
      <c r="I91" s="1122"/>
      <c r="J91" s="1123"/>
      <c r="K91" s="1115"/>
      <c r="L91" s="1115"/>
      <c r="M91" s="1115"/>
      <c r="N91" s="1115"/>
    </row>
    <row r="92" spans="1:40">
      <c r="A92" s="3768"/>
      <c r="B92" s="3768"/>
      <c r="C92" s="2300" t="s">
        <v>898</v>
      </c>
      <c r="D92" s="2300" t="s">
        <v>876</v>
      </c>
      <c r="E92" s="2300" t="s">
        <v>877</v>
      </c>
      <c r="F92" s="2300" t="s">
        <v>901</v>
      </c>
      <c r="G92" s="2300" t="s">
        <v>879</v>
      </c>
      <c r="H92" s="2300" t="s">
        <v>880</v>
      </c>
      <c r="I92" s="2300" t="s">
        <v>881</v>
      </c>
      <c r="J92" s="2300" t="s">
        <v>882</v>
      </c>
      <c r="K92" s="2300" t="s">
        <v>906</v>
      </c>
      <c r="L92" s="2300" t="s">
        <v>884</v>
      </c>
      <c r="M92" s="2300" t="s">
        <v>885</v>
      </c>
      <c r="N92" s="2300" t="s">
        <v>909</v>
      </c>
    </row>
    <row r="93" spans="1:40">
      <c r="A93" s="3758"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5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5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5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5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5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59"/>
      <c r="B99" s="1124" t="s">
        <v>1627</v>
      </c>
      <c r="C99" s="1126">
        <f>$I$3</f>
        <v>7</v>
      </c>
      <c r="D99" s="1126">
        <f t="shared" ref="D99:N99" si="31">$I$3</f>
        <v>7</v>
      </c>
      <c r="E99" s="1126">
        <f t="shared" si="31"/>
        <v>7</v>
      </c>
      <c r="F99" s="1126">
        <f t="shared" si="31"/>
        <v>7</v>
      </c>
      <c r="G99" s="1126">
        <f t="shared" si="31"/>
        <v>7</v>
      </c>
      <c r="H99" s="1126">
        <f t="shared" si="31"/>
        <v>7</v>
      </c>
      <c r="I99" s="1126">
        <f t="shared" si="31"/>
        <v>7</v>
      </c>
      <c r="J99" s="1126">
        <f t="shared" si="31"/>
        <v>7</v>
      </c>
      <c r="K99" s="1126">
        <f t="shared" si="31"/>
        <v>7</v>
      </c>
      <c r="L99" s="1126">
        <f t="shared" si="31"/>
        <v>7</v>
      </c>
      <c r="M99" s="1126">
        <f t="shared" si="31"/>
        <v>7</v>
      </c>
      <c r="N99" s="1126">
        <f t="shared" si="31"/>
        <v>7</v>
      </c>
    </row>
    <row r="100" spans="1:14">
      <c r="A100" s="3760"/>
      <c r="B100" s="1124">
        <v>7</v>
      </c>
      <c r="C100" s="1127">
        <f>(-0.163*(C99^2)-0.59*C99+7617)*(10^(-4))</f>
        <v>0.76048830000000001</v>
      </c>
      <c r="D100" s="1127">
        <f>(-0.163*(D99^2)-0.59*D99+7617)*(10^(-4))</f>
        <v>0.76048830000000001</v>
      </c>
      <c r="E100" s="1127">
        <f>(-0.161*(E99^2)-7.509*E99+6533)*(10^(-4))</f>
        <v>0.64725480000000002</v>
      </c>
      <c r="F100" s="1127">
        <f>(-0.161*(F99^2)-7.509*F99+6533)*(10^(-4))</f>
        <v>0.64725480000000002</v>
      </c>
      <c r="G100" s="1127">
        <f>(-0.161*(G99^2)-7.509*G99+6533)*(10^(-4))</f>
        <v>0.64725480000000002</v>
      </c>
      <c r="H100" s="1127">
        <f>(-0.161*(H99^2)-7.509*H99+6533)*(10^(-4))</f>
        <v>0.64725480000000002</v>
      </c>
      <c r="I100" s="1127">
        <f>(-0.161*(I99^2)-7.509*I99+6533)*(10^(-4))</f>
        <v>0.64725480000000002</v>
      </c>
      <c r="J100" s="1127">
        <f>(-0.214*(J99^2)-21.991*J99+4665)*(10^(-4))</f>
        <v>0.45005770000000006</v>
      </c>
      <c r="K100" s="1127">
        <f>(-0.214*(K99^2)-21.991*K99+4665)*(10^(-4))</f>
        <v>0.45005770000000006</v>
      </c>
      <c r="L100" s="1127">
        <f>(-0.214*(L99^2)-21.991*L99+4665)*(10^(-4))</f>
        <v>0.45005770000000006</v>
      </c>
      <c r="M100" s="1127">
        <f>(-0.214*(M99^2)-21.991*M99+4665)*(10^(-4))</f>
        <v>0.45005770000000006</v>
      </c>
      <c r="N100" s="1127">
        <f>(-0.214*(N99^2)-21.991*N99+4665)*(10^(-4))</f>
        <v>0.45005770000000006</v>
      </c>
    </row>
    <row r="101" spans="1:14">
      <c r="A101" s="3758" t="s">
        <v>1628</v>
      </c>
      <c r="B101" s="1128" t="s">
        <v>897</v>
      </c>
      <c r="C101" s="1129">
        <f>$G$3</f>
        <v>1.1000000000000001</v>
      </c>
      <c r="D101" s="1129">
        <f t="shared" ref="D101:N101" si="32">$G$3</f>
        <v>1.1000000000000001</v>
      </c>
      <c r="E101" s="1129">
        <f t="shared" si="32"/>
        <v>1.1000000000000001</v>
      </c>
      <c r="F101" s="1129">
        <f t="shared" si="32"/>
        <v>1.1000000000000001</v>
      </c>
      <c r="G101" s="1129">
        <f t="shared" si="32"/>
        <v>1.1000000000000001</v>
      </c>
      <c r="H101" s="1129">
        <f t="shared" si="32"/>
        <v>1.1000000000000001</v>
      </c>
      <c r="I101" s="1129">
        <f t="shared" si="32"/>
        <v>1.1000000000000001</v>
      </c>
      <c r="J101" s="1129">
        <f t="shared" si="32"/>
        <v>1.1000000000000001</v>
      </c>
      <c r="K101" s="1129">
        <f t="shared" si="32"/>
        <v>1.1000000000000001</v>
      </c>
      <c r="L101" s="1129">
        <f t="shared" si="32"/>
        <v>1.1000000000000001</v>
      </c>
      <c r="M101" s="1129">
        <f t="shared" si="32"/>
        <v>1.1000000000000001</v>
      </c>
      <c r="N101" s="1129">
        <f t="shared" si="32"/>
        <v>1.1000000000000001</v>
      </c>
    </row>
    <row r="102" spans="1:14">
      <c r="A102" s="3759"/>
      <c r="B102" s="1124">
        <v>1</v>
      </c>
      <c r="C102" s="1125">
        <f>1.9362/C101</f>
        <v>1.7601818181818181</v>
      </c>
      <c r="D102" s="1125">
        <f>1.9362/D101</f>
        <v>1.7601818181818181</v>
      </c>
      <c r="E102" s="1125">
        <f>1.8629/E101</f>
        <v>1.6935454545454545</v>
      </c>
      <c r="F102" s="1125">
        <f>1.8629/F101</f>
        <v>1.6935454545454545</v>
      </c>
      <c r="G102" s="1125">
        <f>1.8629/G101</f>
        <v>1.6935454545454545</v>
      </c>
      <c r="H102" s="1125">
        <f>1.8629/H101</f>
        <v>1.6935454545454545</v>
      </c>
      <c r="I102" s="1125">
        <f>1.8629/I101</f>
        <v>1.6935454545454545</v>
      </c>
      <c r="J102" s="1125">
        <f>1.942/J101</f>
        <v>1.7654545454545452</v>
      </c>
      <c r="K102" s="1125">
        <f>1.942/K101</f>
        <v>1.7654545454545452</v>
      </c>
      <c r="L102" s="1125">
        <f>1.942/L101</f>
        <v>1.7654545454545452</v>
      </c>
      <c r="M102" s="1125">
        <f>1.942/M101</f>
        <v>1.7654545454545452</v>
      </c>
      <c r="N102" s="1125">
        <f>1.942/N101</f>
        <v>1.7654545454545452</v>
      </c>
    </row>
    <row r="103" spans="1:14">
      <c r="A103" s="3759"/>
      <c r="B103" s="1124">
        <v>2</v>
      </c>
      <c r="C103" s="1125">
        <f>1.4198/C101</f>
        <v>1.2907272727272725</v>
      </c>
      <c r="D103" s="1125">
        <f>1.4198/D101</f>
        <v>1.2907272727272725</v>
      </c>
      <c r="E103" s="1125">
        <f>1.3372/E101</f>
        <v>1.2156363636363634</v>
      </c>
      <c r="F103" s="1125">
        <f>1.3372/F101</f>
        <v>1.2156363636363634</v>
      </c>
      <c r="G103" s="1125">
        <f>1.3372/G101</f>
        <v>1.2156363636363634</v>
      </c>
      <c r="H103" s="1125">
        <f>1.3372/H101</f>
        <v>1.2156363636363634</v>
      </c>
      <c r="I103" s="1125">
        <f>1.3372/I101</f>
        <v>1.2156363636363634</v>
      </c>
      <c r="J103" s="1125">
        <f>1.2799/J101</f>
        <v>1.1635454545454544</v>
      </c>
      <c r="K103" s="1125">
        <f>1.2799/K101</f>
        <v>1.1635454545454544</v>
      </c>
      <c r="L103" s="1125">
        <f>1.2799/L101</f>
        <v>1.1635454545454544</v>
      </c>
      <c r="M103" s="1125">
        <f>1.2799/M101</f>
        <v>1.1635454545454544</v>
      </c>
      <c r="N103" s="1125">
        <f>1.2799/N101</f>
        <v>1.1635454545454544</v>
      </c>
    </row>
    <row r="104" spans="1:14">
      <c r="A104" s="3759"/>
      <c r="B104" s="1124">
        <v>3</v>
      </c>
      <c r="C104" s="1125">
        <f>1.1594/C101</f>
        <v>1.0539999999999998</v>
      </c>
      <c r="D104" s="1125">
        <f>1.1594/D101</f>
        <v>1.0539999999999998</v>
      </c>
      <c r="E104" s="1125">
        <f>1.0788/E101</f>
        <v>0.98072727272727267</v>
      </c>
      <c r="F104" s="1125">
        <f>1.0788/F101</f>
        <v>0.98072727272727267</v>
      </c>
      <c r="G104" s="1125">
        <f>1.0788/G101</f>
        <v>0.98072727272727267</v>
      </c>
      <c r="H104" s="1125">
        <f>1.0788/H101</f>
        <v>0.98072727272727267</v>
      </c>
      <c r="I104" s="1125">
        <f>1.0788/I101</f>
        <v>0.98072727272727267</v>
      </c>
      <c r="J104" s="1125">
        <f>1.0072/J101</f>
        <v>0.91563636363636369</v>
      </c>
      <c r="K104" s="1125">
        <f>1.0072/K101</f>
        <v>0.91563636363636369</v>
      </c>
      <c r="L104" s="1125">
        <f>1.0072/L101</f>
        <v>0.91563636363636369</v>
      </c>
      <c r="M104" s="1125">
        <f>1.0072/M101</f>
        <v>0.91563636363636369</v>
      </c>
      <c r="N104" s="1125">
        <f>1.0072/N101</f>
        <v>0.91563636363636369</v>
      </c>
    </row>
    <row r="105" spans="1:14">
      <c r="A105" s="3759"/>
      <c r="B105" s="1124">
        <v>4</v>
      </c>
      <c r="C105" s="1125">
        <f>0.9622/C101</f>
        <v>0.87472727272727269</v>
      </c>
      <c r="D105" s="1125">
        <f>0.9622/D101</f>
        <v>0.87472727272727269</v>
      </c>
      <c r="E105" s="1125">
        <f>0.8656/E101</f>
        <v>0.78690909090909089</v>
      </c>
      <c r="F105" s="1125">
        <f>0.8656/F101</f>
        <v>0.78690909090909089</v>
      </c>
      <c r="G105" s="1125">
        <f>0.8656/G101</f>
        <v>0.78690909090909089</v>
      </c>
      <c r="H105" s="1125">
        <f>0.8656/H101</f>
        <v>0.78690909090909089</v>
      </c>
      <c r="I105" s="1125">
        <f>0.8656/I101</f>
        <v>0.78690909090909089</v>
      </c>
      <c r="J105" s="1125">
        <f>0.7525/J101</f>
        <v>0.68409090909090897</v>
      </c>
      <c r="K105" s="1125">
        <f>0.7525/K101</f>
        <v>0.68409090909090897</v>
      </c>
      <c r="L105" s="1125">
        <f>0.7525/L101</f>
        <v>0.68409090909090897</v>
      </c>
      <c r="M105" s="1125">
        <f>0.7525/M101</f>
        <v>0.68409090909090897</v>
      </c>
      <c r="N105" s="1125">
        <f>0.7525/N101</f>
        <v>0.68409090909090897</v>
      </c>
    </row>
    <row r="106" spans="1:14">
      <c r="A106" s="3759"/>
      <c r="B106" s="1124">
        <v>5</v>
      </c>
      <c r="C106" s="1125">
        <f>0.8417/C101</f>
        <v>0.76518181818181807</v>
      </c>
      <c r="D106" s="1125">
        <f>0.8417/D101</f>
        <v>0.76518181818181807</v>
      </c>
      <c r="E106" s="1125">
        <f>0.7371/E101</f>
        <v>0.67009090909090907</v>
      </c>
      <c r="F106" s="1125">
        <f>0.7371/F101</f>
        <v>0.67009090909090907</v>
      </c>
      <c r="G106" s="1125">
        <f>0.7371/G101</f>
        <v>0.67009090909090907</v>
      </c>
      <c r="H106" s="1125">
        <f>0.7371/H101</f>
        <v>0.67009090909090907</v>
      </c>
      <c r="I106" s="1125">
        <f>0.7371/I101</f>
        <v>0.67009090909090907</v>
      </c>
      <c r="J106" s="1125">
        <f>0.5659/J101</f>
        <v>0.51445454545454539</v>
      </c>
      <c r="K106" s="1125">
        <f>0.5659/K101</f>
        <v>0.51445454545454539</v>
      </c>
      <c r="L106" s="1125">
        <f>0.5659/L101</f>
        <v>0.51445454545454539</v>
      </c>
      <c r="M106" s="1125">
        <f>0.5659/M101</f>
        <v>0.51445454545454539</v>
      </c>
      <c r="N106" s="1125">
        <f>0.5659/N101</f>
        <v>0.51445454545454539</v>
      </c>
    </row>
    <row r="107" spans="1:14">
      <c r="A107" s="3759"/>
      <c r="B107" s="1124">
        <v>6</v>
      </c>
      <c r="C107" s="1125">
        <f>0.7608/C101</f>
        <v>0.6916363636363636</v>
      </c>
      <c r="D107" s="1125">
        <f>0.7608/D101</f>
        <v>0.6916363636363636</v>
      </c>
      <c r="E107" s="1125">
        <f>0.6482/E101</f>
        <v>0.58927272727272717</v>
      </c>
      <c r="F107" s="1125">
        <f>0.6482/F101</f>
        <v>0.58927272727272717</v>
      </c>
      <c r="G107" s="1125">
        <f>0.6482/G101</f>
        <v>0.58927272727272717</v>
      </c>
      <c r="H107" s="1125">
        <f>0.6482/H101</f>
        <v>0.58927272727272717</v>
      </c>
      <c r="I107" s="1125">
        <f>0.6482/I101</f>
        <v>0.58927272727272717</v>
      </c>
      <c r="J107" s="1125">
        <f>0.4525/J101</f>
        <v>0.41136363636363632</v>
      </c>
      <c r="K107" s="1125">
        <f>0.4525/K101</f>
        <v>0.41136363636363632</v>
      </c>
      <c r="L107" s="1125">
        <f>0.4525/L101</f>
        <v>0.41136363636363632</v>
      </c>
      <c r="M107" s="1125">
        <f>0.4525/M101</f>
        <v>0.41136363636363632</v>
      </c>
      <c r="N107" s="1125">
        <f>0.4525/N101</f>
        <v>0.41136363636363632</v>
      </c>
    </row>
    <row r="108" spans="1:14">
      <c r="A108" s="3759"/>
      <c r="B108" s="3761" t="s">
        <v>1629</v>
      </c>
      <c r="C108" s="1126">
        <f>C99</f>
        <v>7</v>
      </c>
      <c r="D108" s="1126">
        <f t="shared" ref="D108:N108" si="33">D99</f>
        <v>7</v>
      </c>
      <c r="E108" s="1126">
        <f t="shared" si="33"/>
        <v>7</v>
      </c>
      <c r="F108" s="1126">
        <f t="shared" si="33"/>
        <v>7</v>
      </c>
      <c r="G108" s="1126">
        <f t="shared" si="33"/>
        <v>7</v>
      </c>
      <c r="H108" s="1126">
        <f t="shared" si="33"/>
        <v>7</v>
      </c>
      <c r="I108" s="1126">
        <f t="shared" si="33"/>
        <v>7</v>
      </c>
      <c r="J108" s="1126">
        <f t="shared" si="33"/>
        <v>7</v>
      </c>
      <c r="K108" s="1126">
        <f t="shared" si="33"/>
        <v>7</v>
      </c>
      <c r="L108" s="1126">
        <f t="shared" si="33"/>
        <v>7</v>
      </c>
      <c r="M108" s="1126">
        <f t="shared" si="33"/>
        <v>7</v>
      </c>
      <c r="N108" s="1126">
        <f t="shared" si="33"/>
        <v>7</v>
      </c>
    </row>
    <row r="109" spans="1:14">
      <c r="A109" s="3760"/>
      <c r="B109" s="3762"/>
      <c r="C109" s="1127">
        <f>(-0.163*(C108^2)-0.59*C108+7617)*(10^(-4))/C101</f>
        <v>0.691353</v>
      </c>
      <c r="D109" s="1127">
        <f>(-0.163*(D108^2)-0.59*D108+7617)*(10^(-4))/D101</f>
        <v>0.691353</v>
      </c>
      <c r="E109" s="1127">
        <f>(-0.161*(E108^2)-7.509*E108+6533)*(10^(-4))/E101</f>
        <v>0.58841345454545446</v>
      </c>
      <c r="F109" s="1127">
        <f>(-0.161*(F108^2)-7.509*F108+6533)*(10^(-4))/F101</f>
        <v>0.58841345454545446</v>
      </c>
      <c r="G109" s="1127">
        <f>(-0.161*(G108^2)-7.509*G108+6533)*(10^(-4))/G101</f>
        <v>0.58841345454545446</v>
      </c>
      <c r="H109" s="1127">
        <f>(-0.161*(H108^2)-7.509*H108+6533)*(10^(-4))/H101</f>
        <v>0.58841345454545446</v>
      </c>
      <c r="I109" s="1127">
        <f>(-0.161*(I108^2)-7.509*I108+6533)*(10^(-4))/I101</f>
        <v>0.58841345454545446</v>
      </c>
      <c r="J109" s="1127">
        <f>(-0.214*(J108^2)-21.991*J108+4665)*(10^(-4))/J101</f>
        <v>0.40914336363636367</v>
      </c>
      <c r="K109" s="1127">
        <f>(-0.214*(K108^2)-21.991*K108+4665)*(10^(-4))/K101</f>
        <v>0.40914336363636367</v>
      </c>
      <c r="L109" s="1127">
        <f>(-0.214*(L108^2)-21.991*L108+4665)*(10^(-4))/L101</f>
        <v>0.40914336363636367</v>
      </c>
      <c r="M109" s="1127">
        <f>(-0.214*(M108^2)-21.991*M108+4665)*(10^(-4))/M101</f>
        <v>0.40914336363636367</v>
      </c>
      <c r="N109" s="1127">
        <f>(-0.214*(N108^2)-21.991*N108+4665)*(10^(-4))/N101</f>
        <v>0.40914336363636367</v>
      </c>
    </row>
    <row r="110" spans="1:14">
      <c r="A110" s="3763" t="s">
        <v>1630</v>
      </c>
      <c r="B110" s="3763"/>
      <c r="C110" s="3763"/>
      <c r="D110" s="3763"/>
      <c r="E110" s="3763"/>
      <c r="F110" s="3763"/>
      <c r="G110" s="3763"/>
      <c r="H110" s="3763"/>
      <c r="I110" s="3763"/>
      <c r="J110" s="3763"/>
      <c r="K110" s="2299"/>
      <c r="L110" s="2299"/>
      <c r="M110" s="2299"/>
      <c r="N110" s="2299"/>
    </row>
    <row r="112" spans="1:14" ht="12.75" thickBot="1"/>
    <row r="113" spans="1:13" ht="15" thickBot="1">
      <c r="A113" s="1001" t="s">
        <v>887</v>
      </c>
      <c r="B113" s="2302">
        <f>G3</f>
        <v>1.1000000000000001</v>
      </c>
      <c r="C113" s="1002" t="s">
        <v>888</v>
      </c>
      <c r="D113" s="1003">
        <f>SUMPRODUCT((A115:A118=F113)*(B114:M114=H113)*B115:M118)</f>
        <v>0.82110000000000005</v>
      </c>
      <c r="E113" s="1004" t="s">
        <v>889</v>
      </c>
      <c r="F113" s="1005" t="str">
        <f>E2</f>
        <v>商业</v>
      </c>
      <c r="G113" s="1004" t="s">
        <v>890</v>
      </c>
      <c r="H113" s="1005" t="str">
        <f>G2</f>
        <v>五级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0.92320000000000002</v>
      </c>
      <c r="C115" s="1015">
        <f>B115</f>
        <v>0.92320000000000002</v>
      </c>
      <c r="D115" s="1015">
        <f>ROUND(0.8331-0.0109*B113,4)</f>
        <v>0.82110000000000005</v>
      </c>
      <c r="E115" s="1015">
        <f>D115</f>
        <v>0.82110000000000005</v>
      </c>
      <c r="F115" s="1015">
        <f>E115</f>
        <v>0.82110000000000005</v>
      </c>
      <c r="G115" s="1015">
        <f>F115</f>
        <v>0.82110000000000005</v>
      </c>
      <c r="H115" s="1015">
        <f>G115</f>
        <v>0.82110000000000005</v>
      </c>
      <c r="I115" s="1015">
        <f>ROUND(0.689-0.0155*B113,4)</f>
        <v>0.67200000000000004</v>
      </c>
      <c r="J115" s="1015">
        <f t="shared" ref="J115:M118" si="34">I115</f>
        <v>0.67200000000000004</v>
      </c>
      <c r="K115" s="1015">
        <f t="shared" si="34"/>
        <v>0.67200000000000004</v>
      </c>
      <c r="L115" s="1015">
        <f t="shared" si="34"/>
        <v>0.67200000000000004</v>
      </c>
      <c r="M115" s="1016">
        <f t="shared" si="34"/>
        <v>0.67200000000000004</v>
      </c>
    </row>
    <row r="116" spans="1:13" ht="12.75">
      <c r="A116" s="1014" t="s">
        <v>892</v>
      </c>
      <c r="B116" s="1015">
        <f>ROUND(0.949-0.012*B113,4)</f>
        <v>0.93579999999999997</v>
      </c>
      <c r="C116" s="1015">
        <f>B116</f>
        <v>0.93579999999999997</v>
      </c>
      <c r="D116" s="1015">
        <f>ROUND(0.8567-0.013*B113,4)</f>
        <v>0.84240000000000004</v>
      </c>
      <c r="E116" s="1015">
        <f t="shared" ref="E116:H117" si="35">D116</f>
        <v>0.84240000000000004</v>
      </c>
      <c r="F116" s="1015">
        <f t="shared" si="35"/>
        <v>0.84240000000000004</v>
      </c>
      <c r="G116" s="1015">
        <f t="shared" si="35"/>
        <v>0.84240000000000004</v>
      </c>
      <c r="H116" s="1015">
        <f t="shared" si="35"/>
        <v>0.84240000000000004</v>
      </c>
      <c r="I116" s="1015">
        <f>ROUND(0.7694-0.014*B113,4)</f>
        <v>0.754</v>
      </c>
      <c r="J116" s="1015">
        <f t="shared" si="34"/>
        <v>0.754</v>
      </c>
      <c r="K116" s="1015">
        <f t="shared" si="34"/>
        <v>0.754</v>
      </c>
      <c r="L116" s="1015">
        <f t="shared" si="34"/>
        <v>0.754</v>
      </c>
      <c r="M116" s="1016">
        <f t="shared" si="34"/>
        <v>0.754</v>
      </c>
    </row>
    <row r="117" spans="1:13" ht="12.75">
      <c r="A117" s="1017" t="s">
        <v>893</v>
      </c>
      <c r="B117" s="1015">
        <f>ROUND(0.8808-0.006*B113,4)</f>
        <v>0.87419999999999998</v>
      </c>
      <c r="C117" s="1015">
        <f>B117</f>
        <v>0.87419999999999998</v>
      </c>
      <c r="D117" s="1015">
        <f>ROUND(0.8748-0.008*B113,4)</f>
        <v>0.86599999999999999</v>
      </c>
      <c r="E117" s="1015">
        <f t="shared" si="35"/>
        <v>0.86599999999999999</v>
      </c>
      <c r="F117" s="1015">
        <f t="shared" si="35"/>
        <v>0.86599999999999999</v>
      </c>
      <c r="G117" s="1015">
        <f t="shared" si="35"/>
        <v>0.86599999999999999</v>
      </c>
      <c r="H117" s="1015">
        <f t="shared" si="35"/>
        <v>0.86599999999999999</v>
      </c>
      <c r="I117" s="1015">
        <f>ROUND(0.7412-0.0095*B113,4)</f>
        <v>0.73080000000000001</v>
      </c>
      <c r="J117" s="1015">
        <f t="shared" si="34"/>
        <v>0.73080000000000001</v>
      </c>
      <c r="K117" s="1015">
        <f t="shared" si="34"/>
        <v>0.73080000000000001</v>
      </c>
      <c r="L117" s="1015">
        <f t="shared" si="34"/>
        <v>0.73080000000000001</v>
      </c>
      <c r="M117" s="1016">
        <f t="shared" si="34"/>
        <v>0.73080000000000001</v>
      </c>
    </row>
    <row r="118" spans="1:13" ht="13.5" thickBot="1">
      <c r="A118" s="1018" t="s">
        <v>894</v>
      </c>
      <c r="B118" s="1019">
        <f>ROUND(0.7275-0.01*B113,4)</f>
        <v>0.71650000000000003</v>
      </c>
      <c r="C118" s="1019">
        <f>B118</f>
        <v>0.71650000000000003</v>
      </c>
      <c r="D118" s="1019">
        <f>ROUND(0.7043-0.012*B113,4)</f>
        <v>0.69110000000000005</v>
      </c>
      <c r="E118" s="1019">
        <f>D118</f>
        <v>0.69110000000000005</v>
      </c>
      <c r="F118" s="1019">
        <f>E118</f>
        <v>0.69110000000000005</v>
      </c>
      <c r="G118" s="1019">
        <f>ROUND(0.6299-0.0122*B113,4)</f>
        <v>0.61650000000000005</v>
      </c>
      <c r="H118" s="1019">
        <f>G118</f>
        <v>0.61650000000000005</v>
      </c>
      <c r="I118" s="1019">
        <f>ROUND(0.5667-0.0136*B113,4)</f>
        <v>0.55169999999999997</v>
      </c>
      <c r="J118" s="1019">
        <f t="shared" si="34"/>
        <v>0.55169999999999997</v>
      </c>
      <c r="K118" s="1019">
        <f t="shared" si="34"/>
        <v>0.55169999999999997</v>
      </c>
      <c r="L118" s="1019">
        <f t="shared" si="34"/>
        <v>0.55169999999999997</v>
      </c>
      <c r="M118" s="1020">
        <f t="shared" si="34"/>
        <v>0.55169999999999997</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9" t="s">
        <v>2947</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 t="shared" ref="J15:M15" si="1">SUM(J6:J10,J13)</f>
        <v>155</v>
      </c>
      <c r="K15" s="2785">
        <f t="shared" si="1"/>
        <v>155</v>
      </c>
      <c r="L15" s="2785">
        <f t="shared" si="1"/>
        <v>155</v>
      </c>
      <c r="M15" s="2785">
        <f t="shared" si="1"/>
        <v>155</v>
      </c>
    </row>
    <row r="16" spans="1:13" ht="19.5" customHeight="1">
      <c r="A16" s="1107" t="s">
        <v>1433</v>
      </c>
      <c r="B16" s="1107"/>
      <c r="C16" s="1108"/>
      <c r="D16" s="1108"/>
      <c r="E16" s="1107"/>
      <c r="F16" s="1108"/>
      <c r="G16" s="1108"/>
    </row>
    <row r="17" spans="1:9" ht="19.5" customHeight="1">
      <c r="A17" s="1049" t="s">
        <v>1434</v>
      </c>
      <c r="B17" s="1109" t="s">
        <v>1435</v>
      </c>
      <c r="C17" s="1109" t="s">
        <v>1633</v>
      </c>
      <c r="D17" s="1110"/>
      <c r="E17" s="1049" t="s">
        <v>1436</v>
      </c>
      <c r="F17" s="1111"/>
      <c r="G17" s="1111"/>
    </row>
    <row r="18" spans="1:9" s="1526" customFormat="1" ht="19.5" customHeight="1">
      <c r="A18" s="3768" t="s">
        <v>998</v>
      </c>
      <c r="B18" s="1135" t="s">
        <v>1437</v>
      </c>
      <c r="C18" s="1112" t="s">
        <v>1438</v>
      </c>
      <c r="D18" s="1113"/>
      <c r="E18" s="1135">
        <v>1</v>
      </c>
      <c r="F18" s="1114" t="s">
        <v>1439</v>
      </c>
      <c r="G18" s="1115"/>
      <c r="H18" s="1086"/>
      <c r="I18" s="1086"/>
    </row>
    <row r="19" spans="1:9" s="1526" customFormat="1" ht="19.5" customHeight="1">
      <c r="A19" s="3768"/>
      <c r="B19" s="3768" t="s">
        <v>1440</v>
      </c>
      <c r="C19" s="1112" t="s">
        <v>1441</v>
      </c>
      <c r="D19" s="1113"/>
      <c r="E19" s="1135">
        <v>0.9</v>
      </c>
      <c r="F19" s="1114" t="s">
        <v>1442</v>
      </c>
      <c r="G19" s="1115"/>
      <c r="H19" s="1086"/>
      <c r="I19" s="1086"/>
    </row>
    <row r="20" spans="1:9" s="1526" customFormat="1" ht="19.5" customHeight="1">
      <c r="A20" s="3768"/>
      <c r="B20" s="3768"/>
      <c r="C20" s="1112" t="s">
        <v>1443</v>
      </c>
      <c r="D20" s="1113"/>
      <c r="E20" s="1135">
        <v>1.1000000000000001</v>
      </c>
      <c r="F20" s="1114" t="s">
        <v>1444</v>
      </c>
      <c r="G20" s="1115"/>
      <c r="H20" s="1086"/>
      <c r="I20" s="1086"/>
    </row>
    <row r="21" spans="1:9" s="1526" customFormat="1" ht="19.5" customHeight="1">
      <c r="A21" s="3768"/>
      <c r="B21" s="3768"/>
      <c r="C21" s="1112" t="s">
        <v>1445</v>
      </c>
      <c r="D21" s="1113"/>
      <c r="E21" s="1135">
        <v>0.8</v>
      </c>
      <c r="F21" s="1114" t="s">
        <v>1446</v>
      </c>
      <c r="G21" s="1115"/>
      <c r="H21" s="1086"/>
      <c r="I21" s="1086"/>
    </row>
    <row r="22" spans="1:9" s="1526" customFormat="1" ht="19.5" customHeight="1">
      <c r="A22" s="3768"/>
      <c r="B22" s="3768"/>
      <c r="C22" s="1112" t="s">
        <v>1447</v>
      </c>
      <c r="D22" s="1113"/>
      <c r="E22" s="1135">
        <v>0.5</v>
      </c>
      <c r="F22" s="1114"/>
      <c r="G22" s="1115"/>
      <c r="H22" s="1086"/>
      <c r="I22" s="1086"/>
    </row>
    <row r="23" spans="1:9" s="1526" customFormat="1" ht="19.5" customHeight="1">
      <c r="A23" s="3768" t="s">
        <v>1020</v>
      </c>
      <c r="B23" s="1135" t="s">
        <v>1437</v>
      </c>
      <c r="C23" s="1112" t="s">
        <v>1448</v>
      </c>
      <c r="D23" s="1113"/>
      <c r="E23" s="1135">
        <v>1</v>
      </c>
      <c r="F23" s="1114" t="s">
        <v>1449</v>
      </c>
      <c r="G23" s="1115"/>
      <c r="H23" s="1086"/>
      <c r="I23" s="1086"/>
    </row>
    <row r="24" spans="1:9" s="1526" customFormat="1" ht="19.5" customHeight="1">
      <c r="A24" s="3768"/>
      <c r="B24" s="3768" t="s">
        <v>1440</v>
      </c>
      <c r="C24" s="1112" t="s">
        <v>1450</v>
      </c>
      <c r="D24" s="1113"/>
      <c r="E24" s="1135">
        <v>0.5</v>
      </c>
      <c r="F24" s="1114"/>
      <c r="G24" s="1115"/>
      <c r="H24" s="1086"/>
      <c r="I24" s="1086"/>
    </row>
    <row r="25" spans="1:9" s="1526" customFormat="1" ht="19.5" customHeight="1">
      <c r="A25" s="3768"/>
      <c r="B25" s="3768"/>
      <c r="C25" s="1112" t="s">
        <v>1451</v>
      </c>
      <c r="D25" s="1113"/>
      <c r="E25" s="1135">
        <v>1.1000000000000001</v>
      </c>
      <c r="F25" s="1114"/>
      <c r="G25" s="1115"/>
      <c r="H25" s="1086"/>
      <c r="I25" s="1086"/>
    </row>
    <row r="26" spans="1:9" s="1526" customFormat="1" ht="19.5" customHeight="1">
      <c r="A26" s="3768"/>
      <c r="B26" s="3768"/>
      <c r="C26" s="1112" t="s">
        <v>1452</v>
      </c>
      <c r="D26" s="1113"/>
      <c r="E26" s="1135">
        <v>1.1000000000000001</v>
      </c>
      <c r="F26" s="1114"/>
      <c r="G26" s="1115"/>
      <c r="H26" s="1086"/>
      <c r="I26" s="1086"/>
    </row>
    <row r="27" spans="1:9" s="1526" customFormat="1" ht="19.5" customHeight="1">
      <c r="A27" s="3768"/>
      <c r="B27" s="3768"/>
      <c r="C27" s="1112" t="s">
        <v>1453</v>
      </c>
      <c r="D27" s="1113"/>
      <c r="E27" s="1135">
        <v>0.9</v>
      </c>
      <c r="F27" s="1114" t="s">
        <v>1454</v>
      </c>
      <c r="G27" s="1115"/>
      <c r="H27" s="1086"/>
      <c r="I27" s="1086"/>
    </row>
    <row r="28" spans="1:9" s="1526" customFormat="1" ht="19.5" customHeight="1">
      <c r="A28" s="3768"/>
      <c r="B28" s="3768"/>
      <c r="C28" s="1112" t="s">
        <v>1455</v>
      </c>
      <c r="D28" s="1113"/>
      <c r="E28" s="1135">
        <v>0.9</v>
      </c>
      <c r="F28" s="1114" t="s">
        <v>1456</v>
      </c>
      <c r="G28" s="1115"/>
      <c r="H28" s="1086"/>
      <c r="I28" s="1086"/>
    </row>
    <row r="29" spans="1:9" s="1526" customFormat="1" ht="19.5" customHeight="1">
      <c r="A29" s="3768"/>
      <c r="B29" s="3768"/>
      <c r="C29" s="1112" t="s">
        <v>1457</v>
      </c>
      <c r="D29" s="1113"/>
      <c r="E29" s="1135">
        <v>0.9</v>
      </c>
      <c r="F29" s="1114" t="s">
        <v>1458</v>
      </c>
      <c r="G29" s="1115"/>
      <c r="H29" s="1086"/>
      <c r="I29" s="1086"/>
    </row>
    <row r="30" spans="1:9" s="1526" customFormat="1" ht="19.5" customHeight="1">
      <c r="A30" s="3768"/>
      <c r="B30" s="3768"/>
      <c r="C30" s="1112" t="s">
        <v>1459</v>
      </c>
      <c r="D30" s="1113"/>
      <c r="E30" s="1135">
        <v>0.9</v>
      </c>
      <c r="F30" s="1114" t="s">
        <v>1460</v>
      </c>
      <c r="G30" s="1115"/>
      <c r="H30" s="1086"/>
      <c r="I30" s="1086"/>
    </row>
    <row r="31" spans="1:9" s="1526" customFormat="1" ht="19.5" customHeight="1">
      <c r="A31" s="3768"/>
      <c r="B31" s="3768"/>
      <c r="C31" s="1112" t="s">
        <v>1461</v>
      </c>
      <c r="D31" s="1113"/>
      <c r="E31" s="1135">
        <v>0.8</v>
      </c>
      <c r="F31" s="1114" t="s">
        <v>1462</v>
      </c>
      <c r="G31" s="1115"/>
      <c r="H31" s="1086"/>
      <c r="I31" s="1086"/>
    </row>
    <row r="32" spans="1:9" s="1526" customFormat="1" ht="19.5" customHeight="1">
      <c r="A32" s="3768"/>
      <c r="B32" s="3768"/>
      <c r="C32" s="1112" t="s">
        <v>1463</v>
      </c>
      <c r="D32" s="1113"/>
      <c r="E32" s="1135">
        <v>0.8</v>
      </c>
      <c r="F32" s="1114" t="s">
        <v>1464</v>
      </c>
      <c r="G32" s="1115"/>
      <c r="H32" s="1086"/>
      <c r="I32" s="1086"/>
    </row>
    <row r="33" spans="1:9" s="1526" customFormat="1" ht="19.5" customHeight="1">
      <c r="A33" s="3768" t="s">
        <v>1465</v>
      </c>
      <c r="B33" s="1135" t="s">
        <v>1437</v>
      </c>
      <c r="C33" s="1112" t="s">
        <v>1466</v>
      </c>
      <c r="D33" s="1113"/>
      <c r="E33" s="1135">
        <v>1</v>
      </c>
      <c r="F33" s="1114" t="s">
        <v>1467</v>
      </c>
      <c r="G33" s="1115"/>
      <c r="H33" s="1086"/>
      <c r="I33" s="1086"/>
    </row>
    <row r="34" spans="1:9" s="1526" customFormat="1" ht="19.5" customHeight="1">
      <c r="A34" s="3768"/>
      <c r="B34" s="1135" t="s">
        <v>1440</v>
      </c>
      <c r="C34" s="1112" t="s">
        <v>1468</v>
      </c>
      <c r="D34" s="1113"/>
      <c r="E34" s="1135">
        <v>1.5</v>
      </c>
      <c r="F34" s="1114" t="s">
        <v>1469</v>
      </c>
      <c r="G34" s="1115"/>
      <c r="H34" s="1086"/>
      <c r="I34" s="1086"/>
    </row>
    <row r="35" spans="1:9" s="1526" customFormat="1" ht="19.5" customHeight="1">
      <c r="A35" s="3768" t="s">
        <v>1423</v>
      </c>
      <c r="B35" s="1135" t="s">
        <v>1437</v>
      </c>
      <c r="C35" s="1112" t="s">
        <v>1470</v>
      </c>
      <c r="D35" s="1113"/>
      <c r="E35" s="1135">
        <v>1</v>
      </c>
      <c r="F35" s="1114" t="s">
        <v>1471</v>
      </c>
      <c r="G35" s="1115"/>
      <c r="H35" s="1086"/>
      <c r="I35" s="1086"/>
    </row>
    <row r="36" spans="1:9" s="1526" customFormat="1" ht="19.5" customHeight="1">
      <c r="A36" s="3768"/>
      <c r="B36" s="3768" t="s">
        <v>1440</v>
      </c>
      <c r="C36" s="1112" t="s">
        <v>1472</v>
      </c>
      <c r="D36" s="1113"/>
      <c r="E36" s="1135">
        <v>1</v>
      </c>
      <c r="F36" s="1114" t="s">
        <v>1473</v>
      </c>
      <c r="G36" s="1115"/>
      <c r="H36" s="1086"/>
      <c r="I36" s="1086"/>
    </row>
    <row r="37" spans="1:9" s="1526" customFormat="1" ht="19.5" customHeight="1">
      <c r="A37" s="3768"/>
      <c r="B37" s="3768"/>
      <c r="C37" s="1112" t="s">
        <v>1474</v>
      </c>
      <c r="D37" s="1113"/>
      <c r="E37" s="1135">
        <v>1.5</v>
      </c>
      <c r="F37" s="1114" t="s">
        <v>1475</v>
      </c>
      <c r="G37" s="1115"/>
      <c r="H37" s="1086"/>
      <c r="I37" s="1086"/>
    </row>
    <row r="38" spans="1:9" s="1526" customFormat="1" ht="19.5" customHeight="1">
      <c r="A38" s="3768"/>
      <c r="B38" s="3768"/>
      <c r="C38" s="1112" t="s">
        <v>1476</v>
      </c>
      <c r="D38" s="1113"/>
      <c r="E38" s="1135">
        <v>1</v>
      </c>
      <c r="F38" s="1114" t="s">
        <v>1477</v>
      </c>
      <c r="G38" s="1115"/>
      <c r="H38" s="1086"/>
      <c r="I38" s="1086"/>
    </row>
    <row r="39" spans="1:9" s="1526" customFormat="1" ht="19.5" customHeight="1">
      <c r="A39" s="3768"/>
      <c r="B39" s="3768"/>
      <c r="C39" s="1112" t="s">
        <v>1478</v>
      </c>
      <c r="D39" s="1113"/>
      <c r="E39" s="1135">
        <v>1</v>
      </c>
      <c r="F39" s="1114" t="s">
        <v>1479</v>
      </c>
      <c r="G39" s="1115"/>
      <c r="H39" s="1086"/>
      <c r="I39" s="1086"/>
    </row>
    <row r="40" spans="1:9" s="1526" customFormat="1" ht="19.5" customHeight="1">
      <c r="A40" s="1527" t="s">
        <v>1480</v>
      </c>
      <c r="B40" s="1527"/>
      <c r="C40" s="1527"/>
      <c r="D40" s="1527"/>
      <c r="E40" s="1527"/>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768" t="s">
        <v>1492</v>
      </c>
      <c r="C61" s="1049" t="s">
        <v>1493</v>
      </c>
      <c r="D61" s="1049" t="s">
        <v>1494</v>
      </c>
      <c r="E61" s="1120">
        <v>0.5</v>
      </c>
      <c r="F61" s="1135">
        <v>80</v>
      </c>
      <c r="H61" s="1086">
        <f>SUMIF(C59:C119,'基准地价（商业）'!C8,E59:E119)</f>
        <v>0</v>
      </c>
    </row>
    <row r="62" spans="1:8" s="1086" customFormat="1" ht="24">
      <c r="A62" s="1135">
        <v>2</v>
      </c>
      <c r="B62" s="3768"/>
      <c r="C62" s="1049" t="s">
        <v>1495</v>
      </c>
      <c r="D62" s="1049" t="s">
        <v>1496</v>
      </c>
      <c r="E62" s="1120">
        <v>0.5</v>
      </c>
      <c r="F62" s="1135">
        <v>80</v>
      </c>
    </row>
    <row r="63" spans="1:8" s="1086" customFormat="1" ht="36">
      <c r="A63" s="1135">
        <v>3</v>
      </c>
      <c r="B63" s="3768"/>
      <c r="C63" s="1049" t="s">
        <v>1497</v>
      </c>
      <c r="D63" s="1049" t="s">
        <v>1498</v>
      </c>
      <c r="E63" s="1120">
        <v>0.5</v>
      </c>
      <c r="F63" s="1135">
        <v>80</v>
      </c>
    </row>
    <row r="64" spans="1:8" s="1086" customFormat="1" ht="36">
      <c r="A64" s="1135">
        <v>4</v>
      </c>
      <c r="B64" s="3768"/>
      <c r="C64" s="1049" t="s">
        <v>1499</v>
      </c>
      <c r="D64" s="1049" t="s">
        <v>1500</v>
      </c>
      <c r="E64" s="1120">
        <v>0.4</v>
      </c>
      <c r="F64" s="1135">
        <v>60</v>
      </c>
    </row>
    <row r="65" spans="1:6" s="1086" customFormat="1" ht="36">
      <c r="A65" s="1135">
        <v>5</v>
      </c>
      <c r="B65" s="3768"/>
      <c r="C65" s="1049" t="s">
        <v>1501</v>
      </c>
      <c r="D65" s="1049" t="s">
        <v>1502</v>
      </c>
      <c r="E65" s="1120">
        <v>0.2</v>
      </c>
      <c r="F65" s="1135">
        <v>30</v>
      </c>
    </row>
    <row r="66" spans="1:6" s="1086" customFormat="1" ht="36">
      <c r="A66" s="1135">
        <v>6</v>
      </c>
      <c r="B66" s="3768"/>
      <c r="C66" s="1049" t="s">
        <v>1503</v>
      </c>
      <c r="D66" s="1049" t="s">
        <v>1504</v>
      </c>
      <c r="E66" s="1120">
        <v>0.3</v>
      </c>
      <c r="F66" s="1135">
        <v>50</v>
      </c>
    </row>
    <row r="67" spans="1:6" s="1086" customFormat="1" ht="36">
      <c r="A67" s="1135">
        <v>7</v>
      </c>
      <c r="B67" s="3768"/>
      <c r="C67" s="1049" t="s">
        <v>1505</v>
      </c>
      <c r="D67" s="1049" t="s">
        <v>1506</v>
      </c>
      <c r="E67" s="1120">
        <v>0.2</v>
      </c>
      <c r="F67" s="1135">
        <v>30</v>
      </c>
    </row>
    <row r="68" spans="1:6" s="1086" customFormat="1" ht="36">
      <c r="A68" s="1135">
        <v>8</v>
      </c>
      <c r="B68" s="3768"/>
      <c r="C68" s="1049" t="s">
        <v>1507</v>
      </c>
      <c r="D68" s="1049" t="s">
        <v>1508</v>
      </c>
      <c r="E68" s="1120">
        <v>0.2</v>
      </c>
      <c r="F68" s="1135">
        <v>30</v>
      </c>
    </row>
    <row r="69" spans="1:6" s="1086" customFormat="1" ht="36">
      <c r="A69" s="1135">
        <v>9</v>
      </c>
      <c r="B69" s="3768"/>
      <c r="C69" s="1049" t="s">
        <v>1509</v>
      </c>
      <c r="D69" s="1049" t="s">
        <v>1510</v>
      </c>
      <c r="E69" s="1120">
        <v>0.2</v>
      </c>
      <c r="F69" s="1135">
        <v>30</v>
      </c>
    </row>
    <row r="70" spans="1:6" s="1086" customFormat="1" ht="48">
      <c r="A70" s="1135">
        <v>10</v>
      </c>
      <c r="B70" s="3768"/>
      <c r="C70" s="1049" t="s">
        <v>1511</v>
      </c>
      <c r="D70" s="1049" t="s">
        <v>1512</v>
      </c>
      <c r="E70" s="1120">
        <v>0.2</v>
      </c>
      <c r="F70" s="1135">
        <v>30</v>
      </c>
    </row>
    <row r="71" spans="1:6" s="1086" customFormat="1" ht="48">
      <c r="A71" s="1135">
        <v>11</v>
      </c>
      <c r="B71" s="3768"/>
      <c r="C71" s="1049" t="s">
        <v>1513</v>
      </c>
      <c r="D71" s="1049" t="s">
        <v>1514</v>
      </c>
      <c r="E71" s="1120">
        <v>0.2</v>
      </c>
      <c r="F71" s="1135">
        <v>30</v>
      </c>
    </row>
    <row r="72" spans="1:6" s="1086" customFormat="1" ht="36">
      <c r="A72" s="1135">
        <v>12</v>
      </c>
      <c r="B72" s="3768"/>
      <c r="C72" s="1049" t="s">
        <v>1515</v>
      </c>
      <c r="D72" s="1049" t="s">
        <v>1516</v>
      </c>
      <c r="E72" s="1120">
        <v>0.5</v>
      </c>
      <c r="F72" s="1135">
        <v>80</v>
      </c>
    </row>
    <row r="73" spans="1:6" s="1086" customFormat="1" ht="24">
      <c r="A73" s="1135">
        <v>13</v>
      </c>
      <c r="B73" s="3768"/>
      <c r="C73" s="1049" t="s">
        <v>1517</v>
      </c>
      <c r="D73" s="1049" t="s">
        <v>1518</v>
      </c>
      <c r="E73" s="1120">
        <v>0.4</v>
      </c>
      <c r="F73" s="1135">
        <v>60</v>
      </c>
    </row>
    <row r="74" spans="1:6" s="1086" customFormat="1" ht="24">
      <c r="A74" s="1135">
        <v>14</v>
      </c>
      <c r="B74" s="3768"/>
      <c r="C74" s="1049" t="s">
        <v>1519</v>
      </c>
      <c r="D74" s="1049" t="s">
        <v>1520</v>
      </c>
      <c r="E74" s="1120">
        <v>0.2</v>
      </c>
      <c r="F74" s="1135">
        <v>30</v>
      </c>
    </row>
    <row r="75" spans="1:6" s="1086" customFormat="1" ht="24">
      <c r="A75" s="1135">
        <v>15</v>
      </c>
      <c r="B75" s="3768"/>
      <c r="C75" s="1049" t="s">
        <v>1521</v>
      </c>
      <c r="D75" s="1049" t="s">
        <v>1522</v>
      </c>
      <c r="E75" s="1120">
        <v>0.2</v>
      </c>
      <c r="F75" s="1135">
        <v>30</v>
      </c>
    </row>
    <row r="76" spans="1:6" s="1086" customFormat="1" ht="24">
      <c r="A76" s="1135">
        <v>16</v>
      </c>
      <c r="B76" s="3768" t="s">
        <v>1523</v>
      </c>
      <c r="C76" s="1049" t="s">
        <v>1524</v>
      </c>
      <c r="D76" s="1049" t="s">
        <v>1525</v>
      </c>
      <c r="E76" s="1120">
        <v>0.5</v>
      </c>
      <c r="F76" s="1135">
        <v>80</v>
      </c>
    </row>
    <row r="77" spans="1:6" s="1086" customFormat="1" ht="24">
      <c r="A77" s="1135">
        <v>17</v>
      </c>
      <c r="B77" s="3768"/>
      <c r="C77" s="1049" t="s">
        <v>1526</v>
      </c>
      <c r="D77" s="1049" t="s">
        <v>1527</v>
      </c>
      <c r="E77" s="1120">
        <v>0.5</v>
      </c>
      <c r="F77" s="1135">
        <v>80</v>
      </c>
    </row>
    <row r="78" spans="1:6" s="1086" customFormat="1" ht="24">
      <c r="A78" s="1135">
        <v>18</v>
      </c>
      <c r="B78" s="3768"/>
      <c r="C78" s="1049" t="s">
        <v>1528</v>
      </c>
      <c r="D78" s="1049" t="s">
        <v>1529</v>
      </c>
      <c r="E78" s="1120">
        <v>0.2</v>
      </c>
      <c r="F78" s="1135">
        <v>30</v>
      </c>
    </row>
    <row r="79" spans="1:6" s="1086" customFormat="1" ht="24">
      <c r="A79" s="1135">
        <v>19</v>
      </c>
      <c r="B79" s="3768"/>
      <c r="C79" s="1049" t="s">
        <v>1530</v>
      </c>
      <c r="D79" s="1049" t="s">
        <v>1531</v>
      </c>
      <c r="E79" s="1120">
        <v>0.5</v>
      </c>
      <c r="F79" s="1135">
        <v>80</v>
      </c>
    </row>
    <row r="80" spans="1:6" s="1086" customFormat="1" ht="36">
      <c r="A80" s="1135">
        <v>20</v>
      </c>
      <c r="B80" s="3768"/>
      <c r="C80" s="1049" t="s">
        <v>1532</v>
      </c>
      <c r="D80" s="1049" t="s">
        <v>1533</v>
      </c>
      <c r="E80" s="1120">
        <v>0.2</v>
      </c>
      <c r="F80" s="1135">
        <v>30</v>
      </c>
    </row>
    <row r="81" spans="1:6" s="1086" customFormat="1" ht="36">
      <c r="A81" s="1135">
        <v>21</v>
      </c>
      <c r="B81" s="3768"/>
      <c r="C81" s="1049" t="s">
        <v>1534</v>
      </c>
      <c r="D81" s="1049" t="s">
        <v>1535</v>
      </c>
      <c r="E81" s="1120">
        <v>0.2</v>
      </c>
      <c r="F81" s="1135">
        <v>30</v>
      </c>
    </row>
    <row r="82" spans="1:6" s="1086" customFormat="1" ht="48">
      <c r="A82" s="1135">
        <v>22</v>
      </c>
      <c r="B82" s="3768"/>
      <c r="C82" s="1049" t="s">
        <v>1536</v>
      </c>
      <c r="D82" s="1049" t="s">
        <v>1537</v>
      </c>
      <c r="E82" s="1120">
        <v>0.2</v>
      </c>
      <c r="F82" s="1135">
        <v>30</v>
      </c>
    </row>
    <row r="83" spans="1:6" s="1086" customFormat="1" ht="48">
      <c r="A83" s="1135">
        <v>23</v>
      </c>
      <c r="B83" s="3768"/>
      <c r="C83" s="1049" t="s">
        <v>1538</v>
      </c>
      <c r="D83" s="1049" t="s">
        <v>1539</v>
      </c>
      <c r="E83" s="1120">
        <v>0.2</v>
      </c>
      <c r="F83" s="1135">
        <v>30</v>
      </c>
    </row>
    <row r="84" spans="1:6" s="1086" customFormat="1" ht="36">
      <c r="A84" s="1135">
        <v>24</v>
      </c>
      <c r="B84" s="3768"/>
      <c r="C84" s="1049" t="s">
        <v>1540</v>
      </c>
      <c r="D84" s="1049" t="s">
        <v>1541</v>
      </c>
      <c r="E84" s="1120">
        <v>0.2</v>
      </c>
      <c r="F84" s="1135">
        <v>30</v>
      </c>
    </row>
    <row r="85" spans="1:6" s="1086" customFormat="1" ht="36">
      <c r="A85" s="1135">
        <v>25</v>
      </c>
      <c r="B85" s="3768"/>
      <c r="C85" s="1049" t="s">
        <v>1542</v>
      </c>
      <c r="D85" s="1049" t="s">
        <v>1543</v>
      </c>
      <c r="E85" s="1120">
        <v>0.5</v>
      </c>
      <c r="F85" s="1135">
        <v>80</v>
      </c>
    </row>
    <row r="86" spans="1:6" s="1086" customFormat="1" ht="36">
      <c r="A86" s="1135">
        <v>26</v>
      </c>
      <c r="B86" s="3768"/>
      <c r="C86" s="1049" t="s">
        <v>1544</v>
      </c>
      <c r="D86" s="1049" t="s">
        <v>1545</v>
      </c>
      <c r="E86" s="1120">
        <v>0.2</v>
      </c>
      <c r="F86" s="1135">
        <v>30</v>
      </c>
    </row>
    <row r="87" spans="1:6" s="1086" customFormat="1" ht="36">
      <c r="A87" s="1135">
        <v>27</v>
      </c>
      <c r="B87" s="3768"/>
      <c r="C87" s="1049" t="s">
        <v>1546</v>
      </c>
      <c r="D87" s="1049" t="s">
        <v>1547</v>
      </c>
      <c r="E87" s="1120">
        <v>0.2</v>
      </c>
      <c r="F87" s="1135">
        <v>30</v>
      </c>
    </row>
    <row r="88" spans="1:6" s="1086" customFormat="1" ht="36">
      <c r="A88" s="1135">
        <v>28</v>
      </c>
      <c r="B88" s="3768"/>
      <c r="C88" s="1049" t="s">
        <v>1548</v>
      </c>
      <c r="D88" s="1049" t="s">
        <v>1549</v>
      </c>
      <c r="E88" s="1120">
        <v>0.2</v>
      </c>
      <c r="F88" s="1135">
        <v>30</v>
      </c>
    </row>
    <row r="89" spans="1:6" s="1086" customFormat="1" ht="24">
      <c r="A89" s="1135">
        <v>29</v>
      </c>
      <c r="B89" s="3768"/>
      <c r="C89" s="1049" t="s">
        <v>1550</v>
      </c>
      <c r="D89" s="1049" t="s">
        <v>1551</v>
      </c>
      <c r="E89" s="1120">
        <v>0.2</v>
      </c>
      <c r="F89" s="1135">
        <v>30</v>
      </c>
    </row>
    <row r="90" spans="1:6" s="1086" customFormat="1" ht="24">
      <c r="A90" s="1135">
        <v>30</v>
      </c>
      <c r="B90" s="3768"/>
      <c r="C90" s="1049" t="s">
        <v>1552</v>
      </c>
      <c r="D90" s="1049" t="s">
        <v>1553</v>
      </c>
      <c r="E90" s="1120">
        <v>0.2</v>
      </c>
      <c r="F90" s="1135">
        <v>30</v>
      </c>
    </row>
    <row r="91" spans="1:6" s="1086" customFormat="1" ht="36">
      <c r="A91" s="1135">
        <v>31</v>
      </c>
      <c r="B91" s="3768"/>
      <c r="C91" s="1049" t="s">
        <v>1554</v>
      </c>
      <c r="D91" s="1049" t="s">
        <v>1555</v>
      </c>
      <c r="E91" s="1120">
        <v>0.2</v>
      </c>
      <c r="F91" s="1135">
        <v>30</v>
      </c>
    </row>
    <row r="92" spans="1:6" s="1086" customFormat="1" ht="24">
      <c r="A92" s="1135">
        <v>32</v>
      </c>
      <c r="B92" s="3768" t="s">
        <v>1556</v>
      </c>
      <c r="C92" s="1135" t="s">
        <v>1557</v>
      </c>
      <c r="D92" s="1049" t="s">
        <v>1558</v>
      </c>
      <c r="E92" s="1120">
        <v>0.2</v>
      </c>
      <c r="F92" s="1135">
        <v>30</v>
      </c>
    </row>
    <row r="93" spans="1:6" s="1086" customFormat="1" ht="36">
      <c r="A93" s="1135">
        <v>33</v>
      </c>
      <c r="B93" s="3768"/>
      <c r="C93" s="1135" t="s">
        <v>1559</v>
      </c>
      <c r="D93" s="1049" t="s">
        <v>1560</v>
      </c>
      <c r="E93" s="1120">
        <v>0.2</v>
      </c>
      <c r="F93" s="1135">
        <v>30</v>
      </c>
    </row>
    <row r="94" spans="1:6" s="1086" customFormat="1" ht="48">
      <c r="A94" s="1135">
        <v>34</v>
      </c>
      <c r="B94" s="3768"/>
      <c r="C94" s="1135" t="s">
        <v>1561</v>
      </c>
      <c r="D94" s="1049" t="s">
        <v>1562</v>
      </c>
      <c r="E94" s="1120">
        <v>0.2</v>
      </c>
      <c r="F94" s="1135">
        <v>30</v>
      </c>
    </row>
    <row r="95" spans="1:6" s="1086" customFormat="1" ht="36">
      <c r="A95" s="1135">
        <v>35</v>
      </c>
      <c r="B95" s="3768"/>
      <c r="C95" s="1135" t="s">
        <v>1563</v>
      </c>
      <c r="D95" s="1049" t="s">
        <v>1564</v>
      </c>
      <c r="E95" s="1120">
        <v>0.2</v>
      </c>
      <c r="F95" s="1135">
        <v>30</v>
      </c>
    </row>
    <row r="96" spans="1:6" s="1086" customFormat="1" ht="48">
      <c r="A96" s="1135">
        <v>36</v>
      </c>
      <c r="B96" s="3768"/>
      <c r="C96" s="1049" t="s">
        <v>1565</v>
      </c>
      <c r="D96" s="1049" t="s">
        <v>1566</v>
      </c>
      <c r="E96" s="1120">
        <v>0.2</v>
      </c>
      <c r="F96" s="1135">
        <v>30</v>
      </c>
    </row>
    <row r="97" spans="1:6" s="1086" customFormat="1" ht="36">
      <c r="A97" s="1135">
        <v>37</v>
      </c>
      <c r="B97" s="3768"/>
      <c r="C97" s="1135" t="s">
        <v>1567</v>
      </c>
      <c r="D97" s="1049" t="s">
        <v>1568</v>
      </c>
      <c r="E97" s="1120">
        <v>0.2</v>
      </c>
      <c r="F97" s="1135">
        <v>30</v>
      </c>
    </row>
    <row r="98" spans="1:6" s="1086" customFormat="1" ht="36">
      <c r="A98" s="1135">
        <v>38</v>
      </c>
      <c r="B98" s="3768"/>
      <c r="C98" s="1135" t="s">
        <v>1569</v>
      </c>
      <c r="D98" s="1049" t="s">
        <v>1570</v>
      </c>
      <c r="E98" s="1120">
        <v>0.2</v>
      </c>
      <c r="F98" s="1135">
        <v>30</v>
      </c>
    </row>
    <row r="99" spans="1:6" s="1086" customFormat="1" ht="36">
      <c r="A99" s="1135">
        <v>39</v>
      </c>
      <c r="B99" s="3768" t="s">
        <v>1571</v>
      </c>
      <c r="C99" s="1135" t="s">
        <v>1572</v>
      </c>
      <c r="D99" s="1049" t="s">
        <v>1573</v>
      </c>
      <c r="E99" s="1120">
        <v>0.3</v>
      </c>
      <c r="F99" s="1135">
        <v>50</v>
      </c>
    </row>
    <row r="100" spans="1:6" s="1086" customFormat="1" ht="24">
      <c r="A100" s="1135">
        <v>40</v>
      </c>
      <c r="B100" s="3768"/>
      <c r="C100" s="1135" t="s">
        <v>1574</v>
      </c>
      <c r="D100" s="1049" t="s">
        <v>1575</v>
      </c>
      <c r="E100" s="1120">
        <v>0.2</v>
      </c>
      <c r="F100" s="1135">
        <v>30</v>
      </c>
    </row>
    <row r="101" spans="1:6" s="1086" customFormat="1" ht="36">
      <c r="A101" s="1135">
        <v>41</v>
      </c>
      <c r="B101" s="3768"/>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768" t="s">
        <v>1586</v>
      </c>
      <c r="C105" s="1135" t="s">
        <v>1587</v>
      </c>
      <c r="D105" s="1049" t="s">
        <v>1588</v>
      </c>
      <c r="E105" s="1120">
        <v>0.2</v>
      </c>
      <c r="F105" s="1135">
        <v>30</v>
      </c>
    </row>
    <row r="106" spans="1:6" s="1086" customFormat="1" ht="36">
      <c r="A106" s="1135">
        <v>46</v>
      </c>
      <c r="B106" s="3768"/>
      <c r="C106" s="1135" t="s">
        <v>1589</v>
      </c>
      <c r="D106" s="1049" t="s">
        <v>1590</v>
      </c>
      <c r="E106" s="1120">
        <v>0.2</v>
      </c>
      <c r="F106" s="1135">
        <v>30</v>
      </c>
    </row>
    <row r="107" spans="1:6" s="1086" customFormat="1" ht="36">
      <c r="A107" s="1135">
        <v>47</v>
      </c>
      <c r="B107" s="3768" t="s">
        <v>1591</v>
      </c>
      <c r="C107" s="1135" t="s">
        <v>1592</v>
      </c>
      <c r="D107" s="1049" t="s">
        <v>1593</v>
      </c>
      <c r="E107" s="1120">
        <v>0.3</v>
      </c>
      <c r="F107" s="1135">
        <v>50</v>
      </c>
    </row>
    <row r="108" spans="1:6" s="1086" customFormat="1" ht="36">
      <c r="A108" s="1135">
        <v>48</v>
      </c>
      <c r="B108" s="3768"/>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768" t="s">
        <v>1602</v>
      </c>
      <c r="C111" s="1135" t="s">
        <v>1603</v>
      </c>
      <c r="D111" s="1049" t="s">
        <v>1604</v>
      </c>
      <c r="E111" s="1120">
        <v>0.2</v>
      </c>
      <c r="F111" s="1135">
        <v>30</v>
      </c>
    </row>
    <row r="112" spans="1:6" s="1086" customFormat="1" ht="24">
      <c r="A112" s="1135">
        <v>52</v>
      </c>
      <c r="B112" s="3768"/>
      <c r="C112" s="1135" t="s">
        <v>1605</v>
      </c>
      <c r="D112" s="1049" t="s">
        <v>1606</v>
      </c>
      <c r="E112" s="1120">
        <v>0.2</v>
      </c>
      <c r="F112" s="1135">
        <v>30</v>
      </c>
    </row>
    <row r="113" spans="1:14" s="1086" customFormat="1" ht="24">
      <c r="A113" s="1135">
        <v>53</v>
      </c>
      <c r="B113" s="3768"/>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768" t="s">
        <v>1615</v>
      </c>
      <c r="C116" s="1135" t="s">
        <v>1616</v>
      </c>
      <c r="D116" s="1049" t="s">
        <v>1617</v>
      </c>
      <c r="E116" s="1120">
        <v>0.2</v>
      </c>
      <c r="F116" s="1135">
        <v>30</v>
      </c>
    </row>
    <row r="117" spans="1:14" ht="36">
      <c r="A117" s="1135">
        <v>57</v>
      </c>
      <c r="B117" s="3768"/>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767" t="s">
        <v>1624</v>
      </c>
      <c r="B121" s="3767"/>
      <c r="C121" s="3767"/>
      <c r="D121" s="3767"/>
      <c r="E121" s="3767"/>
      <c r="F121" s="3767"/>
      <c r="G121" s="3767"/>
      <c r="H121" s="3767"/>
      <c r="I121" s="3767"/>
      <c r="J121" s="376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840" t="s">
        <v>1030</v>
      </c>
      <c r="B1" s="3840"/>
      <c r="C1" s="3840"/>
      <c r="D1" s="3840"/>
      <c r="E1" s="3840"/>
      <c r="F1" s="3840"/>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841" t="s">
        <v>1043</v>
      </c>
      <c r="B2" s="3841"/>
      <c r="C2" s="3841"/>
      <c r="D2" s="3841"/>
      <c r="E2" s="3841"/>
      <c r="F2" s="3841"/>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842"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843"/>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SUMPRODUCT((B5:B9='基准地价（商业）'!I2)*(C3:F3='基准地价（商业）'!E2)*(C5:F9))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SUMPRODUCT((B10:B28='基准地价（商业）'!I2)*(C3:F3='基准地价（商业）'!E2)*(C10:F28))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SUMPRODUCT((B29:B48='基准地价（商业）'!I2)*(C3:F3='基准地价（商业）'!E2)*(C29:F48))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SUMPRODUCT((B49:B75='基准地价（商业）'!I2)*(C3:F3='基准地价（商业）'!E2)*(C49:F75))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SUMPRODUCT((B76:B109='基准地价（商业）'!I2)*(C3:F3='基准地价（商业）'!E2)*(C76:F109))</f>
        <v>12450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SUMPRODUCT((B110:B157='基准地价（商业）'!I2)*(C3:F3='基准地价（商业）'!E2)*(C110:F157))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SUMPRODUCT((B158:B205='基准地价（商业）'!I2)*(C3:F3='基准地价（商业）'!E2)*(C158:F205))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SUMPRODUCT((B206:B244='基准地价（商业）'!I2)*(C3:F3='基准地价（商业）'!E2)*(C206:F244))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SUMPRODUCT((B245:B289='基准地价（商业）'!I2)*(C3:F3='基准地价（商业）'!E2)*(C245:F289))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SUMPRODUCT((B290:B316='基准地价（商业）'!I2)*(C3:F3='基准地价（商业）'!E2)*(C290:F316))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SUMPRODUCT((B317:B337='基准地价（商业）'!I2)*(C3:F3='基准地价（商业）'!E2)*(C317:F337))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SUMPRODUCT((B338:B344='基准地价（商业）'!I2)*(C3:F3='基准地价（商业）'!E2)*(C338:F344))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2406</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2407</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SUMPRODUCT((A105:A204=ROUNDDOWN('基准地价（商业）'!G3,1))*(B104:M104='基准地价（商业）'!G2)*(B105:M204))</f>
        <v>1.2542</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1894</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1895</v>
      </c>
    </row>
    <row r="6" spans="1:4" ht="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60461.7平方米。根据《建设工程规划许可证》[]、《出让合同》[]，估价对象规划建筑面积为121547.97平方米。</v>
      </c>
    </row>
    <row r="7" spans="1:4" ht="93.75">
      <c r="A7" s="2586" t="s">
        <v>2727</v>
      </c>
    </row>
    <row r="8" spans="1:4" ht="18.75">
      <c r="A8" s="1705" t="s">
        <v>1896</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2014</v>
      </c>
    </row>
    <row r="11" spans="1:4" ht="18.75">
      <c r="A11" s="1691" t="str">
        <f>TEXT(项目基本情况!D3,"yyyy年m月d日;;")&amp;IF(项目基本情况!B3=项目基本情况!D3,"（评估专业人员勘察现场之日）","")</f>
        <v>2021年8月4日（评估专业人员勘察现场之日）</v>
      </c>
    </row>
    <row r="12" spans="1:4" ht="18.75">
      <c r="A12" s="1708" t="s">
        <v>2013</v>
      </c>
    </row>
    <row r="13" spans="1:4" ht="18.75">
      <c r="A13" s="1702" t="s">
        <v>2059</v>
      </c>
    </row>
    <row r="14" spans="1:4" ht="37.5">
      <c r="A14" s="1702" t="str">
        <f>"根据"&amp;项目基本情况!F12&amp;"，本次评估估价对象证载（地类）用途为"&amp;项目基本情况!B12&amp;"。"</f>
        <v>根据《国有土地使用证》[]，本次评估估价对象证载（地类）用途为商业、办公、地下商业、地下办公、地下车库。</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2060</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2061</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根据《国有土地使用证》[]，估价对象（分摊）出让国有建设用地使用权面积为60461.7平方米。根据《建设工程规划许可证》[]、《出让合同》[]，估价对象规划建筑面积为121547.97平方米。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2062</v>
      </c>
    </row>
    <row r="23" spans="1:1" ht="18.75">
      <c r="A23" s="2588" t="s">
        <v>2728</v>
      </c>
    </row>
    <row r="24" spans="1:1" ht="18.75">
      <c r="A24" s="1702" t="s">
        <v>2063</v>
      </c>
    </row>
    <row r="25" spans="1:1" ht="75">
      <c r="A25" s="1702" t="str">
        <f>定义!C53</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row>
    <row r="26" spans="1:1" ht="9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2015</v>
      </c>
    </row>
    <row r="30" spans="1:1" ht="75">
      <c r="A30" s="1702"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790" customWidth="1"/>
    <col min="2" max="2" width="10.125" style="1791" customWidth="1"/>
  </cols>
  <sheetData>
    <row r="1" spans="1:6">
      <c r="A1" s="3844" t="s">
        <v>2067</v>
      </c>
      <c r="B1" s="3844"/>
    </row>
    <row r="2" spans="1:6" ht="14.25" thickBot="1">
      <c r="A2" s="1761"/>
      <c r="B2" s="1761"/>
    </row>
    <row r="3" spans="1:6" ht="14.25" thickBot="1">
      <c r="A3" s="1761"/>
      <c r="B3" s="1761"/>
      <c r="C3" s="1762" t="s">
        <v>2068</v>
      </c>
      <c r="D3" s="1762" t="s">
        <v>2069</v>
      </c>
      <c r="E3" s="1762" t="s">
        <v>2070</v>
      </c>
      <c r="F3" s="1762" t="s">
        <v>2071</v>
      </c>
    </row>
    <row r="4" spans="1:6" ht="14.25" thickBot="1">
      <c r="A4" s="1763" t="s">
        <v>2072</v>
      </c>
      <c r="B4" s="1764" t="s">
        <v>2073</v>
      </c>
      <c r="C4" s="1762"/>
      <c r="D4" s="1762"/>
      <c r="E4" s="1762"/>
      <c r="F4" s="1762"/>
    </row>
    <row r="5" spans="1:6" ht="14.25" thickBot="1">
      <c r="A5" s="1765" t="s">
        <v>2074</v>
      </c>
      <c r="B5" s="1766" t="s">
        <v>2075</v>
      </c>
      <c r="C5" s="1767">
        <v>8.8999999999999996E-2</v>
      </c>
      <c r="D5" s="1767">
        <v>7.3999999999999996E-2</v>
      </c>
      <c r="E5" s="1767">
        <v>7.4999999999999997E-2</v>
      </c>
      <c r="F5" s="1768">
        <v>0.1</v>
      </c>
    </row>
    <row r="6" spans="1:6" ht="14.25" thickBot="1">
      <c r="A6" s="1765" t="s">
        <v>1087</v>
      </c>
      <c r="B6" s="1769" t="s">
        <v>2076</v>
      </c>
      <c r="C6" s="1770">
        <v>0.1</v>
      </c>
      <c r="D6" s="1770">
        <v>9.0999999999999998E-2</v>
      </c>
      <c r="E6" s="1770">
        <v>9.0999999999999998E-2</v>
      </c>
      <c r="F6" s="1771">
        <v>0.1</v>
      </c>
    </row>
    <row r="7" spans="1:6" ht="14.25" thickBot="1">
      <c r="A7" s="1765" t="s">
        <v>1087</v>
      </c>
      <c r="B7" s="1772" t="s">
        <v>1075</v>
      </c>
      <c r="C7" s="1770">
        <v>8.5999999999999993E-2</v>
      </c>
      <c r="D7" s="1770">
        <v>9.6000000000000002E-2</v>
      </c>
      <c r="E7" s="1770">
        <v>7.5999999999999998E-2</v>
      </c>
      <c r="F7" s="1771">
        <v>0.1</v>
      </c>
    </row>
    <row r="8" spans="1:6" ht="14.25" thickBot="1">
      <c r="A8" s="1765" t="s">
        <v>1087</v>
      </c>
      <c r="B8" s="1769" t="s">
        <v>1088</v>
      </c>
      <c r="C8" s="1770">
        <v>9.9000000000000005E-2</v>
      </c>
      <c r="D8" s="1770">
        <v>9.8000000000000004E-2</v>
      </c>
      <c r="E8" s="1770">
        <v>9.8000000000000004E-2</v>
      </c>
      <c r="F8" s="1771">
        <v>0.1</v>
      </c>
    </row>
    <row r="9" spans="1:6" ht="14.25" thickBot="1">
      <c r="A9" s="1773" t="s">
        <v>1087</v>
      </c>
      <c r="B9" s="1774" t="s">
        <v>1102</v>
      </c>
      <c r="C9" s="1775">
        <v>0.05</v>
      </c>
      <c r="D9" s="1776"/>
      <c r="E9" s="1776"/>
      <c r="F9" s="1777"/>
    </row>
    <row r="10" spans="1:6" ht="14.25" thickBot="1">
      <c r="A10" s="1765" t="s">
        <v>1146</v>
      </c>
      <c r="B10" s="1766" t="s">
        <v>2077</v>
      </c>
      <c r="C10" s="1767">
        <v>8.8999999999999996E-2</v>
      </c>
      <c r="D10" s="1767">
        <v>7.2999999999999995E-2</v>
      </c>
      <c r="E10" s="1767">
        <v>8.2000000000000003E-2</v>
      </c>
      <c r="F10" s="1768">
        <v>0.1</v>
      </c>
    </row>
    <row r="11" spans="1:6" ht="14.25" thickBot="1">
      <c r="A11" s="1765" t="s">
        <v>1146</v>
      </c>
      <c r="B11" s="1772" t="s">
        <v>1062</v>
      </c>
      <c r="C11" s="1770">
        <v>8.8999999999999996E-2</v>
      </c>
      <c r="D11" s="1770">
        <v>7.2999999999999995E-2</v>
      </c>
      <c r="E11" s="1770">
        <v>8.2000000000000003E-2</v>
      </c>
      <c r="F11" s="1771">
        <v>0.1</v>
      </c>
    </row>
    <row r="12" spans="1:6" ht="14.25" thickBot="1">
      <c r="A12" s="1765" t="s">
        <v>1146</v>
      </c>
      <c r="B12" s="1772" t="s">
        <v>1076</v>
      </c>
      <c r="C12" s="1770">
        <v>6.0999999999999999E-2</v>
      </c>
      <c r="D12" s="1770">
        <v>7.0999999999999994E-2</v>
      </c>
      <c r="E12" s="1770">
        <v>9.6000000000000002E-2</v>
      </c>
      <c r="F12" s="1771">
        <v>0.1</v>
      </c>
    </row>
    <row r="13" spans="1:6" ht="14.25" thickBot="1">
      <c r="A13" s="1765" t="s">
        <v>1146</v>
      </c>
      <c r="B13" s="1772" t="s">
        <v>1089</v>
      </c>
      <c r="C13" s="1770">
        <v>6.9000000000000006E-2</v>
      </c>
      <c r="D13" s="1770">
        <v>6.5000000000000002E-2</v>
      </c>
      <c r="E13" s="1770">
        <v>6.6000000000000003E-2</v>
      </c>
      <c r="F13" s="1771">
        <v>0.1</v>
      </c>
    </row>
    <row r="14" spans="1:6" ht="14.25" thickBot="1">
      <c r="A14" s="1765" t="s">
        <v>1146</v>
      </c>
      <c r="B14" s="1772" t="s">
        <v>1103</v>
      </c>
      <c r="C14" s="1770">
        <v>0.1</v>
      </c>
      <c r="D14" s="1770">
        <v>6.5000000000000002E-2</v>
      </c>
      <c r="E14" s="1770">
        <v>7.0000000000000007E-2</v>
      </c>
      <c r="F14" s="1771">
        <v>0.1</v>
      </c>
    </row>
    <row r="15" spans="1:6" ht="14.25" thickBot="1">
      <c r="A15" s="1765" t="s">
        <v>1146</v>
      </c>
      <c r="B15" s="1772" t="s">
        <v>1114</v>
      </c>
      <c r="C15" s="1770">
        <v>9.8000000000000004E-2</v>
      </c>
      <c r="D15" s="1770">
        <v>8.8999999999999996E-2</v>
      </c>
      <c r="E15" s="1770">
        <v>8.8999999999999996E-2</v>
      </c>
      <c r="F15" s="1771">
        <v>0.1</v>
      </c>
    </row>
    <row r="16" spans="1:6" ht="14.25" thickBot="1">
      <c r="A16" s="1765" t="s">
        <v>1146</v>
      </c>
      <c r="B16" s="1772" t="s">
        <v>1125</v>
      </c>
      <c r="C16" s="1770">
        <v>7.0000000000000007E-2</v>
      </c>
      <c r="D16" s="1770">
        <v>9.2999999999999999E-2</v>
      </c>
      <c r="E16" s="1770">
        <v>9.6000000000000002E-2</v>
      </c>
      <c r="F16" s="1771">
        <v>0.1</v>
      </c>
    </row>
    <row r="17" spans="1:6" ht="14.25" thickBot="1">
      <c r="A17" s="1765" t="s">
        <v>1146</v>
      </c>
      <c r="B17" s="1772" t="s">
        <v>1136</v>
      </c>
      <c r="C17" s="1770">
        <v>9.5000000000000001E-2</v>
      </c>
      <c r="D17" s="1770">
        <v>0.1</v>
      </c>
      <c r="E17" s="1770">
        <v>0.1</v>
      </c>
      <c r="F17" s="1778"/>
    </row>
    <row r="18" spans="1:6" ht="14.25" thickBot="1">
      <c r="A18" s="1765" t="s">
        <v>1146</v>
      </c>
      <c r="B18" s="1772" t="s">
        <v>1148</v>
      </c>
      <c r="C18" s="1770">
        <v>7.3999999999999996E-2</v>
      </c>
      <c r="D18" s="1770">
        <v>9.9000000000000005E-2</v>
      </c>
      <c r="E18" s="1770">
        <v>0.1</v>
      </c>
      <c r="F18" s="1778"/>
    </row>
    <row r="19" spans="1:6" ht="14.25" thickBot="1">
      <c r="A19" s="1765" t="s">
        <v>1146</v>
      </c>
      <c r="B19" s="1772" t="s">
        <v>1158</v>
      </c>
      <c r="C19" s="1770">
        <v>9.9000000000000005E-2</v>
      </c>
      <c r="D19" s="1770">
        <v>7.5999999999999998E-2</v>
      </c>
      <c r="E19" s="1770">
        <v>8.6999999999999994E-2</v>
      </c>
      <c r="F19" s="1778"/>
    </row>
    <row r="20" spans="1:6" ht="14.25" thickBot="1">
      <c r="A20" s="1765" t="s">
        <v>1146</v>
      </c>
      <c r="B20" s="1772" t="s">
        <v>1168</v>
      </c>
      <c r="C20" s="1770">
        <v>9.8000000000000004E-2</v>
      </c>
      <c r="D20" s="1770">
        <v>8.5000000000000006E-2</v>
      </c>
      <c r="E20" s="1770">
        <v>8.2000000000000003E-2</v>
      </c>
      <c r="F20" s="1778"/>
    </row>
    <row r="21" spans="1:6" ht="14.25" thickBot="1">
      <c r="A21" s="1765" t="s">
        <v>1146</v>
      </c>
      <c r="B21" s="1772" t="s">
        <v>1178</v>
      </c>
      <c r="C21" s="1770">
        <v>6.6000000000000003E-2</v>
      </c>
      <c r="D21" s="1770">
        <v>6.4000000000000001E-2</v>
      </c>
      <c r="E21" s="1770">
        <v>6.5000000000000002E-2</v>
      </c>
      <c r="F21" s="1778"/>
    </row>
    <row r="22" spans="1:6" ht="14.25" thickBot="1">
      <c r="A22" s="1765" t="s">
        <v>1146</v>
      </c>
      <c r="B22" s="1772" t="s">
        <v>2078</v>
      </c>
      <c r="C22" s="1770">
        <v>0.08</v>
      </c>
      <c r="D22" s="1770">
        <v>9.8000000000000004E-2</v>
      </c>
      <c r="E22" s="1770">
        <v>9.8000000000000004E-2</v>
      </c>
      <c r="F22" s="1778"/>
    </row>
    <row r="23" spans="1:6" ht="14.25" thickBot="1">
      <c r="A23" s="1765" t="s">
        <v>1146</v>
      </c>
      <c r="B23" s="1772" t="s">
        <v>1198</v>
      </c>
      <c r="C23" s="1770">
        <v>9.9000000000000005E-2</v>
      </c>
      <c r="D23" s="1770">
        <v>9.8000000000000004E-2</v>
      </c>
      <c r="E23" s="1770">
        <v>9.0999999999999998E-2</v>
      </c>
      <c r="F23" s="1778"/>
    </row>
    <row r="24" spans="1:6" ht="14.25" thickBot="1">
      <c r="A24" s="1765" t="s">
        <v>1146</v>
      </c>
      <c r="B24" s="1772" t="s">
        <v>1208</v>
      </c>
      <c r="C24" s="1770">
        <v>8.8999999999999996E-2</v>
      </c>
      <c r="D24" s="1770">
        <v>9.7000000000000003E-2</v>
      </c>
      <c r="E24" s="1770">
        <v>7.0000000000000007E-2</v>
      </c>
      <c r="F24" s="1778"/>
    </row>
    <row r="25" spans="1:6" ht="14.25" thickBot="1">
      <c r="A25" s="1765" t="s">
        <v>1146</v>
      </c>
      <c r="B25" s="1772" t="s">
        <v>1218</v>
      </c>
      <c r="C25" s="1770">
        <v>8.8999999999999996E-2</v>
      </c>
      <c r="D25" s="1770">
        <v>0.1</v>
      </c>
      <c r="E25" s="1770">
        <v>8.1000000000000003E-2</v>
      </c>
      <c r="F25" s="1778"/>
    </row>
    <row r="26" spans="1:6" ht="14.25" thickBot="1">
      <c r="A26" s="1765" t="s">
        <v>1146</v>
      </c>
      <c r="B26" s="1772" t="s">
        <v>1228</v>
      </c>
      <c r="C26" s="1779"/>
      <c r="D26" s="1770">
        <v>9.6000000000000002E-2</v>
      </c>
      <c r="E26" s="1770">
        <v>9.2999999999999999E-2</v>
      </c>
      <c r="F26" s="1778"/>
    </row>
    <row r="27" spans="1:6" ht="14.25" thickBot="1">
      <c r="A27" s="1765" t="s">
        <v>1146</v>
      </c>
      <c r="B27" s="1772" t="s">
        <v>1238</v>
      </c>
      <c r="C27" s="1779"/>
      <c r="D27" s="1770">
        <v>7.5999999999999998E-2</v>
      </c>
      <c r="E27" s="1770">
        <v>9.1999999999999998E-2</v>
      </c>
      <c r="F27" s="1778"/>
    </row>
    <row r="28" spans="1:6" ht="14.25" thickBot="1">
      <c r="A28" s="1773" t="s">
        <v>1146</v>
      </c>
      <c r="B28" s="1774" t="s">
        <v>1248</v>
      </c>
      <c r="C28" s="1776"/>
      <c r="D28" s="1775">
        <v>7.5999999999999998E-2</v>
      </c>
      <c r="E28" s="1775">
        <v>9.1999999999999998E-2</v>
      </c>
      <c r="F28" s="1777"/>
    </row>
    <row r="29" spans="1:6" ht="14.25" thickBot="1">
      <c r="A29" s="1765" t="s">
        <v>1317</v>
      </c>
      <c r="B29" s="1766" t="s">
        <v>2079</v>
      </c>
      <c r="C29" s="1767">
        <v>6.4000000000000001E-2</v>
      </c>
      <c r="D29" s="1767">
        <v>6.5000000000000002E-2</v>
      </c>
      <c r="E29" s="1767">
        <v>6.9000000000000006E-2</v>
      </c>
      <c r="F29" s="1768">
        <v>0.1</v>
      </c>
    </row>
    <row r="30" spans="1:6" ht="14.25" thickBot="1">
      <c r="A30" s="1765" t="s">
        <v>1317</v>
      </c>
      <c r="B30" s="1772" t="s">
        <v>1063</v>
      </c>
      <c r="C30" s="1770">
        <v>6.4000000000000001E-2</v>
      </c>
      <c r="D30" s="1770">
        <v>9.9000000000000005E-2</v>
      </c>
      <c r="E30" s="1770">
        <v>0.1</v>
      </c>
      <c r="F30" s="1771">
        <v>0.1</v>
      </c>
    </row>
    <row r="31" spans="1:6" ht="14.25" thickBot="1">
      <c r="A31" s="1765" t="s">
        <v>1317</v>
      </c>
      <c r="B31" s="1772" t="s">
        <v>1077</v>
      </c>
      <c r="C31" s="1770">
        <v>0.1</v>
      </c>
      <c r="D31" s="1770">
        <v>9.5000000000000001E-2</v>
      </c>
      <c r="E31" s="1770">
        <v>8.8999999999999996E-2</v>
      </c>
      <c r="F31" s="1771">
        <v>0.1</v>
      </c>
    </row>
    <row r="32" spans="1:6" ht="14.25" thickBot="1">
      <c r="A32" s="1765" t="s">
        <v>1317</v>
      </c>
      <c r="B32" s="1772" t="s">
        <v>1090</v>
      </c>
      <c r="C32" s="1770">
        <v>0.05</v>
      </c>
      <c r="D32" s="1770">
        <v>0.05</v>
      </c>
      <c r="E32" s="1770">
        <v>8.7999999999999995E-2</v>
      </c>
      <c r="F32" s="1771">
        <v>0.1</v>
      </c>
    </row>
    <row r="33" spans="1:6" ht="14.25" thickBot="1">
      <c r="A33" s="1765" t="s">
        <v>1317</v>
      </c>
      <c r="B33" s="1772" t="s">
        <v>1104</v>
      </c>
      <c r="C33" s="1770">
        <v>7.4999999999999997E-2</v>
      </c>
      <c r="D33" s="1770">
        <v>9.4E-2</v>
      </c>
      <c r="E33" s="1770">
        <v>9.7000000000000003E-2</v>
      </c>
      <c r="F33" s="1771">
        <v>0.1</v>
      </c>
    </row>
    <row r="34" spans="1:6" ht="14.25" thickBot="1">
      <c r="A34" s="1765" t="s">
        <v>1317</v>
      </c>
      <c r="B34" s="1772" t="s">
        <v>1115</v>
      </c>
      <c r="C34" s="1770">
        <v>9.8000000000000004E-2</v>
      </c>
      <c r="D34" s="1770">
        <v>8.5999999999999993E-2</v>
      </c>
      <c r="E34" s="1770">
        <v>9.7000000000000003E-2</v>
      </c>
      <c r="F34" s="1771">
        <v>0.1</v>
      </c>
    </row>
    <row r="35" spans="1:6" ht="14.25" thickBot="1">
      <c r="A35" s="1765" t="s">
        <v>1317</v>
      </c>
      <c r="B35" s="1772" t="s">
        <v>1126</v>
      </c>
      <c r="C35" s="1770">
        <v>5.8999999999999997E-2</v>
      </c>
      <c r="D35" s="1770">
        <v>6.5000000000000002E-2</v>
      </c>
      <c r="E35" s="1770">
        <v>7.0000000000000007E-2</v>
      </c>
      <c r="F35" s="1771">
        <v>0.1</v>
      </c>
    </row>
    <row r="36" spans="1:6" ht="14.25" thickBot="1">
      <c r="A36" s="1765" t="s">
        <v>1317</v>
      </c>
      <c r="B36" s="1772" t="s">
        <v>1137</v>
      </c>
      <c r="C36" s="1770">
        <v>6.3E-2</v>
      </c>
      <c r="D36" s="1770">
        <v>0.1</v>
      </c>
      <c r="E36" s="1770">
        <v>0.1</v>
      </c>
      <c r="F36" s="1771">
        <v>0.1</v>
      </c>
    </row>
    <row r="37" spans="1:6" ht="14.25" thickBot="1">
      <c r="A37" s="1765" t="s">
        <v>1317</v>
      </c>
      <c r="B37" s="1772" t="s">
        <v>1149</v>
      </c>
      <c r="C37" s="1770">
        <v>7.3999999999999996E-2</v>
      </c>
      <c r="D37" s="1770">
        <v>0.1</v>
      </c>
      <c r="E37" s="1770">
        <v>0.1</v>
      </c>
      <c r="F37" s="1771">
        <v>0.1</v>
      </c>
    </row>
    <row r="38" spans="1:6" ht="14.25" thickBot="1">
      <c r="A38" s="1765" t="s">
        <v>1317</v>
      </c>
      <c r="B38" s="1772" t="s">
        <v>1159</v>
      </c>
      <c r="C38" s="1770">
        <v>0.1</v>
      </c>
      <c r="D38" s="1770">
        <v>9.6000000000000002E-2</v>
      </c>
      <c r="E38" s="1770">
        <v>9.6000000000000002E-2</v>
      </c>
      <c r="F38" s="1778"/>
    </row>
    <row r="39" spans="1:6" ht="14.25" thickBot="1">
      <c r="A39" s="1765" t="s">
        <v>1317</v>
      </c>
      <c r="B39" s="1772" t="s">
        <v>1169</v>
      </c>
      <c r="C39" s="1770">
        <v>0.1</v>
      </c>
      <c r="D39" s="1770">
        <v>9.6000000000000002E-2</v>
      </c>
      <c r="E39" s="1770">
        <v>9.6000000000000002E-2</v>
      </c>
      <c r="F39" s="1778"/>
    </row>
    <row r="40" spans="1:6" ht="14.25" thickBot="1">
      <c r="A40" s="1765" t="s">
        <v>1317</v>
      </c>
      <c r="B40" s="1772" t="s">
        <v>1179</v>
      </c>
      <c r="C40" s="1770">
        <v>9.6000000000000002E-2</v>
      </c>
      <c r="D40" s="1770">
        <v>0.1</v>
      </c>
      <c r="E40" s="1770">
        <v>9.9000000000000005E-2</v>
      </c>
      <c r="F40" s="1778"/>
    </row>
    <row r="41" spans="1:6" ht="14.25" thickBot="1">
      <c r="A41" s="1765" t="s">
        <v>1317</v>
      </c>
      <c r="B41" s="1772" t="s">
        <v>1189</v>
      </c>
      <c r="C41" s="1770">
        <v>9.6000000000000002E-2</v>
      </c>
      <c r="D41" s="1770">
        <v>9.8000000000000004E-2</v>
      </c>
      <c r="E41" s="1770">
        <v>9.8000000000000004E-2</v>
      </c>
      <c r="F41" s="1778"/>
    </row>
    <row r="42" spans="1:6" ht="14.25" thickBot="1">
      <c r="A42" s="1765" t="s">
        <v>1317</v>
      </c>
      <c r="B42" s="1772" t="s">
        <v>1199</v>
      </c>
      <c r="C42" s="1770">
        <v>0.1</v>
      </c>
      <c r="D42" s="1770">
        <v>8.7999999999999995E-2</v>
      </c>
      <c r="E42" s="1770">
        <v>0.1</v>
      </c>
      <c r="F42" s="1778"/>
    </row>
    <row r="43" spans="1:6" ht="14.25" thickBot="1">
      <c r="A43" s="1765" t="s">
        <v>1317</v>
      </c>
      <c r="B43" s="1772" t="s">
        <v>1209</v>
      </c>
      <c r="C43" s="1770">
        <v>9.8000000000000004E-2</v>
      </c>
      <c r="D43" s="1770">
        <v>9.7000000000000003E-2</v>
      </c>
      <c r="E43" s="1770">
        <v>9.6000000000000002E-2</v>
      </c>
      <c r="F43" s="1778"/>
    </row>
    <row r="44" spans="1:6" ht="14.25" thickBot="1">
      <c r="A44" s="1765" t="s">
        <v>1317</v>
      </c>
      <c r="B44" s="1772" t="s">
        <v>1219</v>
      </c>
      <c r="C44" s="1770">
        <v>8.5999999999999993E-2</v>
      </c>
      <c r="D44" s="1770">
        <v>7.9000000000000001E-2</v>
      </c>
      <c r="E44" s="1770">
        <v>7.0999999999999994E-2</v>
      </c>
      <c r="F44" s="1778"/>
    </row>
    <row r="45" spans="1:6" ht="14.25" thickBot="1">
      <c r="A45" s="1765" t="s">
        <v>1317</v>
      </c>
      <c r="B45" s="1772" t="s">
        <v>1229</v>
      </c>
      <c r="C45" s="1770">
        <v>9.8000000000000004E-2</v>
      </c>
      <c r="D45" s="1770">
        <v>9.6000000000000002E-2</v>
      </c>
      <c r="E45" s="1770">
        <v>9.6000000000000002E-2</v>
      </c>
      <c r="F45" s="1778"/>
    </row>
    <row r="46" spans="1:6" ht="14.25" thickBot="1">
      <c r="A46" s="1765" t="s">
        <v>1317</v>
      </c>
      <c r="B46" s="1772" t="s">
        <v>1239</v>
      </c>
      <c r="C46" s="1770">
        <v>8.5999999999999993E-2</v>
      </c>
      <c r="D46" s="1770">
        <v>9.8000000000000004E-2</v>
      </c>
      <c r="E46" s="1770">
        <v>8.7999999999999995E-2</v>
      </c>
      <c r="F46" s="1778"/>
    </row>
    <row r="47" spans="1:6" ht="14.25" thickBot="1">
      <c r="A47" s="1765" t="s">
        <v>1317</v>
      </c>
      <c r="B47" s="1772" t="s">
        <v>1249</v>
      </c>
      <c r="C47" s="1770">
        <v>9.6000000000000002E-2</v>
      </c>
      <c r="D47" s="1779"/>
      <c r="E47" s="1770">
        <v>6.9000000000000006E-2</v>
      </c>
      <c r="F47" s="1778"/>
    </row>
    <row r="48" spans="1:6" ht="14.25" thickBot="1">
      <c r="A48" s="1773" t="s">
        <v>1317</v>
      </c>
      <c r="B48" s="1774" t="s">
        <v>1258</v>
      </c>
      <c r="C48" s="1775">
        <v>9.8000000000000004E-2</v>
      </c>
      <c r="D48" s="1776"/>
      <c r="E48" s="1775">
        <v>9.5000000000000001E-2</v>
      </c>
      <c r="F48" s="1777"/>
    </row>
    <row r="49" spans="1:6" ht="14.25" thickBot="1">
      <c r="A49" s="1765" t="s">
        <v>916</v>
      </c>
      <c r="B49" s="1766" t="s">
        <v>2080</v>
      </c>
      <c r="C49" s="1767">
        <v>9.7000000000000003E-2</v>
      </c>
      <c r="D49" s="1767">
        <v>9.5000000000000001E-2</v>
      </c>
      <c r="E49" s="1767">
        <v>9.7000000000000003E-2</v>
      </c>
      <c r="F49" s="1768">
        <v>0.1</v>
      </c>
    </row>
    <row r="50" spans="1:6" ht="14.25" thickBot="1">
      <c r="A50" s="1765" t="s">
        <v>916</v>
      </c>
      <c r="B50" s="1769" t="s">
        <v>1064</v>
      </c>
      <c r="C50" s="1770">
        <v>7.4999999999999997E-2</v>
      </c>
      <c r="D50" s="1770">
        <v>9.5000000000000001E-2</v>
      </c>
      <c r="E50" s="1770">
        <v>0.1</v>
      </c>
      <c r="F50" s="1771">
        <v>0.1</v>
      </c>
    </row>
    <row r="51" spans="1:6" ht="14.25" thickBot="1">
      <c r="A51" s="1765" t="s">
        <v>916</v>
      </c>
      <c r="B51" s="1769" t="s">
        <v>1078</v>
      </c>
      <c r="C51" s="1770">
        <v>9.8000000000000004E-2</v>
      </c>
      <c r="D51" s="1770">
        <v>8.8999999999999996E-2</v>
      </c>
      <c r="E51" s="1770">
        <v>0.1</v>
      </c>
      <c r="F51" s="1771">
        <v>0.1</v>
      </c>
    </row>
    <row r="52" spans="1:6" ht="14.25" thickBot="1">
      <c r="A52" s="1765" t="s">
        <v>916</v>
      </c>
      <c r="B52" s="1769" t="s">
        <v>1091</v>
      </c>
      <c r="C52" s="1770">
        <v>9.8000000000000004E-2</v>
      </c>
      <c r="D52" s="1770">
        <v>9.7000000000000003E-2</v>
      </c>
      <c r="E52" s="1770">
        <v>8.1000000000000003E-2</v>
      </c>
      <c r="F52" s="1771">
        <v>0.1</v>
      </c>
    </row>
    <row r="53" spans="1:6" ht="14.25" thickBot="1">
      <c r="A53" s="1765" t="s">
        <v>916</v>
      </c>
      <c r="B53" s="1769" t="s">
        <v>1105</v>
      </c>
      <c r="C53" s="1770">
        <v>9.7000000000000003E-2</v>
      </c>
      <c r="D53" s="1770">
        <v>7.5999999999999998E-2</v>
      </c>
      <c r="E53" s="1770">
        <v>7.0999999999999994E-2</v>
      </c>
      <c r="F53" s="1771">
        <v>0.1</v>
      </c>
    </row>
    <row r="54" spans="1:6" ht="14.25" thickBot="1">
      <c r="A54" s="1765" t="s">
        <v>916</v>
      </c>
      <c r="B54" s="1769" t="s">
        <v>1116</v>
      </c>
      <c r="C54" s="1770">
        <v>7.5999999999999998E-2</v>
      </c>
      <c r="D54" s="1770">
        <v>0.1</v>
      </c>
      <c r="E54" s="1770">
        <v>9.9000000000000005E-2</v>
      </c>
      <c r="F54" s="1771">
        <v>0.1</v>
      </c>
    </row>
    <row r="55" spans="1:6" ht="14.25" thickBot="1">
      <c r="A55" s="1765" t="s">
        <v>916</v>
      </c>
      <c r="B55" s="1769" t="s">
        <v>1127</v>
      </c>
      <c r="C55" s="1770">
        <v>0.1</v>
      </c>
      <c r="D55" s="1770">
        <v>0.1</v>
      </c>
      <c r="E55" s="1770">
        <v>9.6000000000000002E-2</v>
      </c>
      <c r="F55" s="1771">
        <v>0.1</v>
      </c>
    </row>
    <row r="56" spans="1:6" ht="14.25" thickBot="1">
      <c r="A56" s="1765" t="s">
        <v>916</v>
      </c>
      <c r="B56" s="1769" t="s">
        <v>1138</v>
      </c>
      <c r="C56" s="1770">
        <v>0.1</v>
      </c>
      <c r="D56" s="1770">
        <v>9.6000000000000002E-2</v>
      </c>
      <c r="E56" s="1770">
        <v>5.1999999999999998E-2</v>
      </c>
      <c r="F56" s="1771">
        <v>0.1</v>
      </c>
    </row>
    <row r="57" spans="1:6" ht="14.25" thickBot="1">
      <c r="A57" s="1765" t="s">
        <v>916</v>
      </c>
      <c r="B57" s="1769" t="s">
        <v>1150</v>
      </c>
      <c r="C57" s="1770">
        <v>9.7000000000000003E-2</v>
      </c>
      <c r="D57" s="1770">
        <v>9.6000000000000002E-2</v>
      </c>
      <c r="E57" s="1770">
        <v>9.6000000000000002E-2</v>
      </c>
      <c r="F57" s="1771">
        <v>0.1</v>
      </c>
    </row>
    <row r="58" spans="1:6" ht="14.25" thickBot="1">
      <c r="A58" s="1765" t="s">
        <v>916</v>
      </c>
      <c r="B58" s="1769" t="s">
        <v>1160</v>
      </c>
      <c r="C58" s="1770">
        <v>9.6000000000000002E-2</v>
      </c>
      <c r="D58" s="1770">
        <v>9.9000000000000005E-2</v>
      </c>
      <c r="E58" s="1770">
        <v>9.6000000000000002E-2</v>
      </c>
      <c r="F58" s="1771">
        <v>0.1</v>
      </c>
    </row>
    <row r="59" spans="1:6" ht="14.25" thickBot="1">
      <c r="A59" s="1765" t="s">
        <v>916</v>
      </c>
      <c r="B59" s="1769" t="s">
        <v>1170</v>
      </c>
      <c r="C59" s="1770">
        <v>7.1999999999999995E-2</v>
      </c>
      <c r="D59" s="1770">
        <v>9.6000000000000002E-2</v>
      </c>
      <c r="E59" s="1770">
        <v>7.0999999999999994E-2</v>
      </c>
      <c r="F59" s="1771">
        <v>0.1</v>
      </c>
    </row>
    <row r="60" spans="1:6" ht="14.25" thickBot="1">
      <c r="A60" s="1765" t="s">
        <v>916</v>
      </c>
      <c r="B60" s="1769" t="s">
        <v>1180</v>
      </c>
      <c r="C60" s="1770">
        <v>9.6000000000000002E-2</v>
      </c>
      <c r="D60" s="1770">
        <v>8.8999999999999996E-2</v>
      </c>
      <c r="E60" s="1770">
        <v>9.6000000000000002E-2</v>
      </c>
      <c r="F60" s="1771">
        <v>0.1</v>
      </c>
    </row>
    <row r="61" spans="1:6" ht="14.25" thickBot="1">
      <c r="A61" s="1765" t="s">
        <v>916</v>
      </c>
      <c r="B61" s="1769" t="s">
        <v>1190</v>
      </c>
      <c r="C61" s="1770">
        <v>8.8999999999999996E-2</v>
      </c>
      <c r="D61" s="1770">
        <v>9.8000000000000004E-2</v>
      </c>
      <c r="E61" s="1770">
        <v>8.7999999999999995E-2</v>
      </c>
      <c r="F61" s="1778"/>
    </row>
    <row r="62" spans="1:6" ht="14.25" thickBot="1">
      <c r="A62" s="1765" t="s">
        <v>916</v>
      </c>
      <c r="B62" s="1769" t="s">
        <v>1200</v>
      </c>
      <c r="C62" s="1770">
        <v>9.8000000000000004E-2</v>
      </c>
      <c r="D62" s="1770">
        <v>9.2999999999999999E-2</v>
      </c>
      <c r="E62" s="1770">
        <v>9.7000000000000003E-2</v>
      </c>
      <c r="F62" s="1778"/>
    </row>
    <row r="63" spans="1:6" ht="14.25" thickBot="1">
      <c r="A63" s="1765" t="s">
        <v>916</v>
      </c>
      <c r="B63" s="1769" t="s">
        <v>1210</v>
      </c>
      <c r="C63" s="1770">
        <v>9.6000000000000002E-2</v>
      </c>
      <c r="D63" s="1770">
        <v>9.8000000000000004E-2</v>
      </c>
      <c r="E63" s="1770">
        <v>0.09</v>
      </c>
      <c r="F63" s="1778"/>
    </row>
    <row r="64" spans="1:6" ht="14.25" thickBot="1">
      <c r="A64" s="1765" t="s">
        <v>916</v>
      </c>
      <c r="B64" s="1769" t="s">
        <v>1220</v>
      </c>
      <c r="C64" s="1770">
        <v>9.9000000000000005E-2</v>
      </c>
      <c r="D64" s="1770">
        <v>9.7000000000000003E-2</v>
      </c>
      <c r="E64" s="1770">
        <v>9.9000000000000005E-2</v>
      </c>
      <c r="F64" s="1778"/>
    </row>
    <row r="65" spans="1:6" ht="14.25" thickBot="1">
      <c r="A65" s="1765" t="s">
        <v>916</v>
      </c>
      <c r="B65" s="1769" t="s">
        <v>1230</v>
      </c>
      <c r="C65" s="1770">
        <v>9.8000000000000004E-2</v>
      </c>
      <c r="D65" s="1770">
        <v>9.6000000000000002E-2</v>
      </c>
      <c r="E65" s="1770">
        <v>9.6000000000000002E-2</v>
      </c>
      <c r="F65" s="1778"/>
    </row>
    <row r="66" spans="1:6" ht="14.25" thickBot="1">
      <c r="A66" s="1765" t="s">
        <v>916</v>
      </c>
      <c r="B66" s="1769" t="s">
        <v>1240</v>
      </c>
      <c r="C66" s="1770">
        <v>9.6000000000000002E-2</v>
      </c>
      <c r="D66" s="1770">
        <v>9.1999999999999998E-2</v>
      </c>
      <c r="E66" s="1770">
        <v>9.6000000000000002E-2</v>
      </c>
      <c r="F66" s="1778"/>
    </row>
    <row r="67" spans="1:6" ht="14.25" thickBot="1">
      <c r="A67" s="1765" t="s">
        <v>916</v>
      </c>
      <c r="B67" s="1769" t="s">
        <v>1250</v>
      </c>
      <c r="C67" s="1770">
        <v>9.4E-2</v>
      </c>
      <c r="D67" s="1770">
        <v>0.1</v>
      </c>
      <c r="E67" s="1770">
        <v>8.7999999999999995E-2</v>
      </c>
      <c r="F67" s="1778"/>
    </row>
    <row r="68" spans="1:6" ht="14.25" thickBot="1">
      <c r="A68" s="1765" t="s">
        <v>916</v>
      </c>
      <c r="B68" s="1769" t="s">
        <v>1259</v>
      </c>
      <c r="C68" s="1770">
        <v>0.1</v>
      </c>
      <c r="D68" s="1770">
        <v>8.7999999999999995E-2</v>
      </c>
      <c r="E68" s="1770">
        <v>9.7000000000000003E-2</v>
      </c>
      <c r="F68" s="1778"/>
    </row>
    <row r="69" spans="1:6" ht="14.25" thickBot="1">
      <c r="A69" s="1765" t="s">
        <v>916</v>
      </c>
      <c r="B69" s="1769" t="s">
        <v>1268</v>
      </c>
      <c r="C69" s="1770">
        <v>6.4000000000000001E-2</v>
      </c>
      <c r="D69" s="1770">
        <v>0.1</v>
      </c>
      <c r="E69" s="1770">
        <v>0.1</v>
      </c>
      <c r="F69" s="1778"/>
    </row>
    <row r="70" spans="1:6" ht="14.25" thickBot="1">
      <c r="A70" s="1765" t="s">
        <v>916</v>
      </c>
      <c r="B70" s="1769" t="s">
        <v>1276</v>
      </c>
      <c r="C70" s="1770">
        <v>9.0999999999999998E-2</v>
      </c>
      <c r="D70" s="1779"/>
      <c r="E70" s="1779"/>
      <c r="F70" s="1778"/>
    </row>
    <row r="71" spans="1:6" ht="14.25" thickBot="1">
      <c r="A71" s="1765" t="s">
        <v>916</v>
      </c>
      <c r="B71" s="1769" t="s">
        <v>1283</v>
      </c>
      <c r="C71" s="1770">
        <v>0.1</v>
      </c>
      <c r="D71" s="1779"/>
      <c r="E71" s="1779"/>
      <c r="F71" s="1778"/>
    </row>
    <row r="72" spans="1:6" ht="24.75" thickBot="1">
      <c r="A72" s="1765" t="s">
        <v>916</v>
      </c>
      <c r="B72" s="1769" t="s">
        <v>2081</v>
      </c>
      <c r="C72" s="1779"/>
      <c r="D72" s="1779"/>
      <c r="E72" s="1779"/>
      <c r="F72" s="1771">
        <v>0.05</v>
      </c>
    </row>
    <row r="73" spans="1:6" ht="24.75" thickBot="1">
      <c r="A73" s="1765" t="s">
        <v>916</v>
      </c>
      <c r="B73" s="1769" t="s">
        <v>2082</v>
      </c>
      <c r="C73" s="1779"/>
      <c r="D73" s="1779"/>
      <c r="E73" s="1779"/>
      <c r="F73" s="1771">
        <v>0.05</v>
      </c>
    </row>
    <row r="74" spans="1:6" ht="24.75" thickBot="1">
      <c r="A74" s="1765" t="s">
        <v>916</v>
      </c>
      <c r="B74" s="1769" t="s">
        <v>2083</v>
      </c>
      <c r="C74" s="1779"/>
      <c r="D74" s="1779"/>
      <c r="E74" s="1779"/>
      <c r="F74" s="1771">
        <v>0.05</v>
      </c>
    </row>
    <row r="75" spans="1:6" ht="24.75" thickBot="1">
      <c r="A75" s="1773" t="s">
        <v>916</v>
      </c>
      <c r="B75" s="1780" t="s">
        <v>2084</v>
      </c>
      <c r="C75" s="1776"/>
      <c r="D75" s="1776"/>
      <c r="E75" s="1776"/>
      <c r="F75" s="1781">
        <v>0.05</v>
      </c>
    </row>
    <row r="76" spans="1:6" ht="14.25" thickBot="1">
      <c r="A76" s="1765" t="s">
        <v>1398</v>
      </c>
      <c r="B76" s="1766" t="s">
        <v>2085</v>
      </c>
      <c r="C76" s="1767">
        <v>0.1</v>
      </c>
      <c r="D76" s="1767">
        <v>0.1</v>
      </c>
      <c r="E76" s="1767">
        <v>0.1</v>
      </c>
      <c r="F76" s="1768">
        <v>0.1</v>
      </c>
    </row>
    <row r="77" spans="1:6" ht="14.25" thickBot="1">
      <c r="A77" s="1765" t="s">
        <v>1398</v>
      </c>
      <c r="B77" s="1769" t="s">
        <v>1065</v>
      </c>
      <c r="C77" s="1770">
        <v>8.7999999999999995E-2</v>
      </c>
      <c r="D77" s="1770">
        <v>8.6999999999999994E-2</v>
      </c>
      <c r="E77" s="1770">
        <v>7.9000000000000001E-2</v>
      </c>
      <c r="F77" s="1771">
        <v>0.1</v>
      </c>
    </row>
    <row r="78" spans="1:6" ht="14.25" thickBot="1">
      <c r="A78" s="1765" t="s">
        <v>1398</v>
      </c>
      <c r="B78" s="1769" t="s">
        <v>1079</v>
      </c>
      <c r="C78" s="1770">
        <v>8.6999999999999994E-2</v>
      </c>
      <c r="D78" s="1770">
        <v>8.4000000000000005E-2</v>
      </c>
      <c r="E78" s="1770">
        <v>9.6000000000000002E-2</v>
      </c>
      <c r="F78" s="1771">
        <v>0.1</v>
      </c>
    </row>
    <row r="79" spans="1:6" ht="14.25" thickBot="1">
      <c r="A79" s="1765" t="s">
        <v>1398</v>
      </c>
      <c r="B79" s="1769" t="s">
        <v>1092</v>
      </c>
      <c r="C79" s="1770">
        <v>9.8000000000000004E-2</v>
      </c>
      <c r="D79" s="1770">
        <v>9.8000000000000004E-2</v>
      </c>
      <c r="E79" s="1770">
        <v>9.0999999999999998E-2</v>
      </c>
      <c r="F79" s="1771">
        <v>0.1</v>
      </c>
    </row>
    <row r="80" spans="1:6" ht="14.25" thickBot="1">
      <c r="A80" s="1765" t="s">
        <v>1398</v>
      </c>
      <c r="B80" s="1769" t="s">
        <v>1106</v>
      </c>
      <c r="C80" s="1770">
        <v>9.6000000000000002E-2</v>
      </c>
      <c r="D80" s="1770">
        <v>9.6000000000000002E-2</v>
      </c>
      <c r="E80" s="1770">
        <v>0.1</v>
      </c>
      <c r="F80" s="1771">
        <v>0.1</v>
      </c>
    </row>
    <row r="81" spans="1:6" ht="14.25" thickBot="1">
      <c r="A81" s="1765" t="s">
        <v>1398</v>
      </c>
      <c r="B81" s="1769" t="s">
        <v>1117</v>
      </c>
      <c r="C81" s="1770">
        <v>9.9000000000000005E-2</v>
      </c>
      <c r="D81" s="1770">
        <v>9.9000000000000005E-2</v>
      </c>
      <c r="E81" s="1770">
        <v>9.8000000000000004E-2</v>
      </c>
      <c r="F81" s="1771">
        <v>0.1</v>
      </c>
    </row>
    <row r="82" spans="1:6" ht="14.25" thickBot="1">
      <c r="A82" s="1765" t="s">
        <v>1398</v>
      </c>
      <c r="B82" s="1769" t="s">
        <v>1128</v>
      </c>
      <c r="C82" s="1770">
        <v>9.9000000000000005E-2</v>
      </c>
      <c r="D82" s="1770">
        <v>9.9000000000000005E-2</v>
      </c>
      <c r="E82" s="1770">
        <v>9.7000000000000003E-2</v>
      </c>
      <c r="F82" s="1771">
        <v>0.1</v>
      </c>
    </row>
    <row r="83" spans="1:6" ht="14.25" thickBot="1">
      <c r="A83" s="1765" t="s">
        <v>1398</v>
      </c>
      <c r="B83" s="1769" t="s">
        <v>1139</v>
      </c>
      <c r="C83" s="1770">
        <v>9.8000000000000004E-2</v>
      </c>
      <c r="D83" s="1770">
        <v>9.8000000000000004E-2</v>
      </c>
      <c r="E83" s="1770">
        <v>9.8000000000000004E-2</v>
      </c>
      <c r="F83" s="1771">
        <v>0.1</v>
      </c>
    </row>
    <row r="84" spans="1:6" ht="14.25" thickBot="1">
      <c r="A84" s="1765" t="s">
        <v>1398</v>
      </c>
      <c r="B84" s="1769" t="s">
        <v>1151</v>
      </c>
      <c r="C84" s="1770">
        <v>9.9000000000000005E-2</v>
      </c>
      <c r="D84" s="1770">
        <v>9.9000000000000005E-2</v>
      </c>
      <c r="E84" s="1770">
        <v>9.9000000000000005E-2</v>
      </c>
      <c r="F84" s="1771">
        <v>0.1</v>
      </c>
    </row>
    <row r="85" spans="1:6" ht="14.25" thickBot="1">
      <c r="A85" s="1765" t="s">
        <v>1398</v>
      </c>
      <c r="B85" s="1769" t="s">
        <v>1161</v>
      </c>
      <c r="C85" s="1770">
        <v>9.9000000000000005E-2</v>
      </c>
      <c r="D85" s="1770">
        <v>9.9000000000000005E-2</v>
      </c>
      <c r="E85" s="1770">
        <v>9.9000000000000005E-2</v>
      </c>
      <c r="F85" s="1771">
        <v>0.1</v>
      </c>
    </row>
    <row r="86" spans="1:6" ht="14.25" thickBot="1">
      <c r="A86" s="1765" t="s">
        <v>1398</v>
      </c>
      <c r="B86" s="1769" t="s">
        <v>1171</v>
      </c>
      <c r="C86" s="1770">
        <v>0.1</v>
      </c>
      <c r="D86" s="1770">
        <v>0.1</v>
      </c>
      <c r="E86" s="1770">
        <v>7.6999999999999999E-2</v>
      </c>
      <c r="F86" s="1771">
        <v>0.1</v>
      </c>
    </row>
    <row r="87" spans="1:6" ht="14.25" thickBot="1">
      <c r="A87" s="1765" t="s">
        <v>1398</v>
      </c>
      <c r="B87" s="1769" t="s">
        <v>1181</v>
      </c>
      <c r="C87" s="1770">
        <v>0.1</v>
      </c>
      <c r="D87" s="1770">
        <v>0.1</v>
      </c>
      <c r="E87" s="1770">
        <v>9.8000000000000004E-2</v>
      </c>
      <c r="F87" s="1778"/>
    </row>
    <row r="88" spans="1:6" ht="14.25" thickBot="1">
      <c r="A88" s="1765" t="s">
        <v>1398</v>
      </c>
      <c r="B88" s="1769" t="s">
        <v>1191</v>
      </c>
      <c r="C88" s="1770">
        <v>9.1999999999999998E-2</v>
      </c>
      <c r="D88" s="1770">
        <v>8.5000000000000006E-2</v>
      </c>
      <c r="E88" s="1770">
        <v>9.6000000000000002E-2</v>
      </c>
      <c r="F88" s="1778"/>
    </row>
    <row r="89" spans="1:6" ht="14.25" thickBot="1">
      <c r="A89" s="1765" t="s">
        <v>1398</v>
      </c>
      <c r="B89" s="1769" t="s">
        <v>1201</v>
      </c>
      <c r="C89" s="1770">
        <v>0.1</v>
      </c>
      <c r="D89" s="1770">
        <v>0.1</v>
      </c>
      <c r="E89" s="1770">
        <v>9.7000000000000003E-2</v>
      </c>
      <c r="F89" s="1778"/>
    </row>
    <row r="90" spans="1:6" ht="14.25" thickBot="1">
      <c r="A90" s="1765" t="s">
        <v>1398</v>
      </c>
      <c r="B90" s="1769" t="s">
        <v>1211</v>
      </c>
      <c r="C90" s="1770">
        <v>9.8000000000000004E-2</v>
      </c>
      <c r="D90" s="1770">
        <v>9.8000000000000004E-2</v>
      </c>
      <c r="E90" s="1770">
        <v>8.7999999999999995E-2</v>
      </c>
      <c r="F90" s="1778"/>
    </row>
    <row r="91" spans="1:6" ht="14.25" thickBot="1">
      <c r="A91" s="1765" t="s">
        <v>1398</v>
      </c>
      <c r="B91" s="1769" t="s">
        <v>1221</v>
      </c>
      <c r="C91" s="1770">
        <v>9.9000000000000005E-2</v>
      </c>
      <c r="D91" s="1770">
        <v>9.9000000000000005E-2</v>
      </c>
      <c r="E91" s="1770">
        <v>9.0999999999999998E-2</v>
      </c>
      <c r="F91" s="1778"/>
    </row>
    <row r="92" spans="1:6" ht="14.25" thickBot="1">
      <c r="A92" s="1765" t="s">
        <v>1398</v>
      </c>
      <c r="B92" s="1769" t="s">
        <v>1231</v>
      </c>
      <c r="C92" s="1770">
        <v>9.6000000000000002E-2</v>
      </c>
      <c r="D92" s="1770">
        <v>9.6000000000000002E-2</v>
      </c>
      <c r="E92" s="1770">
        <v>7.2999999999999995E-2</v>
      </c>
      <c r="F92" s="1778"/>
    </row>
    <row r="93" spans="1:6" ht="14.25" thickBot="1">
      <c r="A93" s="1765" t="s">
        <v>1398</v>
      </c>
      <c r="B93" s="1769" t="s">
        <v>1241</v>
      </c>
      <c r="C93" s="1770">
        <v>9.6000000000000002E-2</v>
      </c>
      <c r="D93" s="1770">
        <v>9.6000000000000002E-2</v>
      </c>
      <c r="E93" s="1770">
        <v>9.9000000000000005E-2</v>
      </c>
      <c r="F93" s="1778"/>
    </row>
    <row r="94" spans="1:6" ht="14.25" thickBot="1">
      <c r="A94" s="1765" t="s">
        <v>1398</v>
      </c>
      <c r="B94" s="1769" t="s">
        <v>1251</v>
      </c>
      <c r="C94" s="1770">
        <v>7.5999999999999998E-2</v>
      </c>
      <c r="D94" s="1770">
        <v>7.3999999999999996E-2</v>
      </c>
      <c r="E94" s="1770">
        <v>9.7000000000000003E-2</v>
      </c>
      <c r="F94" s="1778"/>
    </row>
    <row r="95" spans="1:6" ht="14.25" thickBot="1">
      <c r="A95" s="1765" t="s">
        <v>1398</v>
      </c>
      <c r="B95" s="1769" t="s">
        <v>1260</v>
      </c>
      <c r="C95" s="1770">
        <v>9.9000000000000005E-2</v>
      </c>
      <c r="D95" s="1770">
        <v>9.4E-2</v>
      </c>
      <c r="E95" s="1770">
        <v>9.6000000000000002E-2</v>
      </c>
      <c r="F95" s="1778"/>
    </row>
    <row r="96" spans="1:6" ht="14.25" thickBot="1">
      <c r="A96" s="1765" t="s">
        <v>1398</v>
      </c>
      <c r="B96" s="1769" t="s">
        <v>1269</v>
      </c>
      <c r="C96" s="1770">
        <v>9.9000000000000005E-2</v>
      </c>
      <c r="D96" s="1770">
        <v>9.9000000000000005E-2</v>
      </c>
      <c r="E96" s="1770">
        <v>9.9000000000000005E-2</v>
      </c>
      <c r="F96" s="1778"/>
    </row>
    <row r="97" spans="1:6" ht="14.25" thickBot="1">
      <c r="A97" s="1765" t="s">
        <v>1398</v>
      </c>
      <c r="B97" s="1769" t="s">
        <v>1277</v>
      </c>
      <c r="C97" s="1770">
        <v>9.8000000000000004E-2</v>
      </c>
      <c r="D97" s="1770">
        <v>9.8000000000000004E-2</v>
      </c>
      <c r="E97" s="1770">
        <v>9.7000000000000003E-2</v>
      </c>
      <c r="F97" s="1778"/>
    </row>
    <row r="98" spans="1:6" ht="14.25" thickBot="1">
      <c r="A98" s="1765" t="s">
        <v>1398</v>
      </c>
      <c r="B98" s="1769" t="s">
        <v>1284</v>
      </c>
      <c r="C98" s="1770">
        <v>0.1</v>
      </c>
      <c r="D98" s="1770">
        <v>0.1</v>
      </c>
      <c r="E98" s="1770">
        <v>9.7000000000000003E-2</v>
      </c>
      <c r="F98" s="1778"/>
    </row>
    <row r="99" spans="1:6" ht="14.25" thickBot="1">
      <c r="A99" s="1765" t="s">
        <v>1398</v>
      </c>
      <c r="B99" s="1769" t="s">
        <v>1291</v>
      </c>
      <c r="C99" s="1770">
        <v>0.1</v>
      </c>
      <c r="D99" s="1770">
        <v>0.1</v>
      </c>
      <c r="E99" s="1779"/>
      <c r="F99" s="1778"/>
    </row>
    <row r="100" spans="1:6" ht="14.25" thickBot="1">
      <c r="A100" s="1765" t="s">
        <v>1398</v>
      </c>
      <c r="B100" s="1769" t="s">
        <v>1298</v>
      </c>
      <c r="C100" s="1770">
        <v>0.09</v>
      </c>
      <c r="D100" s="1770">
        <v>8.8999999999999996E-2</v>
      </c>
      <c r="E100" s="1779"/>
      <c r="F100" s="1778"/>
    </row>
    <row r="101" spans="1:6" ht="14.25" thickBot="1">
      <c r="A101" s="1765" t="s">
        <v>1398</v>
      </c>
      <c r="B101" s="1769" t="s">
        <v>1305</v>
      </c>
      <c r="C101" s="1770">
        <v>9.8000000000000004E-2</v>
      </c>
      <c r="D101" s="1770">
        <v>9.7000000000000003E-2</v>
      </c>
      <c r="E101" s="1779"/>
      <c r="F101" s="1778"/>
    </row>
    <row r="102" spans="1:6" ht="24.75" thickBot="1">
      <c r="A102" s="1765" t="s">
        <v>1398</v>
      </c>
      <c r="B102" s="1769" t="s">
        <v>2086</v>
      </c>
      <c r="C102" s="1779"/>
      <c r="D102" s="1779"/>
      <c r="E102" s="1779"/>
      <c r="F102" s="1771">
        <v>0.05</v>
      </c>
    </row>
    <row r="103" spans="1:6" ht="24.75" thickBot="1">
      <c r="A103" s="1765" t="s">
        <v>1398</v>
      </c>
      <c r="B103" s="1769" t="s">
        <v>2087</v>
      </c>
      <c r="C103" s="1779"/>
      <c r="D103" s="1779"/>
      <c r="E103" s="1779"/>
      <c r="F103" s="1771">
        <v>0.05</v>
      </c>
    </row>
    <row r="104" spans="1:6" ht="14.25" thickBot="1">
      <c r="A104" s="1765" t="s">
        <v>1398</v>
      </c>
      <c r="B104" s="1769" t="s">
        <v>2088</v>
      </c>
      <c r="C104" s="1779"/>
      <c r="D104" s="1779"/>
      <c r="E104" s="1779"/>
      <c r="F104" s="1771">
        <v>0.05</v>
      </c>
    </row>
    <row r="105" spans="1:6" ht="14.25" thickBot="1">
      <c r="A105" s="1765" t="s">
        <v>1398</v>
      </c>
      <c r="B105" s="1769" t="s">
        <v>2089</v>
      </c>
      <c r="C105" s="1779"/>
      <c r="D105" s="1779"/>
      <c r="E105" s="1779"/>
      <c r="F105" s="1771">
        <v>0.05</v>
      </c>
    </row>
    <row r="106" spans="1:6" ht="14.25" thickBot="1">
      <c r="A106" s="1765" t="s">
        <v>1398</v>
      </c>
      <c r="B106" s="1769" t="s">
        <v>2090</v>
      </c>
      <c r="C106" s="1779"/>
      <c r="D106" s="1779"/>
      <c r="E106" s="1779"/>
      <c r="F106" s="1771">
        <v>0.05</v>
      </c>
    </row>
    <row r="107" spans="1:6" ht="24.75" thickBot="1">
      <c r="A107" s="1765" t="s">
        <v>1398</v>
      </c>
      <c r="B107" s="1769" t="s">
        <v>2091</v>
      </c>
      <c r="C107" s="1779"/>
      <c r="D107" s="1779"/>
      <c r="E107" s="1779"/>
      <c r="F107" s="1771">
        <v>0.05</v>
      </c>
    </row>
    <row r="108" spans="1:6" ht="24.75" thickBot="1">
      <c r="A108" s="1765" t="s">
        <v>1398</v>
      </c>
      <c r="B108" s="1769" t="s">
        <v>2092</v>
      </c>
      <c r="C108" s="1779"/>
      <c r="D108" s="1779"/>
      <c r="E108" s="1779"/>
      <c r="F108" s="1771">
        <v>0.05</v>
      </c>
    </row>
    <row r="109" spans="1:6" ht="24.75" thickBot="1">
      <c r="A109" s="1773" t="s">
        <v>1398</v>
      </c>
      <c r="B109" s="1780" t="s">
        <v>2093</v>
      </c>
      <c r="C109" s="1776"/>
      <c r="D109" s="1776"/>
      <c r="E109" s="1776"/>
      <c r="F109" s="1781">
        <v>0.05</v>
      </c>
    </row>
    <row r="110" spans="1:6" ht="14.25" thickBot="1">
      <c r="A110" s="1765" t="s">
        <v>1400</v>
      </c>
      <c r="B110" s="1766" t="s">
        <v>2094</v>
      </c>
      <c r="C110" s="1767">
        <v>0.129</v>
      </c>
      <c r="D110" s="1767">
        <v>0.129</v>
      </c>
      <c r="E110" s="1767">
        <v>0.126</v>
      </c>
      <c r="F110" s="1768">
        <v>0.13</v>
      </c>
    </row>
    <row r="111" spans="1:6" ht="14.25" thickBot="1">
      <c r="A111" s="1765" t="s">
        <v>1400</v>
      </c>
      <c r="B111" s="1769" t="s">
        <v>1066</v>
      </c>
      <c r="C111" s="1770">
        <v>0.11</v>
      </c>
      <c r="D111" s="1770">
        <v>0.11</v>
      </c>
      <c r="E111" s="1770">
        <v>9.9000000000000005E-2</v>
      </c>
      <c r="F111" s="1771">
        <v>0.128</v>
      </c>
    </row>
    <row r="112" spans="1:6" ht="14.25" thickBot="1">
      <c r="A112" s="1765" t="s">
        <v>1400</v>
      </c>
      <c r="B112" s="1769" t="s">
        <v>1080</v>
      </c>
      <c r="C112" s="1770">
        <v>0.125</v>
      </c>
      <c r="D112" s="1770">
        <v>0.125</v>
      </c>
      <c r="E112" s="1770">
        <v>0.12</v>
      </c>
      <c r="F112" s="1771">
        <v>0.125</v>
      </c>
    </row>
    <row r="113" spans="1:6" ht="14.25" thickBot="1">
      <c r="A113" s="1765" t="s">
        <v>1400</v>
      </c>
      <c r="B113" s="1769" t="s">
        <v>1093</v>
      </c>
      <c r="C113" s="1770">
        <v>0.13</v>
      </c>
      <c r="D113" s="1770">
        <v>0.13</v>
      </c>
      <c r="E113" s="1770">
        <v>0.13</v>
      </c>
      <c r="F113" s="1771">
        <v>0.13</v>
      </c>
    </row>
    <row r="114" spans="1:6" ht="14.25" thickBot="1">
      <c r="A114" s="1765" t="s">
        <v>1400</v>
      </c>
      <c r="B114" s="1769" t="s">
        <v>1107</v>
      </c>
      <c r="C114" s="1770">
        <v>0.123</v>
      </c>
      <c r="D114" s="1770">
        <v>0.123</v>
      </c>
      <c r="E114" s="1770">
        <v>0.12</v>
      </c>
      <c r="F114" s="1771">
        <v>0.13</v>
      </c>
    </row>
    <row r="115" spans="1:6" ht="14.25" thickBot="1">
      <c r="A115" s="1765" t="s">
        <v>1400</v>
      </c>
      <c r="B115" s="1769" t="s">
        <v>1118</v>
      </c>
      <c r="C115" s="1770">
        <v>0.125</v>
      </c>
      <c r="D115" s="1770">
        <v>0.125</v>
      </c>
      <c r="E115" s="1770">
        <v>0.11700000000000001</v>
      </c>
      <c r="F115" s="1771">
        <v>0.13</v>
      </c>
    </row>
    <row r="116" spans="1:6" ht="14.25" thickBot="1">
      <c r="A116" s="1765" t="s">
        <v>1400</v>
      </c>
      <c r="B116" s="1769" t="s">
        <v>1129</v>
      </c>
      <c r="C116" s="1770">
        <v>0.11700000000000001</v>
      </c>
      <c r="D116" s="1770">
        <v>0.11700000000000001</v>
      </c>
      <c r="E116" s="1770">
        <v>8.7999999999999995E-2</v>
      </c>
      <c r="F116" s="1771">
        <v>0.13</v>
      </c>
    </row>
    <row r="117" spans="1:6" ht="14.25" thickBot="1">
      <c r="A117" s="1765" t="s">
        <v>1400</v>
      </c>
      <c r="B117" s="1769" t="s">
        <v>1140</v>
      </c>
      <c r="C117" s="1770">
        <v>0.13</v>
      </c>
      <c r="D117" s="1770">
        <v>0.13</v>
      </c>
      <c r="E117" s="1770">
        <v>0.129</v>
      </c>
      <c r="F117" s="1771">
        <v>0.13</v>
      </c>
    </row>
    <row r="118" spans="1:6" ht="14.25" thickBot="1">
      <c r="A118" s="1765" t="s">
        <v>1400</v>
      </c>
      <c r="B118" s="1769" t="s">
        <v>1152</v>
      </c>
      <c r="C118" s="1770">
        <v>0.123</v>
      </c>
      <c r="D118" s="1770">
        <v>0.123</v>
      </c>
      <c r="E118" s="1770">
        <v>0.11600000000000001</v>
      </c>
      <c r="F118" s="1771">
        <v>0.13</v>
      </c>
    </row>
    <row r="119" spans="1:6" ht="14.25" thickBot="1">
      <c r="A119" s="1765" t="s">
        <v>1400</v>
      </c>
      <c r="B119" s="1769" t="s">
        <v>1162</v>
      </c>
      <c r="C119" s="1770">
        <v>0.127</v>
      </c>
      <c r="D119" s="1770">
        <v>0.127</v>
      </c>
      <c r="E119" s="1770">
        <v>0.124</v>
      </c>
      <c r="F119" s="1771">
        <v>0.13</v>
      </c>
    </row>
    <row r="120" spans="1:6" ht="14.25" thickBot="1">
      <c r="A120" s="1765" t="s">
        <v>1400</v>
      </c>
      <c r="B120" s="1769" t="s">
        <v>1172</v>
      </c>
      <c r="C120" s="1770">
        <v>0.125</v>
      </c>
      <c r="D120" s="1770">
        <v>0.125</v>
      </c>
      <c r="E120" s="1770">
        <v>0.122</v>
      </c>
      <c r="F120" s="1771">
        <v>0.13</v>
      </c>
    </row>
    <row r="121" spans="1:6" ht="14.25" thickBot="1">
      <c r="A121" s="1765" t="s">
        <v>1400</v>
      </c>
      <c r="B121" s="1769" t="s">
        <v>1182</v>
      </c>
      <c r="C121" s="1770">
        <v>0.13</v>
      </c>
      <c r="D121" s="1770">
        <v>0.13</v>
      </c>
      <c r="E121" s="1770">
        <v>0.13</v>
      </c>
      <c r="F121" s="1771">
        <v>0.13</v>
      </c>
    </row>
    <row r="122" spans="1:6" ht="14.25" thickBot="1">
      <c r="A122" s="1765" t="s">
        <v>1400</v>
      </c>
      <c r="B122" s="1769" t="s">
        <v>1192</v>
      </c>
      <c r="C122" s="1770">
        <v>0.13</v>
      </c>
      <c r="D122" s="1770">
        <v>0.13</v>
      </c>
      <c r="E122" s="1770">
        <v>0.125</v>
      </c>
      <c r="F122" s="1771">
        <v>0.13</v>
      </c>
    </row>
    <row r="123" spans="1:6" ht="14.25" thickBot="1">
      <c r="A123" s="1765" t="s">
        <v>1400</v>
      </c>
      <c r="B123" s="1769" t="s">
        <v>1202</v>
      </c>
      <c r="C123" s="1770">
        <v>0.129</v>
      </c>
      <c r="D123" s="1770">
        <v>0.129</v>
      </c>
      <c r="E123" s="1770">
        <v>0.123</v>
      </c>
      <c r="F123" s="1771">
        <v>0.13</v>
      </c>
    </row>
    <row r="124" spans="1:6" ht="14.25" thickBot="1">
      <c r="A124" s="1765" t="s">
        <v>1400</v>
      </c>
      <c r="B124" s="1769" t="s">
        <v>1212</v>
      </c>
      <c r="C124" s="1770">
        <v>0.10199999999999999</v>
      </c>
      <c r="D124" s="1770">
        <v>0.10100000000000001</v>
      </c>
      <c r="E124" s="1770">
        <v>0.08</v>
      </c>
      <c r="F124" s="1778"/>
    </row>
    <row r="125" spans="1:6" ht="14.25" thickBot="1">
      <c r="A125" s="1765" t="s">
        <v>1400</v>
      </c>
      <c r="B125" s="1769" t="s">
        <v>1222</v>
      </c>
      <c r="C125" s="1770">
        <v>0.13</v>
      </c>
      <c r="D125" s="1770">
        <v>0.13</v>
      </c>
      <c r="E125" s="1770">
        <v>0.129</v>
      </c>
      <c r="F125" s="1778"/>
    </row>
    <row r="126" spans="1:6" ht="14.25" thickBot="1">
      <c r="A126" s="1765" t="s">
        <v>1400</v>
      </c>
      <c r="B126" s="1769" t="s">
        <v>1232</v>
      </c>
      <c r="C126" s="1770">
        <v>0.13</v>
      </c>
      <c r="D126" s="1770">
        <v>0.13</v>
      </c>
      <c r="E126" s="1770">
        <v>0.126</v>
      </c>
      <c r="F126" s="1778"/>
    </row>
    <row r="127" spans="1:6" ht="14.25" thickBot="1">
      <c r="A127" s="1765" t="s">
        <v>1400</v>
      </c>
      <c r="B127" s="1769" t="s">
        <v>1242</v>
      </c>
      <c r="C127" s="1770">
        <v>0.125</v>
      </c>
      <c r="D127" s="1770">
        <v>0.125</v>
      </c>
      <c r="E127" s="1770">
        <v>0.121</v>
      </c>
      <c r="F127" s="1778"/>
    </row>
    <row r="128" spans="1:6" ht="14.25" thickBot="1">
      <c r="A128" s="1765" t="s">
        <v>1400</v>
      </c>
      <c r="B128" s="1769" t="s">
        <v>1252</v>
      </c>
      <c r="C128" s="1770">
        <v>0.12</v>
      </c>
      <c r="D128" s="1770">
        <v>0.12</v>
      </c>
      <c r="E128" s="1770">
        <v>0.105</v>
      </c>
      <c r="F128" s="1778"/>
    </row>
    <row r="129" spans="1:6" ht="14.25" thickBot="1">
      <c r="A129" s="1765" t="s">
        <v>1400</v>
      </c>
      <c r="B129" s="1769" t="s">
        <v>1261</v>
      </c>
      <c r="C129" s="1770">
        <v>0.13</v>
      </c>
      <c r="D129" s="1770">
        <v>0.13</v>
      </c>
      <c r="E129" s="1770">
        <v>0.126</v>
      </c>
      <c r="F129" s="1778"/>
    </row>
    <row r="130" spans="1:6" ht="14.25" thickBot="1">
      <c r="A130" s="1765" t="s">
        <v>1400</v>
      </c>
      <c r="B130" s="1769" t="s">
        <v>1270</v>
      </c>
      <c r="C130" s="1770">
        <v>0.125</v>
      </c>
      <c r="D130" s="1770">
        <v>0.125</v>
      </c>
      <c r="E130" s="1770">
        <v>0.122</v>
      </c>
      <c r="F130" s="1778"/>
    </row>
    <row r="131" spans="1:6" ht="14.25" thickBot="1">
      <c r="A131" s="1765" t="s">
        <v>1400</v>
      </c>
      <c r="B131" s="1769" t="s">
        <v>1278</v>
      </c>
      <c r="C131" s="1770">
        <v>0.127</v>
      </c>
      <c r="D131" s="1770">
        <v>0.126</v>
      </c>
      <c r="E131" s="1770">
        <v>0.123</v>
      </c>
      <c r="F131" s="1778"/>
    </row>
    <row r="132" spans="1:6" ht="14.25" thickBot="1">
      <c r="A132" s="1765" t="s">
        <v>1400</v>
      </c>
      <c r="B132" s="1769" t="s">
        <v>1285</v>
      </c>
      <c r="C132" s="1770">
        <v>9.0999999999999998E-2</v>
      </c>
      <c r="D132" s="1770">
        <v>0.121</v>
      </c>
      <c r="E132" s="1770">
        <v>9.9000000000000005E-2</v>
      </c>
      <c r="F132" s="1778"/>
    </row>
    <row r="133" spans="1:6" ht="14.25" thickBot="1">
      <c r="A133" s="1765" t="s">
        <v>1400</v>
      </c>
      <c r="B133" s="1769" t="s">
        <v>1292</v>
      </c>
      <c r="C133" s="1770">
        <v>0.13</v>
      </c>
      <c r="D133" s="1770">
        <v>0.13</v>
      </c>
      <c r="E133" s="1770">
        <v>0.129</v>
      </c>
      <c r="F133" s="1778"/>
    </row>
    <row r="134" spans="1:6" ht="14.25" thickBot="1">
      <c r="A134" s="1765" t="s">
        <v>1400</v>
      </c>
      <c r="B134" s="1769" t="s">
        <v>2095</v>
      </c>
      <c r="C134" s="1770">
        <v>6.8000000000000005E-2</v>
      </c>
      <c r="D134" s="1770">
        <v>6.5000000000000002E-2</v>
      </c>
      <c r="E134" s="1770">
        <v>6.5000000000000002E-2</v>
      </c>
      <c r="F134" s="1771">
        <v>0.13</v>
      </c>
    </row>
    <row r="135" spans="1:6" ht="14.25" thickBot="1">
      <c r="A135" s="1765" t="s">
        <v>1400</v>
      </c>
      <c r="B135" s="1769" t="s">
        <v>1306</v>
      </c>
      <c r="C135" s="1770">
        <v>0.123</v>
      </c>
      <c r="D135" s="1770">
        <v>0.123</v>
      </c>
      <c r="E135" s="1770">
        <v>0.11</v>
      </c>
      <c r="F135" s="1778"/>
    </row>
    <row r="136" spans="1:6" ht="14.25" thickBot="1">
      <c r="A136" s="1765" t="s">
        <v>1400</v>
      </c>
      <c r="B136" s="1769" t="s">
        <v>1313</v>
      </c>
      <c r="C136" s="1770">
        <v>0.13</v>
      </c>
      <c r="D136" s="1770">
        <v>0.13</v>
      </c>
      <c r="E136" s="1770">
        <v>0.125</v>
      </c>
      <c r="F136" s="1778"/>
    </row>
    <row r="137" spans="1:6" ht="14.25" thickBot="1">
      <c r="A137" s="1765" t="s">
        <v>1400</v>
      </c>
      <c r="B137" s="1769" t="s">
        <v>1320</v>
      </c>
      <c r="C137" s="1770">
        <v>0.121</v>
      </c>
      <c r="D137" s="1770">
        <v>0.122</v>
      </c>
      <c r="E137" s="1770">
        <v>0.115</v>
      </c>
      <c r="F137" s="1778"/>
    </row>
    <row r="138" spans="1:6" ht="14.25" thickBot="1">
      <c r="A138" s="1765" t="s">
        <v>1400</v>
      </c>
      <c r="B138" s="1769" t="s">
        <v>2096</v>
      </c>
      <c r="C138" s="1770">
        <v>0.105</v>
      </c>
      <c r="D138" s="1770">
        <v>0.125</v>
      </c>
      <c r="E138" s="1770">
        <v>0.112</v>
      </c>
      <c r="F138" s="1778"/>
    </row>
    <row r="139" spans="1:6" ht="14.25" thickBot="1">
      <c r="A139" s="1765" t="s">
        <v>1400</v>
      </c>
      <c r="B139" s="1769" t="s">
        <v>2097</v>
      </c>
      <c r="C139" s="1770">
        <v>0.127</v>
      </c>
      <c r="D139" s="1770">
        <v>0.127</v>
      </c>
      <c r="E139" s="1770">
        <v>0.122</v>
      </c>
      <c r="F139" s="1771">
        <v>0.13</v>
      </c>
    </row>
    <row r="140" spans="1:6" ht="14.25" thickBot="1">
      <c r="A140" s="1765" t="s">
        <v>1400</v>
      </c>
      <c r="B140" s="1769" t="s">
        <v>2098</v>
      </c>
      <c r="C140" s="1770">
        <v>0.125</v>
      </c>
      <c r="D140" s="1770">
        <v>0.125</v>
      </c>
      <c r="E140" s="1770">
        <v>0.11899999999999999</v>
      </c>
      <c r="F140" s="1771">
        <v>0.13</v>
      </c>
    </row>
    <row r="141" spans="1:6" ht="14.25" thickBot="1">
      <c r="A141" s="1765" t="s">
        <v>1400</v>
      </c>
      <c r="B141" s="1769" t="s">
        <v>1339</v>
      </c>
      <c r="C141" s="1770">
        <v>0.125</v>
      </c>
      <c r="D141" s="1770">
        <v>0.125</v>
      </c>
      <c r="E141" s="1770">
        <v>0.11700000000000001</v>
      </c>
      <c r="F141" s="1778"/>
    </row>
    <row r="142" spans="1:6" ht="14.25" thickBot="1">
      <c r="A142" s="1765" t="s">
        <v>1400</v>
      </c>
      <c r="B142" s="1769" t="s">
        <v>1344</v>
      </c>
      <c r="C142" s="1770">
        <v>0.125</v>
      </c>
      <c r="D142" s="1770">
        <v>0.125</v>
      </c>
      <c r="E142" s="1770">
        <v>0.115</v>
      </c>
      <c r="F142" s="1778"/>
    </row>
    <row r="143" spans="1:6" ht="14.25" thickBot="1">
      <c r="A143" s="1765" t="s">
        <v>1400</v>
      </c>
      <c r="B143" s="1769" t="s">
        <v>1349</v>
      </c>
      <c r="C143" s="1770">
        <v>0.121</v>
      </c>
      <c r="D143" s="1770">
        <v>0.121</v>
      </c>
      <c r="E143" s="1770">
        <v>0.108</v>
      </c>
      <c r="F143" s="1778"/>
    </row>
    <row r="144" spans="1:6" ht="14.25" thickBot="1">
      <c r="A144" s="1765" t="s">
        <v>1400</v>
      </c>
      <c r="B144" s="1782" t="s">
        <v>2099</v>
      </c>
      <c r="C144" s="1783">
        <v>0.126</v>
      </c>
      <c r="D144" s="1783">
        <v>0.126</v>
      </c>
      <c r="E144" s="1783">
        <v>0.121</v>
      </c>
      <c r="F144" s="1778"/>
    </row>
    <row r="145" spans="1:6" ht="14.25" thickBot="1">
      <c r="A145" s="1773" t="s">
        <v>1400</v>
      </c>
      <c r="B145" s="1784" t="s">
        <v>2100</v>
      </c>
      <c r="C145" s="1785"/>
      <c r="D145" s="1785"/>
      <c r="E145" s="1785"/>
      <c r="F145" s="1786">
        <v>0.05</v>
      </c>
    </row>
    <row r="146" spans="1:6" ht="24.75" thickBot="1">
      <c r="A146" s="1787" t="s">
        <v>1400</v>
      </c>
      <c r="B146" s="1772" t="s">
        <v>2101</v>
      </c>
      <c r="C146" s="1779"/>
      <c r="D146" s="1779"/>
      <c r="E146" s="1779"/>
      <c r="F146" s="1788">
        <v>0.05</v>
      </c>
    </row>
    <row r="147" spans="1:6" ht="24.75" thickBot="1">
      <c r="A147" s="1765" t="s">
        <v>1400</v>
      </c>
      <c r="B147" s="1769" t="s">
        <v>2102</v>
      </c>
      <c r="C147" s="1779"/>
      <c r="D147" s="1779"/>
      <c r="E147" s="1779"/>
      <c r="F147" s="1771">
        <v>0.05</v>
      </c>
    </row>
    <row r="148" spans="1:6" ht="24.75" thickBot="1">
      <c r="A148" s="1765" t="s">
        <v>1400</v>
      </c>
      <c r="B148" s="1769" t="s">
        <v>2103</v>
      </c>
      <c r="C148" s="1779"/>
      <c r="D148" s="1779"/>
      <c r="E148" s="1779"/>
      <c r="F148" s="1771">
        <v>0.05</v>
      </c>
    </row>
    <row r="149" spans="1:6" ht="24.75" thickBot="1">
      <c r="A149" s="1765" t="s">
        <v>1400</v>
      </c>
      <c r="B149" s="1769" t="s">
        <v>2104</v>
      </c>
      <c r="C149" s="1779"/>
      <c r="D149" s="1779"/>
      <c r="E149" s="1779"/>
      <c r="F149" s="1771">
        <v>0.05</v>
      </c>
    </row>
    <row r="150" spans="1:6" ht="24.75" thickBot="1">
      <c r="A150" s="1765" t="s">
        <v>1400</v>
      </c>
      <c r="B150" s="1769" t="s">
        <v>2105</v>
      </c>
      <c r="C150" s="1779"/>
      <c r="D150" s="1779"/>
      <c r="E150" s="1779"/>
      <c r="F150" s="1771">
        <v>0.05</v>
      </c>
    </row>
    <row r="151" spans="1:6" ht="24.75" thickBot="1">
      <c r="A151" s="1765" t="s">
        <v>1400</v>
      </c>
      <c r="B151" s="1769" t="s">
        <v>2106</v>
      </c>
      <c r="C151" s="1779"/>
      <c r="D151" s="1779"/>
      <c r="E151" s="1779"/>
      <c r="F151" s="1771">
        <v>0.05</v>
      </c>
    </row>
    <row r="152" spans="1:6" ht="24.75" thickBot="1">
      <c r="A152" s="1765" t="s">
        <v>1400</v>
      </c>
      <c r="B152" s="1769" t="s">
        <v>1382</v>
      </c>
      <c r="C152" s="1779"/>
      <c r="D152" s="1779"/>
      <c r="E152" s="1779"/>
      <c r="F152" s="1771">
        <v>0.05</v>
      </c>
    </row>
    <row r="153" spans="1:6" ht="14.25" thickBot="1">
      <c r="A153" s="1765" t="s">
        <v>1400</v>
      </c>
      <c r="B153" s="1769" t="s">
        <v>2107</v>
      </c>
      <c r="C153" s="1779"/>
      <c r="D153" s="1779"/>
      <c r="E153" s="1779"/>
      <c r="F153" s="1771">
        <v>0.05</v>
      </c>
    </row>
    <row r="154" spans="1:6" ht="14.25" thickBot="1">
      <c r="A154" s="1765" t="s">
        <v>1400</v>
      </c>
      <c r="B154" s="1769" t="s">
        <v>2108</v>
      </c>
      <c r="C154" s="1779"/>
      <c r="D154" s="1779"/>
      <c r="E154" s="1779"/>
      <c r="F154" s="1771">
        <v>0.05</v>
      </c>
    </row>
    <row r="155" spans="1:6" ht="24.75" thickBot="1">
      <c r="A155" s="1765" t="s">
        <v>1400</v>
      </c>
      <c r="B155" s="1769" t="s">
        <v>2109</v>
      </c>
      <c r="C155" s="1779"/>
      <c r="D155" s="1779"/>
      <c r="E155" s="1779"/>
      <c r="F155" s="1771">
        <v>0.05</v>
      </c>
    </row>
    <row r="156" spans="1:6" ht="24.75" thickBot="1">
      <c r="A156" s="1765" t="s">
        <v>1400</v>
      </c>
      <c r="B156" s="1769" t="s">
        <v>2110</v>
      </c>
      <c r="C156" s="1779"/>
      <c r="D156" s="1779"/>
      <c r="E156" s="1779"/>
      <c r="F156" s="1771">
        <v>0.05</v>
      </c>
    </row>
    <row r="157" spans="1:6" ht="14.25" thickBot="1">
      <c r="A157" s="1773" t="s">
        <v>1400</v>
      </c>
      <c r="B157" s="1780" t="s">
        <v>2111</v>
      </c>
      <c r="C157" s="1776"/>
      <c r="D157" s="1776"/>
      <c r="E157" s="1776"/>
      <c r="F157" s="1781">
        <v>0.05</v>
      </c>
    </row>
    <row r="158" spans="1:6" ht="14.25" thickBot="1">
      <c r="A158" s="1765" t="s">
        <v>1402</v>
      </c>
      <c r="B158" s="1766" t="s">
        <v>2112</v>
      </c>
      <c r="C158" s="1767">
        <v>0.13</v>
      </c>
      <c r="D158" s="1767">
        <v>0.13</v>
      </c>
      <c r="E158" s="1767">
        <v>0.13</v>
      </c>
      <c r="F158" s="1768">
        <v>0.13</v>
      </c>
    </row>
    <row r="159" spans="1:6" ht="14.25" thickBot="1">
      <c r="A159" s="1765" t="s">
        <v>1402</v>
      </c>
      <c r="B159" s="1769" t="s">
        <v>1067</v>
      </c>
      <c r="C159" s="1770">
        <v>0.13</v>
      </c>
      <c r="D159" s="1770">
        <v>0.13</v>
      </c>
      <c r="E159" s="1770">
        <v>0.13</v>
      </c>
      <c r="F159" s="1771">
        <v>0.13</v>
      </c>
    </row>
    <row r="160" spans="1:6" ht="14.25" thickBot="1">
      <c r="A160" s="1765" t="s">
        <v>1402</v>
      </c>
      <c r="B160" s="1769" t="s">
        <v>1081</v>
      </c>
      <c r="C160" s="1770">
        <v>0.13</v>
      </c>
      <c r="D160" s="1770">
        <v>0.13</v>
      </c>
      <c r="E160" s="1770">
        <v>0.129</v>
      </c>
      <c r="F160" s="1771">
        <v>0.13</v>
      </c>
    </row>
    <row r="161" spans="1:6" ht="14.25" thickBot="1">
      <c r="A161" s="1765" t="s">
        <v>1402</v>
      </c>
      <c r="B161" s="1769" t="s">
        <v>1094</v>
      </c>
      <c r="C161" s="1770">
        <v>0.128</v>
      </c>
      <c r="D161" s="1770">
        <v>0.128</v>
      </c>
      <c r="E161" s="1770">
        <v>0.125</v>
      </c>
      <c r="F161" s="1771">
        <v>0.13</v>
      </c>
    </row>
    <row r="162" spans="1:6" ht="14.25" thickBot="1">
      <c r="A162" s="1765" t="s">
        <v>1402</v>
      </c>
      <c r="B162" s="1769" t="s">
        <v>1108</v>
      </c>
      <c r="C162" s="1770">
        <v>0.122</v>
      </c>
      <c r="D162" s="1770">
        <v>0.122</v>
      </c>
      <c r="E162" s="1770">
        <v>0.126</v>
      </c>
      <c r="F162" s="1771">
        <v>0.122</v>
      </c>
    </row>
    <row r="163" spans="1:6" ht="14.25" thickBot="1">
      <c r="A163" s="1765" t="s">
        <v>1402</v>
      </c>
      <c r="B163" s="1769" t="s">
        <v>1119</v>
      </c>
      <c r="C163" s="1770">
        <v>0.13</v>
      </c>
      <c r="D163" s="1770">
        <v>0.13</v>
      </c>
      <c r="E163" s="1770">
        <v>0.125</v>
      </c>
      <c r="F163" s="1771">
        <v>0.13</v>
      </c>
    </row>
    <row r="164" spans="1:6" ht="14.25" thickBot="1">
      <c r="A164" s="1765" t="s">
        <v>1402</v>
      </c>
      <c r="B164" s="1769" t="s">
        <v>1130</v>
      </c>
      <c r="C164" s="1770">
        <v>0.13</v>
      </c>
      <c r="D164" s="1770">
        <v>0.13</v>
      </c>
      <c r="E164" s="1770">
        <v>0.13</v>
      </c>
      <c r="F164" s="1771">
        <v>0.13</v>
      </c>
    </row>
    <row r="165" spans="1:6" ht="14.25" thickBot="1">
      <c r="A165" s="1765" t="s">
        <v>1402</v>
      </c>
      <c r="B165" s="1769" t="s">
        <v>1141</v>
      </c>
      <c r="C165" s="1770">
        <v>0.13</v>
      </c>
      <c r="D165" s="1770">
        <v>0.13</v>
      </c>
      <c r="E165" s="1770">
        <v>0.124</v>
      </c>
      <c r="F165" s="1771">
        <v>0.13</v>
      </c>
    </row>
    <row r="166" spans="1:6" ht="14.25" thickBot="1">
      <c r="A166" s="1765" t="s">
        <v>1402</v>
      </c>
      <c r="B166" s="1769" t="s">
        <v>1153</v>
      </c>
      <c r="C166" s="1770">
        <v>0.13</v>
      </c>
      <c r="D166" s="1770">
        <v>0.13</v>
      </c>
      <c r="E166" s="1770">
        <v>0.13</v>
      </c>
      <c r="F166" s="1771">
        <v>0.13</v>
      </c>
    </row>
    <row r="167" spans="1:6" ht="14.25" thickBot="1">
      <c r="A167" s="1765" t="s">
        <v>1402</v>
      </c>
      <c r="B167" s="1769" t="s">
        <v>1163</v>
      </c>
      <c r="C167" s="1770">
        <v>0.125</v>
      </c>
      <c r="D167" s="1770">
        <v>0.125</v>
      </c>
      <c r="E167" s="1770">
        <v>0.121</v>
      </c>
      <c r="F167" s="1778"/>
    </row>
    <row r="168" spans="1:6" ht="14.25" thickBot="1">
      <c r="A168" s="1765" t="s">
        <v>1402</v>
      </c>
      <c r="B168" s="1769" t="s">
        <v>1173</v>
      </c>
      <c r="C168" s="1770">
        <v>0.13</v>
      </c>
      <c r="D168" s="1770">
        <v>0.13</v>
      </c>
      <c r="E168" s="1770">
        <v>0.126</v>
      </c>
      <c r="F168" s="1778"/>
    </row>
    <row r="169" spans="1:6" ht="14.25" thickBot="1">
      <c r="A169" s="1765" t="s">
        <v>1402</v>
      </c>
      <c r="B169" s="1769" t="s">
        <v>1183</v>
      </c>
      <c r="C169" s="1770">
        <v>0.128</v>
      </c>
      <c r="D169" s="1770">
        <v>0.129</v>
      </c>
      <c r="E169" s="1770">
        <v>0.13</v>
      </c>
      <c r="F169" s="1778"/>
    </row>
    <row r="170" spans="1:6" ht="14.25" thickBot="1">
      <c r="A170" s="1765" t="s">
        <v>1402</v>
      </c>
      <c r="B170" s="1769" t="s">
        <v>1193</v>
      </c>
      <c r="C170" s="1770">
        <v>0.14099999999999999</v>
      </c>
      <c r="D170" s="1770">
        <v>0.13</v>
      </c>
      <c r="E170" s="1770">
        <v>0.125</v>
      </c>
      <c r="F170" s="1778"/>
    </row>
    <row r="171" spans="1:6" ht="14.25" thickBot="1">
      <c r="A171" s="1765" t="s">
        <v>1402</v>
      </c>
      <c r="B171" s="1769" t="s">
        <v>2113</v>
      </c>
      <c r="C171" s="1770">
        <v>0.127</v>
      </c>
      <c r="D171" s="1770">
        <v>0.126</v>
      </c>
      <c r="E171" s="1770">
        <v>0.126</v>
      </c>
      <c r="F171" s="1771">
        <v>0.11799999999999999</v>
      </c>
    </row>
    <row r="172" spans="1:6" ht="14.25" thickBot="1">
      <c r="A172" s="1765" t="s">
        <v>1402</v>
      </c>
      <c r="B172" s="1769" t="s">
        <v>2114</v>
      </c>
      <c r="C172" s="1770">
        <v>0.13</v>
      </c>
      <c r="D172" s="1770">
        <v>0.13</v>
      </c>
      <c r="E172" s="1770">
        <v>0.13</v>
      </c>
      <c r="F172" s="1778"/>
    </row>
    <row r="173" spans="1:6" ht="14.25" thickBot="1">
      <c r="A173" s="1765" t="s">
        <v>1402</v>
      </c>
      <c r="B173" s="1769" t="s">
        <v>1223</v>
      </c>
      <c r="C173" s="1770">
        <v>0.13</v>
      </c>
      <c r="D173" s="1770">
        <v>0.13</v>
      </c>
      <c r="E173" s="1770">
        <v>0.13</v>
      </c>
      <c r="F173" s="1778"/>
    </row>
    <row r="174" spans="1:6" ht="14.25" thickBot="1">
      <c r="A174" s="1765" t="s">
        <v>1402</v>
      </c>
      <c r="B174" s="1769" t="s">
        <v>2115</v>
      </c>
      <c r="C174" s="1770">
        <v>0.13</v>
      </c>
      <c r="D174" s="1770">
        <v>0.13</v>
      </c>
      <c r="E174" s="1770">
        <v>0.13</v>
      </c>
      <c r="F174" s="1771">
        <v>0.13</v>
      </c>
    </row>
    <row r="175" spans="1:6" ht="14.25" thickBot="1">
      <c r="A175" s="1765" t="s">
        <v>1402</v>
      </c>
      <c r="B175" s="1769" t="s">
        <v>2116</v>
      </c>
      <c r="C175" s="1770">
        <v>0.13</v>
      </c>
      <c r="D175" s="1770">
        <v>0.13</v>
      </c>
      <c r="E175" s="1770">
        <v>0.13</v>
      </c>
      <c r="F175" s="1771">
        <v>0.13</v>
      </c>
    </row>
    <row r="176" spans="1:6" ht="14.25" thickBot="1">
      <c r="A176" s="1765" t="s">
        <v>1402</v>
      </c>
      <c r="B176" s="1769" t="s">
        <v>1253</v>
      </c>
      <c r="C176" s="1770">
        <v>0.13</v>
      </c>
      <c r="D176" s="1770">
        <v>0.13</v>
      </c>
      <c r="E176" s="1770">
        <v>0.13</v>
      </c>
      <c r="F176" s="1771">
        <v>0.13</v>
      </c>
    </row>
    <row r="177" spans="1:6" ht="14.25" thickBot="1">
      <c r="A177" s="1765" t="s">
        <v>1402</v>
      </c>
      <c r="B177" s="1769" t="s">
        <v>2117</v>
      </c>
      <c r="C177" s="1770">
        <v>0.13</v>
      </c>
      <c r="D177" s="1770">
        <v>0.13</v>
      </c>
      <c r="E177" s="1770">
        <v>0.13</v>
      </c>
      <c r="F177" s="1771">
        <v>0.13</v>
      </c>
    </row>
    <row r="178" spans="1:6" ht="14.25" thickBot="1">
      <c r="A178" s="1765" t="s">
        <v>1402</v>
      </c>
      <c r="B178" s="1769" t="s">
        <v>1271</v>
      </c>
      <c r="C178" s="1770">
        <v>0.13</v>
      </c>
      <c r="D178" s="1770">
        <v>0.13</v>
      </c>
      <c r="E178" s="1770">
        <v>0.13</v>
      </c>
      <c r="F178" s="1771">
        <v>0.127</v>
      </c>
    </row>
    <row r="179" spans="1:6" ht="14.25" thickBot="1">
      <c r="A179" s="1765" t="s">
        <v>1402</v>
      </c>
      <c r="B179" s="1769" t="s">
        <v>1279</v>
      </c>
      <c r="C179" s="1770">
        <v>0.13</v>
      </c>
      <c r="D179" s="1770">
        <v>0.13</v>
      </c>
      <c r="E179" s="1770">
        <v>0.13</v>
      </c>
      <c r="F179" s="1778"/>
    </row>
    <row r="180" spans="1:6" ht="14.25" thickBot="1">
      <c r="A180" s="1765" t="s">
        <v>1402</v>
      </c>
      <c r="B180" s="1769" t="s">
        <v>2118</v>
      </c>
      <c r="C180" s="1770">
        <v>0.13</v>
      </c>
      <c r="D180" s="1770">
        <v>0.13</v>
      </c>
      <c r="E180" s="1770">
        <v>0.125</v>
      </c>
      <c r="F180" s="1771">
        <v>0.13</v>
      </c>
    </row>
    <row r="181" spans="1:6" ht="14.25" thickBot="1">
      <c r="A181" s="1765" t="s">
        <v>1402</v>
      </c>
      <c r="B181" s="1769" t="s">
        <v>1293</v>
      </c>
      <c r="C181" s="1770">
        <v>0.122</v>
      </c>
      <c r="D181" s="1770">
        <v>0.123</v>
      </c>
      <c r="E181" s="1770">
        <v>0.126</v>
      </c>
      <c r="F181" s="1771">
        <v>0.121</v>
      </c>
    </row>
    <row r="182" spans="1:6" ht="14.25" thickBot="1">
      <c r="A182" s="1765" t="s">
        <v>1402</v>
      </c>
      <c r="B182" s="1769" t="s">
        <v>1300</v>
      </c>
      <c r="C182" s="1770">
        <v>0.125</v>
      </c>
      <c r="D182" s="1770">
        <v>0.125</v>
      </c>
      <c r="E182" s="1770">
        <v>0.11700000000000001</v>
      </c>
      <c r="F182" s="1771">
        <v>0.13</v>
      </c>
    </row>
    <row r="183" spans="1:6" ht="14.25" thickBot="1">
      <c r="A183" s="1765" t="s">
        <v>1402</v>
      </c>
      <c r="B183" s="1769" t="s">
        <v>1307</v>
      </c>
      <c r="C183" s="1770">
        <v>0.127</v>
      </c>
      <c r="D183" s="1770">
        <v>0.127</v>
      </c>
      <c r="E183" s="1770">
        <v>0.128</v>
      </c>
      <c r="F183" s="1778"/>
    </row>
    <row r="184" spans="1:6" ht="14.25" thickBot="1">
      <c r="A184" s="1765" t="s">
        <v>1402</v>
      </c>
      <c r="B184" s="1769" t="s">
        <v>1314</v>
      </c>
      <c r="C184" s="1770">
        <v>0.125</v>
      </c>
      <c r="D184" s="1770">
        <v>0.125</v>
      </c>
      <c r="E184" s="1770">
        <v>0.127</v>
      </c>
      <c r="F184" s="1778"/>
    </row>
    <row r="185" spans="1:6" ht="14.25" thickBot="1">
      <c r="A185" s="1765" t="s">
        <v>1402</v>
      </c>
      <c r="B185" s="1769" t="s">
        <v>2119</v>
      </c>
      <c r="C185" s="1770">
        <v>0.127</v>
      </c>
      <c r="D185" s="1770">
        <v>0.127</v>
      </c>
      <c r="E185" s="1770">
        <v>0.128</v>
      </c>
      <c r="F185" s="1771">
        <v>0.13</v>
      </c>
    </row>
    <row r="186" spans="1:6" ht="24.75" thickBot="1">
      <c r="A186" s="1765" t="s">
        <v>1402</v>
      </c>
      <c r="B186" s="1769" t="s">
        <v>2120</v>
      </c>
      <c r="C186" s="1779"/>
      <c r="D186" s="1779"/>
      <c r="E186" s="1779"/>
      <c r="F186" s="1771">
        <v>0.05</v>
      </c>
    </row>
    <row r="187" spans="1:6" ht="14.25" thickBot="1">
      <c r="A187" s="1765" t="s">
        <v>1402</v>
      </c>
      <c r="B187" s="1769" t="s">
        <v>2121</v>
      </c>
      <c r="C187" s="1779"/>
      <c r="D187" s="1779"/>
      <c r="E187" s="1779"/>
      <c r="F187" s="1771">
        <v>0.05</v>
      </c>
    </row>
    <row r="188" spans="1:6" ht="24.75" thickBot="1">
      <c r="A188" s="1765" t="s">
        <v>1402</v>
      </c>
      <c r="B188" s="1769" t="s">
        <v>2122</v>
      </c>
      <c r="C188" s="1779"/>
      <c r="D188" s="1779"/>
      <c r="E188" s="1779"/>
      <c r="F188" s="1771">
        <v>0.05</v>
      </c>
    </row>
    <row r="189" spans="1:6" ht="24.75" thickBot="1">
      <c r="A189" s="1765" t="s">
        <v>1402</v>
      </c>
      <c r="B189" s="1769" t="s">
        <v>2123</v>
      </c>
      <c r="C189" s="1779"/>
      <c r="D189" s="1779"/>
      <c r="E189" s="1779"/>
      <c r="F189" s="1771">
        <v>0.05</v>
      </c>
    </row>
    <row r="190" spans="1:6" ht="24.75" thickBot="1">
      <c r="A190" s="1765" t="s">
        <v>1402</v>
      </c>
      <c r="B190" s="1769" t="s">
        <v>2124</v>
      </c>
      <c r="C190" s="1779"/>
      <c r="D190" s="1779"/>
      <c r="E190" s="1779"/>
      <c r="F190" s="1771">
        <v>0.05</v>
      </c>
    </row>
    <row r="191" spans="1:6" ht="24.75" thickBot="1">
      <c r="A191" s="1765" t="s">
        <v>1402</v>
      </c>
      <c r="B191" s="1769" t="s">
        <v>2125</v>
      </c>
      <c r="C191" s="1779"/>
      <c r="D191" s="1779"/>
      <c r="E191" s="1779"/>
      <c r="F191" s="1771">
        <v>0.05</v>
      </c>
    </row>
    <row r="192" spans="1:6" ht="24.75" thickBot="1">
      <c r="A192" s="1765" t="s">
        <v>1402</v>
      </c>
      <c r="B192" s="1769" t="s">
        <v>2126</v>
      </c>
      <c r="C192" s="1779"/>
      <c r="D192" s="1779"/>
      <c r="E192" s="1779"/>
      <c r="F192" s="1771">
        <v>0.05</v>
      </c>
    </row>
    <row r="193" spans="1:6" ht="24.75" thickBot="1">
      <c r="A193" s="1765" t="s">
        <v>1402</v>
      </c>
      <c r="B193" s="1769" t="s">
        <v>2127</v>
      </c>
      <c r="C193" s="1779"/>
      <c r="D193" s="1779"/>
      <c r="E193" s="1779"/>
      <c r="F193" s="1771">
        <v>0.05</v>
      </c>
    </row>
    <row r="194" spans="1:6" ht="24.75" thickBot="1">
      <c r="A194" s="1765" t="s">
        <v>1402</v>
      </c>
      <c r="B194" s="1769" t="s">
        <v>2128</v>
      </c>
      <c r="C194" s="1779"/>
      <c r="D194" s="1779"/>
      <c r="E194" s="1779"/>
      <c r="F194" s="1771">
        <v>0.05</v>
      </c>
    </row>
    <row r="195" spans="1:6" ht="14.25" thickBot="1">
      <c r="A195" s="1765" t="s">
        <v>1402</v>
      </c>
      <c r="B195" s="1769" t="s">
        <v>2129</v>
      </c>
      <c r="C195" s="1779"/>
      <c r="D195" s="1779"/>
      <c r="E195" s="1779"/>
      <c r="F195" s="1771">
        <v>0.05</v>
      </c>
    </row>
    <row r="196" spans="1:6" ht="24.75" thickBot="1">
      <c r="A196" s="1765" t="s">
        <v>1402</v>
      </c>
      <c r="B196" s="1769" t="s">
        <v>2130</v>
      </c>
      <c r="C196" s="1779"/>
      <c r="D196" s="1779"/>
      <c r="E196" s="1779"/>
      <c r="F196" s="1771">
        <v>0.05</v>
      </c>
    </row>
    <row r="197" spans="1:6" ht="24.75" thickBot="1">
      <c r="A197" s="1765" t="s">
        <v>1402</v>
      </c>
      <c r="B197" s="1769" t="s">
        <v>2131</v>
      </c>
      <c r="C197" s="1779"/>
      <c r="D197" s="1779"/>
      <c r="E197" s="1779"/>
      <c r="F197" s="1771">
        <v>0.05</v>
      </c>
    </row>
    <row r="198" spans="1:6" ht="24.75" thickBot="1">
      <c r="A198" s="1765" t="s">
        <v>1402</v>
      </c>
      <c r="B198" s="1769" t="s">
        <v>2132</v>
      </c>
      <c r="C198" s="1779"/>
      <c r="D198" s="1779"/>
      <c r="E198" s="1779"/>
      <c r="F198" s="1771">
        <v>0.05</v>
      </c>
    </row>
    <row r="199" spans="1:6" ht="24.75" thickBot="1">
      <c r="A199" s="1765" t="s">
        <v>1402</v>
      </c>
      <c r="B199" s="1769" t="s">
        <v>2133</v>
      </c>
      <c r="C199" s="1779"/>
      <c r="D199" s="1779"/>
      <c r="E199" s="1779"/>
      <c r="F199" s="1771">
        <v>0.05</v>
      </c>
    </row>
    <row r="200" spans="1:6" ht="24.75" thickBot="1">
      <c r="A200" s="1765" t="s">
        <v>1402</v>
      </c>
      <c r="B200" s="1769" t="s">
        <v>2134</v>
      </c>
      <c r="C200" s="1779"/>
      <c r="D200" s="1779"/>
      <c r="E200" s="1779"/>
      <c r="F200" s="1771">
        <v>0.05</v>
      </c>
    </row>
    <row r="201" spans="1:6" ht="24.75" thickBot="1">
      <c r="A201" s="1765" t="s">
        <v>1402</v>
      </c>
      <c r="B201" s="1769" t="s">
        <v>2135</v>
      </c>
      <c r="C201" s="1779"/>
      <c r="D201" s="1779"/>
      <c r="E201" s="1779"/>
      <c r="F201" s="1771">
        <v>0.05</v>
      </c>
    </row>
    <row r="202" spans="1:6" ht="24.75" thickBot="1">
      <c r="A202" s="1765" t="s">
        <v>1402</v>
      </c>
      <c r="B202" s="1769" t="s">
        <v>2136</v>
      </c>
      <c r="C202" s="1779"/>
      <c r="D202" s="1779"/>
      <c r="E202" s="1779"/>
      <c r="F202" s="1771">
        <v>0.05</v>
      </c>
    </row>
    <row r="203" spans="1:6" ht="24.75" thickBot="1">
      <c r="A203" s="1765" t="s">
        <v>1402</v>
      </c>
      <c r="B203" s="1769" t="s">
        <v>2137</v>
      </c>
      <c r="C203" s="1779"/>
      <c r="D203" s="1779"/>
      <c r="E203" s="1779"/>
      <c r="F203" s="1771">
        <v>0.05</v>
      </c>
    </row>
    <row r="204" spans="1:6" ht="14.25" thickBot="1">
      <c r="A204" s="1765" t="s">
        <v>1402</v>
      </c>
      <c r="B204" s="1769" t="s">
        <v>2138</v>
      </c>
      <c r="C204" s="1779"/>
      <c r="D204" s="1779"/>
      <c r="E204" s="1779"/>
      <c r="F204" s="1771">
        <v>0.05</v>
      </c>
    </row>
    <row r="205" spans="1:6" ht="14.25" thickBot="1">
      <c r="A205" s="1773" t="s">
        <v>1402</v>
      </c>
      <c r="B205" s="1780" t="s">
        <v>2139</v>
      </c>
      <c r="C205" s="1776"/>
      <c r="D205" s="1776"/>
      <c r="E205" s="1776"/>
      <c r="F205" s="1781">
        <v>0.05</v>
      </c>
    </row>
    <row r="206" spans="1:6" ht="14.25" thickBot="1">
      <c r="A206" s="1765" t="s">
        <v>1404</v>
      </c>
      <c r="B206" s="1766" t="s">
        <v>2140</v>
      </c>
      <c r="C206" s="1767">
        <v>0.15</v>
      </c>
      <c r="D206" s="1767">
        <v>0.15</v>
      </c>
      <c r="E206" s="1767">
        <v>0.15</v>
      </c>
      <c r="F206" s="1768">
        <v>0.15</v>
      </c>
    </row>
    <row r="207" spans="1:6" ht="14.25" thickBot="1">
      <c r="A207" s="1765" t="s">
        <v>1404</v>
      </c>
      <c r="B207" s="1769" t="s">
        <v>1068</v>
      </c>
      <c r="C207" s="1770">
        <v>0.15</v>
      </c>
      <c r="D207" s="1770">
        <v>0.15</v>
      </c>
      <c r="E207" s="1770">
        <v>0.15</v>
      </c>
      <c r="F207" s="1771">
        <v>0.14399999999999999</v>
      </c>
    </row>
    <row r="208" spans="1:6" ht="14.25" thickBot="1">
      <c r="A208" s="1765" t="s">
        <v>1404</v>
      </c>
      <c r="B208" s="1769" t="s">
        <v>1082</v>
      </c>
      <c r="C208" s="1770">
        <v>0.15</v>
      </c>
      <c r="D208" s="1770">
        <v>0.15</v>
      </c>
      <c r="E208" s="1770">
        <v>0.15</v>
      </c>
      <c r="F208" s="1771">
        <v>0.15</v>
      </c>
    </row>
    <row r="209" spans="1:6" ht="14.25" thickBot="1">
      <c r="A209" s="1765" t="s">
        <v>1404</v>
      </c>
      <c r="B209" s="1769" t="s">
        <v>1095</v>
      </c>
      <c r="C209" s="1770">
        <v>0.13700000000000001</v>
      </c>
      <c r="D209" s="1770">
        <v>0.13700000000000001</v>
      </c>
      <c r="E209" s="1770">
        <v>0.14000000000000001</v>
      </c>
      <c r="F209" s="1771">
        <v>0.11700000000000001</v>
      </c>
    </row>
    <row r="210" spans="1:6" ht="14.25" thickBot="1">
      <c r="A210" s="1765" t="s">
        <v>1404</v>
      </c>
      <c r="B210" s="1769" t="s">
        <v>2141</v>
      </c>
      <c r="C210" s="1770">
        <v>0.15</v>
      </c>
      <c r="D210" s="1770">
        <v>0.15</v>
      </c>
      <c r="E210" s="1770">
        <v>0.15</v>
      </c>
      <c r="F210" s="1771">
        <v>0.13800000000000001</v>
      </c>
    </row>
    <row r="211" spans="1:6" ht="14.25" thickBot="1">
      <c r="A211" s="1765" t="s">
        <v>1404</v>
      </c>
      <c r="B211" s="1769" t="s">
        <v>2142</v>
      </c>
      <c r="C211" s="1770">
        <v>0.13700000000000001</v>
      </c>
      <c r="D211" s="1770">
        <v>0.13500000000000001</v>
      </c>
      <c r="E211" s="1770">
        <v>0.13600000000000001</v>
      </c>
      <c r="F211" s="1771">
        <v>0.1</v>
      </c>
    </row>
    <row r="212" spans="1:6" ht="14.25" thickBot="1">
      <c r="A212" s="1765" t="s">
        <v>1404</v>
      </c>
      <c r="B212" s="1769" t="s">
        <v>2143</v>
      </c>
      <c r="C212" s="1770">
        <v>0.15</v>
      </c>
      <c r="D212" s="1770">
        <v>0.15</v>
      </c>
      <c r="E212" s="1770">
        <v>0.14799999999999999</v>
      </c>
      <c r="F212" s="1771">
        <v>0.13600000000000001</v>
      </c>
    </row>
    <row r="213" spans="1:6" ht="14.25" thickBot="1">
      <c r="A213" s="1765" t="s">
        <v>1404</v>
      </c>
      <c r="B213" s="1769" t="s">
        <v>1142</v>
      </c>
      <c r="C213" s="1770">
        <v>0.15</v>
      </c>
      <c r="D213" s="1770">
        <v>0.15</v>
      </c>
      <c r="E213" s="1770">
        <v>0.15</v>
      </c>
      <c r="F213" s="1771">
        <v>0.13800000000000001</v>
      </c>
    </row>
    <row r="214" spans="1:6" ht="14.25" thickBot="1">
      <c r="A214" s="1765" t="s">
        <v>1404</v>
      </c>
      <c r="B214" s="1769" t="s">
        <v>1154</v>
      </c>
      <c r="C214" s="1770">
        <v>9.0999999999999998E-2</v>
      </c>
      <c r="D214" s="1770">
        <v>0.09</v>
      </c>
      <c r="E214" s="1770">
        <v>9.1999999999999998E-2</v>
      </c>
      <c r="F214" s="1778"/>
    </row>
    <row r="215" spans="1:6" ht="14.25" thickBot="1">
      <c r="A215" s="1765" t="s">
        <v>1404</v>
      </c>
      <c r="B215" s="1769" t="s">
        <v>2144</v>
      </c>
      <c r="C215" s="1770">
        <v>0.15</v>
      </c>
      <c r="D215" s="1770">
        <v>0.15</v>
      </c>
      <c r="E215" s="1770">
        <v>0.15</v>
      </c>
      <c r="F215" s="1771">
        <v>0.15</v>
      </c>
    </row>
    <row r="216" spans="1:6" ht="14.25" thickBot="1">
      <c r="A216" s="1765" t="s">
        <v>1404</v>
      </c>
      <c r="B216" s="1769" t="s">
        <v>1174</v>
      </c>
      <c r="C216" s="1770">
        <v>0.14699999999999999</v>
      </c>
      <c r="D216" s="1770">
        <v>0.14699999999999999</v>
      </c>
      <c r="E216" s="1770">
        <v>0.15</v>
      </c>
      <c r="F216" s="1771">
        <v>0.14000000000000001</v>
      </c>
    </row>
    <row r="217" spans="1:6" ht="14.25" thickBot="1">
      <c r="A217" s="1765" t="s">
        <v>1404</v>
      </c>
      <c r="B217" s="1769" t="s">
        <v>1184</v>
      </c>
      <c r="C217" s="1770">
        <v>0.15</v>
      </c>
      <c r="D217" s="1770">
        <v>0.15</v>
      </c>
      <c r="E217" s="1770">
        <v>0.15</v>
      </c>
      <c r="F217" s="1771">
        <v>0.15</v>
      </c>
    </row>
    <row r="218" spans="1:6" ht="14.25" thickBot="1">
      <c r="A218" s="1765" t="s">
        <v>1404</v>
      </c>
      <c r="B218" s="1769" t="s">
        <v>2145</v>
      </c>
      <c r="C218" s="1770">
        <v>0.15</v>
      </c>
      <c r="D218" s="1770">
        <v>0.15</v>
      </c>
      <c r="E218" s="1770">
        <v>0.15</v>
      </c>
      <c r="F218" s="1771">
        <v>0.15</v>
      </c>
    </row>
    <row r="219" spans="1:6" ht="14.25" thickBot="1">
      <c r="A219" s="1765" t="s">
        <v>1404</v>
      </c>
      <c r="B219" s="1769" t="s">
        <v>1204</v>
      </c>
      <c r="C219" s="1770">
        <v>0.15</v>
      </c>
      <c r="D219" s="1770">
        <v>0.15</v>
      </c>
      <c r="E219" s="1770">
        <v>0.15</v>
      </c>
      <c r="F219" s="1771">
        <v>0.14799999999999999</v>
      </c>
    </row>
    <row r="220" spans="1:6" ht="14.25" thickBot="1">
      <c r="A220" s="1765" t="s">
        <v>1404</v>
      </c>
      <c r="B220" s="1769" t="s">
        <v>2146</v>
      </c>
      <c r="C220" s="1770">
        <v>0.15</v>
      </c>
      <c r="D220" s="1770">
        <v>0.15</v>
      </c>
      <c r="E220" s="1770">
        <v>0.15</v>
      </c>
      <c r="F220" s="1771">
        <v>0.15</v>
      </c>
    </row>
    <row r="221" spans="1:6" ht="14.25" thickBot="1">
      <c r="A221" s="1765" t="s">
        <v>1404</v>
      </c>
      <c r="B221" s="1769" t="s">
        <v>1224</v>
      </c>
      <c r="C221" s="1770"/>
      <c r="D221" s="1779"/>
      <c r="E221" s="1779"/>
      <c r="F221" s="1771">
        <v>0.14799999999999999</v>
      </c>
    </row>
    <row r="222" spans="1:6" ht="14.25" thickBot="1">
      <c r="A222" s="1765" t="s">
        <v>1404</v>
      </c>
      <c r="B222" s="1769" t="s">
        <v>1234</v>
      </c>
      <c r="C222" s="1770"/>
      <c r="D222" s="1779"/>
      <c r="E222" s="1779"/>
      <c r="F222" s="1771">
        <v>0.1</v>
      </c>
    </row>
    <row r="223" spans="1:6" ht="14.25" thickBot="1">
      <c r="A223" s="1765" t="s">
        <v>1404</v>
      </c>
      <c r="B223" s="1769" t="s">
        <v>1244</v>
      </c>
      <c r="C223" s="1770"/>
      <c r="D223" s="1779"/>
      <c r="E223" s="1779"/>
      <c r="F223" s="1771">
        <v>0.15</v>
      </c>
    </row>
    <row r="224" spans="1:6" ht="14.25" thickBot="1">
      <c r="A224" s="1765" t="s">
        <v>1404</v>
      </c>
      <c r="B224" s="1769" t="s">
        <v>1254</v>
      </c>
      <c r="C224" s="1770"/>
      <c r="D224" s="1779"/>
      <c r="E224" s="1779"/>
      <c r="F224" s="1771">
        <v>0.15</v>
      </c>
    </row>
    <row r="225" spans="1:6" ht="14.25" thickBot="1">
      <c r="A225" s="1765" t="s">
        <v>1404</v>
      </c>
      <c r="B225" s="1769" t="s">
        <v>2147</v>
      </c>
      <c r="C225" s="1770">
        <v>0.15</v>
      </c>
      <c r="D225" s="1770">
        <v>0.15</v>
      </c>
      <c r="E225" s="1770">
        <v>0.15</v>
      </c>
      <c r="F225" s="1771">
        <v>0.15</v>
      </c>
    </row>
    <row r="226" spans="1:6" ht="14.25" thickBot="1">
      <c r="A226" s="1765" t="s">
        <v>1404</v>
      </c>
      <c r="B226" s="1769" t="s">
        <v>1272</v>
      </c>
      <c r="C226" s="1770">
        <v>0.15</v>
      </c>
      <c r="D226" s="1770">
        <v>0.15</v>
      </c>
      <c r="E226" s="1770">
        <v>0.15</v>
      </c>
      <c r="F226" s="1771">
        <v>0.14799999999999999</v>
      </c>
    </row>
    <row r="227" spans="1:6" ht="14.25" thickBot="1">
      <c r="A227" s="1765" t="s">
        <v>1404</v>
      </c>
      <c r="B227" s="1769" t="s">
        <v>2148</v>
      </c>
      <c r="C227" s="1770">
        <v>0.15</v>
      </c>
      <c r="D227" s="1770">
        <v>0.15</v>
      </c>
      <c r="E227" s="1770">
        <v>0.15</v>
      </c>
      <c r="F227" s="1771">
        <v>0.15</v>
      </c>
    </row>
    <row r="228" spans="1:6" ht="14.25" thickBot="1">
      <c r="A228" s="1765" t="s">
        <v>1404</v>
      </c>
      <c r="B228" s="1769" t="s">
        <v>1287</v>
      </c>
      <c r="C228" s="1770">
        <v>0.15</v>
      </c>
      <c r="D228" s="1770">
        <v>0.15</v>
      </c>
      <c r="E228" s="1770">
        <v>0.15</v>
      </c>
      <c r="F228" s="1771">
        <v>0.15</v>
      </c>
    </row>
    <row r="229" spans="1:6" ht="14.25" thickBot="1">
      <c r="A229" s="1765" t="s">
        <v>1404</v>
      </c>
      <c r="B229" s="1769" t="s">
        <v>1294</v>
      </c>
      <c r="C229" s="1770">
        <v>0.15</v>
      </c>
      <c r="D229" s="1770">
        <v>0.15</v>
      </c>
      <c r="E229" s="1770">
        <v>0.15</v>
      </c>
      <c r="F229" s="1778"/>
    </row>
    <row r="230" spans="1:6" ht="14.25" thickBot="1">
      <c r="A230" s="1765" t="s">
        <v>1404</v>
      </c>
      <c r="B230" s="1769" t="s">
        <v>1301</v>
      </c>
      <c r="C230" s="1770">
        <v>0.14499999999999999</v>
      </c>
      <c r="D230" s="1770">
        <v>0.14499999999999999</v>
      </c>
      <c r="E230" s="1770">
        <v>0.14399999999999999</v>
      </c>
      <c r="F230" s="1778"/>
    </row>
    <row r="231" spans="1:6" ht="14.25" thickBot="1">
      <c r="A231" s="1765" t="s">
        <v>1404</v>
      </c>
      <c r="B231" s="1769" t="s">
        <v>2149</v>
      </c>
      <c r="C231" s="1770">
        <v>0.128</v>
      </c>
      <c r="D231" s="1770">
        <v>0.125</v>
      </c>
      <c r="E231" s="1770">
        <v>0.13200000000000001</v>
      </c>
      <c r="F231" s="1778"/>
    </row>
    <row r="232" spans="1:6" ht="14.25" thickBot="1">
      <c r="A232" s="1765" t="s">
        <v>1404</v>
      </c>
      <c r="B232" s="1769" t="s">
        <v>2150</v>
      </c>
      <c r="C232" s="1770">
        <v>0.14499999999999999</v>
      </c>
      <c r="D232" s="1770">
        <v>0.14399999999999999</v>
      </c>
      <c r="E232" s="1770">
        <v>0.14599999999999999</v>
      </c>
      <c r="F232" s="1771">
        <v>0.13800000000000001</v>
      </c>
    </row>
    <row r="233" spans="1:6" ht="14.25" thickBot="1">
      <c r="A233" s="1765" t="s">
        <v>1404</v>
      </c>
      <c r="B233" s="1769" t="s">
        <v>2151</v>
      </c>
      <c r="C233" s="1770">
        <v>0.14499999999999999</v>
      </c>
      <c r="D233" s="1770">
        <v>0.14299999999999999</v>
      </c>
      <c r="E233" s="1770">
        <v>0.14199999999999999</v>
      </c>
      <c r="F233" s="1778"/>
    </row>
    <row r="234" spans="1:6" ht="14.25" thickBot="1">
      <c r="A234" s="1765" t="s">
        <v>1404</v>
      </c>
      <c r="B234" s="1769" t="s">
        <v>2152</v>
      </c>
      <c r="C234" s="1770">
        <v>0.14000000000000001</v>
      </c>
      <c r="D234" s="1770">
        <v>0.14000000000000001</v>
      </c>
      <c r="E234" s="1770">
        <v>0.14399999999999999</v>
      </c>
      <c r="F234" s="1778"/>
    </row>
    <row r="235" spans="1:6" ht="14.25" thickBot="1">
      <c r="A235" s="1765" t="s">
        <v>1404</v>
      </c>
      <c r="B235" s="1769" t="s">
        <v>2153</v>
      </c>
      <c r="C235" s="1770">
        <v>0.14099999999999999</v>
      </c>
      <c r="D235" s="1770">
        <v>0.14199999999999999</v>
      </c>
      <c r="E235" s="1770">
        <v>0.14499999999999999</v>
      </c>
      <c r="F235" s="1771">
        <v>0.15</v>
      </c>
    </row>
    <row r="236" spans="1:6" ht="14.25" thickBot="1">
      <c r="A236" s="1765" t="s">
        <v>1404</v>
      </c>
      <c r="B236" s="1769" t="s">
        <v>1336</v>
      </c>
      <c r="C236" s="1779"/>
      <c r="D236" s="1779"/>
      <c r="E236" s="1779"/>
      <c r="F236" s="1771">
        <v>0.14299999999999999</v>
      </c>
    </row>
    <row r="237" spans="1:6" ht="24.75" thickBot="1">
      <c r="A237" s="1765" t="s">
        <v>1404</v>
      </c>
      <c r="B237" s="1769" t="s">
        <v>2154</v>
      </c>
      <c r="C237" s="1779"/>
      <c r="D237" s="1779"/>
      <c r="E237" s="1779"/>
      <c r="F237" s="1771">
        <v>0.05</v>
      </c>
    </row>
    <row r="238" spans="1:6" ht="24.75" thickBot="1">
      <c r="A238" s="1765" t="s">
        <v>1404</v>
      </c>
      <c r="B238" s="1769" t="s">
        <v>2155</v>
      </c>
      <c r="C238" s="1779"/>
      <c r="D238" s="1779"/>
      <c r="E238" s="1779"/>
      <c r="F238" s="1771">
        <v>0.05</v>
      </c>
    </row>
    <row r="239" spans="1:6" ht="24.75" thickBot="1">
      <c r="A239" s="1765" t="s">
        <v>1404</v>
      </c>
      <c r="B239" s="1769" t="s">
        <v>2156</v>
      </c>
      <c r="C239" s="1779"/>
      <c r="D239" s="1779"/>
      <c r="E239" s="1779"/>
      <c r="F239" s="1771">
        <v>0.05</v>
      </c>
    </row>
    <row r="240" spans="1:6" ht="24.75" thickBot="1">
      <c r="A240" s="1765" t="s">
        <v>1404</v>
      </c>
      <c r="B240" s="1769" t="s">
        <v>2157</v>
      </c>
      <c r="C240" s="1779"/>
      <c r="D240" s="1779"/>
      <c r="E240" s="1779"/>
      <c r="F240" s="1771">
        <v>0.05</v>
      </c>
    </row>
    <row r="241" spans="1:6" ht="24.75" thickBot="1">
      <c r="A241" s="1765" t="s">
        <v>1404</v>
      </c>
      <c r="B241" s="1769" t="s">
        <v>2158</v>
      </c>
      <c r="C241" s="1779"/>
      <c r="D241" s="1779"/>
      <c r="E241" s="1779"/>
      <c r="F241" s="1771">
        <v>0.05</v>
      </c>
    </row>
    <row r="242" spans="1:6" ht="24.75" thickBot="1">
      <c r="A242" s="1765" t="s">
        <v>1404</v>
      </c>
      <c r="B242" s="1769" t="s">
        <v>2159</v>
      </c>
      <c r="C242" s="1779"/>
      <c r="D242" s="1779"/>
      <c r="E242" s="1779"/>
      <c r="F242" s="1771">
        <v>0.05</v>
      </c>
    </row>
    <row r="243" spans="1:6" ht="24.75" thickBot="1">
      <c r="A243" s="1765" t="s">
        <v>1404</v>
      </c>
      <c r="B243" s="1769" t="s">
        <v>2160</v>
      </c>
      <c r="C243" s="1779"/>
      <c r="D243" s="1779"/>
      <c r="E243" s="1779"/>
      <c r="F243" s="1771">
        <v>0.05</v>
      </c>
    </row>
    <row r="244" spans="1:6" ht="24.75" thickBot="1">
      <c r="A244" s="1773" t="s">
        <v>1404</v>
      </c>
      <c r="B244" s="1780" t="s">
        <v>2161</v>
      </c>
      <c r="C244" s="1776"/>
      <c r="D244" s="1776"/>
      <c r="E244" s="1776"/>
      <c r="F244" s="1781">
        <v>0.05</v>
      </c>
    </row>
    <row r="245" spans="1:6" ht="14.25" thickBot="1">
      <c r="A245" s="1765" t="s">
        <v>1406</v>
      </c>
      <c r="B245" s="1766" t="s">
        <v>2162</v>
      </c>
      <c r="C245" s="1767">
        <v>0.15</v>
      </c>
      <c r="D245" s="1767">
        <v>0.15</v>
      </c>
      <c r="E245" s="1767">
        <v>0.15</v>
      </c>
      <c r="F245" s="1768">
        <v>0.14299999999999999</v>
      </c>
    </row>
    <row r="246" spans="1:6" ht="14.25" thickBot="1">
      <c r="A246" s="1765" t="s">
        <v>1406</v>
      </c>
      <c r="B246" s="1769" t="s">
        <v>1069</v>
      </c>
      <c r="C246" s="1770">
        <v>0.15</v>
      </c>
      <c r="D246" s="1770">
        <v>0.15</v>
      </c>
      <c r="E246" s="1770">
        <v>0.15</v>
      </c>
      <c r="F246" s="1771">
        <v>0.114</v>
      </c>
    </row>
    <row r="247" spans="1:6" ht="14.25" thickBot="1">
      <c r="A247" s="1765" t="s">
        <v>1406</v>
      </c>
      <c r="B247" s="1769" t="s">
        <v>2163</v>
      </c>
      <c r="C247" s="1770">
        <v>0.15</v>
      </c>
      <c r="D247" s="1770">
        <v>0.15</v>
      </c>
      <c r="E247" s="1770">
        <v>0.15</v>
      </c>
      <c r="F247" s="1771">
        <v>0.15</v>
      </c>
    </row>
    <row r="248" spans="1:6" ht="14.25" thickBot="1">
      <c r="A248" s="1765" t="s">
        <v>1406</v>
      </c>
      <c r="B248" s="1769" t="s">
        <v>2164</v>
      </c>
      <c r="C248" s="1770">
        <v>0.15</v>
      </c>
      <c r="D248" s="1770">
        <v>0.15</v>
      </c>
      <c r="E248" s="1770">
        <v>0.15</v>
      </c>
      <c r="F248" s="1771">
        <v>0.14000000000000001</v>
      </c>
    </row>
    <row r="249" spans="1:6" ht="14.25" thickBot="1">
      <c r="A249" s="1765" t="s">
        <v>1406</v>
      </c>
      <c r="B249" s="1769" t="s">
        <v>2165</v>
      </c>
      <c r="C249" s="1770">
        <v>0.15</v>
      </c>
      <c r="D249" s="1770">
        <v>0.14899999999999999</v>
      </c>
      <c r="E249" s="1770">
        <v>0.15</v>
      </c>
      <c r="F249" s="1771">
        <v>0.1</v>
      </c>
    </row>
    <row r="250" spans="1:6" ht="14.25" thickBot="1">
      <c r="A250" s="1765" t="s">
        <v>1406</v>
      </c>
      <c r="B250" s="1769" t="s">
        <v>2166</v>
      </c>
      <c r="C250" s="1770">
        <v>0.15</v>
      </c>
      <c r="D250" s="1770">
        <v>0.15</v>
      </c>
      <c r="E250" s="1770">
        <v>0.15</v>
      </c>
      <c r="F250" s="1771">
        <v>0.14399999999999999</v>
      </c>
    </row>
    <row r="251" spans="1:6" ht="14.25" thickBot="1">
      <c r="A251" s="1765" t="s">
        <v>1406</v>
      </c>
      <c r="B251" s="1769" t="s">
        <v>1132</v>
      </c>
      <c r="C251" s="1770">
        <v>0.15</v>
      </c>
      <c r="D251" s="1770">
        <v>0.15</v>
      </c>
      <c r="E251" s="1770">
        <v>0.15</v>
      </c>
      <c r="F251" s="1771">
        <v>0.14299999999999999</v>
      </c>
    </row>
    <row r="252" spans="1:6" ht="14.25" thickBot="1">
      <c r="A252" s="1765" t="s">
        <v>1406</v>
      </c>
      <c r="B252" s="1769" t="s">
        <v>1143</v>
      </c>
      <c r="C252" s="1770">
        <v>0.15</v>
      </c>
      <c r="D252" s="1770">
        <v>0.15</v>
      </c>
      <c r="E252" s="1770">
        <v>0.15</v>
      </c>
      <c r="F252" s="1771">
        <v>0.1</v>
      </c>
    </row>
    <row r="253" spans="1:6" ht="14.25" thickBot="1">
      <c r="A253" s="1765" t="s">
        <v>1406</v>
      </c>
      <c r="B253" s="1769" t="s">
        <v>1155</v>
      </c>
      <c r="C253" s="1770">
        <v>0.15</v>
      </c>
      <c r="D253" s="1770">
        <v>0.15</v>
      </c>
      <c r="E253" s="1770">
        <v>0.15</v>
      </c>
      <c r="F253" s="1771">
        <v>0.1</v>
      </c>
    </row>
    <row r="254" spans="1:6" ht="14.25" thickBot="1">
      <c r="A254" s="1765" t="s">
        <v>1406</v>
      </c>
      <c r="B254" s="1769" t="s">
        <v>1165</v>
      </c>
      <c r="C254" s="1779"/>
      <c r="D254" s="1779"/>
      <c r="E254" s="1779"/>
      <c r="F254" s="1771">
        <v>0.15</v>
      </c>
    </row>
    <row r="255" spans="1:6" ht="14.25" thickBot="1">
      <c r="A255" s="1765" t="s">
        <v>1406</v>
      </c>
      <c r="B255" s="1769" t="s">
        <v>1175</v>
      </c>
      <c r="C255" s="1779"/>
      <c r="D255" s="1779"/>
      <c r="E255" s="1779"/>
      <c r="F255" s="1771">
        <v>0.14299999999999999</v>
      </c>
    </row>
    <row r="256" spans="1:6" ht="14.25" thickBot="1">
      <c r="A256" s="1765" t="s">
        <v>1406</v>
      </c>
      <c r="B256" s="1769" t="s">
        <v>2167</v>
      </c>
      <c r="C256" s="1770">
        <v>0.14599999999999999</v>
      </c>
      <c r="D256" s="1770">
        <v>0.14699999999999999</v>
      </c>
      <c r="E256" s="1770">
        <v>0.15</v>
      </c>
      <c r="F256" s="1771">
        <v>0.13200000000000001</v>
      </c>
    </row>
    <row r="257" spans="1:6" ht="14.25" thickBot="1">
      <c r="A257" s="1765" t="s">
        <v>1406</v>
      </c>
      <c r="B257" s="1769" t="s">
        <v>1195</v>
      </c>
      <c r="C257" s="1770">
        <v>0.15</v>
      </c>
      <c r="D257" s="1770">
        <v>0.15</v>
      </c>
      <c r="E257" s="1770">
        <v>0.15</v>
      </c>
      <c r="F257" s="1771">
        <v>0.13900000000000001</v>
      </c>
    </row>
    <row r="258" spans="1:6" ht="14.25" thickBot="1">
      <c r="A258" s="1765" t="s">
        <v>1406</v>
      </c>
      <c r="B258" s="1769" t="s">
        <v>1205</v>
      </c>
      <c r="C258" s="1770">
        <v>0.15</v>
      </c>
      <c r="D258" s="1770">
        <v>0.15</v>
      </c>
      <c r="E258" s="1770">
        <v>0.15</v>
      </c>
      <c r="F258" s="1771">
        <v>0.13</v>
      </c>
    </row>
    <row r="259" spans="1:6" ht="14.25" thickBot="1">
      <c r="A259" s="1765" t="s">
        <v>1406</v>
      </c>
      <c r="B259" s="1769" t="s">
        <v>2168</v>
      </c>
      <c r="C259" s="1770">
        <v>0.14799999999999999</v>
      </c>
      <c r="D259" s="1770">
        <v>0.14899999999999999</v>
      </c>
      <c r="E259" s="1770">
        <v>0.15</v>
      </c>
      <c r="F259" s="1771">
        <v>0.13700000000000001</v>
      </c>
    </row>
    <row r="260" spans="1:6" ht="14.25" thickBot="1">
      <c r="A260" s="1765" t="s">
        <v>1406</v>
      </c>
      <c r="B260" s="1769" t="s">
        <v>1225</v>
      </c>
      <c r="C260" s="1770">
        <v>0.15</v>
      </c>
      <c r="D260" s="1770">
        <v>0.15</v>
      </c>
      <c r="E260" s="1770">
        <v>0.15</v>
      </c>
      <c r="F260" s="1771">
        <v>0.14199999999999999</v>
      </c>
    </row>
    <row r="261" spans="1:6" ht="14.25" thickBot="1">
      <c r="A261" s="1765" t="s">
        <v>1406</v>
      </c>
      <c r="B261" s="1769" t="s">
        <v>1235</v>
      </c>
      <c r="C261" s="1770">
        <v>0.15</v>
      </c>
      <c r="D261" s="1770">
        <v>0.15</v>
      </c>
      <c r="E261" s="1770">
        <v>0.14899999999999999</v>
      </c>
      <c r="F261" s="1771">
        <v>0.14799999999999999</v>
      </c>
    </row>
    <row r="262" spans="1:6" ht="14.25" thickBot="1">
      <c r="A262" s="1765" t="s">
        <v>1406</v>
      </c>
      <c r="B262" s="1769" t="s">
        <v>1245</v>
      </c>
      <c r="C262" s="1770">
        <v>0.15</v>
      </c>
      <c r="D262" s="1770">
        <v>0.15</v>
      </c>
      <c r="E262" s="1770">
        <v>0.15</v>
      </c>
      <c r="F262" s="1778"/>
    </row>
    <row r="263" spans="1:6" ht="14.25" thickBot="1">
      <c r="A263" s="1765" t="s">
        <v>1406</v>
      </c>
      <c r="B263" s="1769" t="s">
        <v>2169</v>
      </c>
      <c r="C263" s="1770">
        <v>0.14899999999999999</v>
      </c>
      <c r="D263" s="1770">
        <v>0.14899999999999999</v>
      </c>
      <c r="E263" s="1770">
        <v>0.15</v>
      </c>
      <c r="F263" s="1771">
        <v>0.13</v>
      </c>
    </row>
    <row r="264" spans="1:6" ht="14.25" thickBot="1">
      <c r="A264" s="1765" t="s">
        <v>1406</v>
      </c>
      <c r="B264" s="1769" t="s">
        <v>1264</v>
      </c>
      <c r="C264" s="1770">
        <v>0.14799999999999999</v>
      </c>
      <c r="D264" s="1770">
        <v>0.14699999999999999</v>
      </c>
      <c r="E264" s="1770">
        <v>0.15</v>
      </c>
      <c r="F264" s="1771">
        <v>7.8E-2</v>
      </c>
    </row>
    <row r="265" spans="1:6" ht="14.25" thickBot="1">
      <c r="A265" s="1765" t="s">
        <v>1406</v>
      </c>
      <c r="B265" s="1769" t="s">
        <v>1273</v>
      </c>
      <c r="C265" s="1770">
        <v>0.15</v>
      </c>
      <c r="D265" s="1770">
        <v>0.15</v>
      </c>
      <c r="E265" s="1770">
        <v>0.15</v>
      </c>
      <c r="F265" s="1771">
        <v>7.3999999999999996E-2</v>
      </c>
    </row>
    <row r="266" spans="1:6" ht="14.25" thickBot="1">
      <c r="A266" s="1765" t="s">
        <v>1406</v>
      </c>
      <c r="B266" s="1769" t="s">
        <v>1281</v>
      </c>
      <c r="C266" s="1770">
        <v>0.14699999999999999</v>
      </c>
      <c r="D266" s="1770">
        <v>0.14699999999999999</v>
      </c>
      <c r="E266" s="1770">
        <v>0.15</v>
      </c>
      <c r="F266" s="1771">
        <v>0.14299999999999999</v>
      </c>
    </row>
    <row r="267" spans="1:6" ht="14.25" thickBot="1">
      <c r="A267" s="1765" t="s">
        <v>1406</v>
      </c>
      <c r="B267" s="1769" t="s">
        <v>1288</v>
      </c>
      <c r="C267" s="1770">
        <v>0.14199999999999999</v>
      </c>
      <c r="D267" s="1770">
        <v>0.14299999999999999</v>
      </c>
      <c r="E267" s="1770">
        <v>0.15</v>
      </c>
      <c r="F267" s="1778"/>
    </row>
    <row r="268" spans="1:6" ht="14.25" thickBot="1">
      <c r="A268" s="1765" t="s">
        <v>1406</v>
      </c>
      <c r="B268" s="1769" t="s">
        <v>2170</v>
      </c>
      <c r="C268" s="1770">
        <v>0.15</v>
      </c>
      <c r="D268" s="1770">
        <v>0.15</v>
      </c>
      <c r="E268" s="1770">
        <v>0.15</v>
      </c>
      <c r="F268" s="1771">
        <v>0.13</v>
      </c>
    </row>
    <row r="269" spans="1:6" ht="14.25" thickBot="1">
      <c r="A269" s="1765" t="s">
        <v>1406</v>
      </c>
      <c r="B269" s="1769" t="s">
        <v>1302</v>
      </c>
      <c r="C269" s="1770">
        <v>0.15</v>
      </c>
      <c r="D269" s="1770">
        <v>0.15</v>
      </c>
      <c r="E269" s="1770">
        <v>0.15</v>
      </c>
      <c r="F269" s="1771">
        <v>0.14299999999999999</v>
      </c>
    </row>
    <row r="270" spans="1:6" ht="14.25" thickBot="1">
      <c r="A270" s="1765" t="s">
        <v>1406</v>
      </c>
      <c r="B270" s="1769" t="s">
        <v>1309</v>
      </c>
      <c r="C270" s="1770">
        <v>0.14499999999999999</v>
      </c>
      <c r="D270" s="1770">
        <v>0.14499999999999999</v>
      </c>
      <c r="E270" s="1770">
        <v>0.15</v>
      </c>
      <c r="F270" s="1771">
        <v>0.14699999999999999</v>
      </c>
    </row>
    <row r="271" spans="1:6" ht="14.25" thickBot="1">
      <c r="A271" s="1765" t="s">
        <v>1406</v>
      </c>
      <c r="B271" s="1769" t="s">
        <v>1316</v>
      </c>
      <c r="C271" s="1770">
        <v>0.15</v>
      </c>
      <c r="D271" s="1770">
        <v>0.15</v>
      </c>
      <c r="E271" s="1770">
        <v>0.15</v>
      </c>
      <c r="F271" s="1771">
        <v>0.13800000000000001</v>
      </c>
    </row>
    <row r="272" spans="1:6" ht="14.25" thickBot="1">
      <c r="A272" s="1765" t="s">
        <v>1406</v>
      </c>
      <c r="B272" s="1769" t="s">
        <v>1323</v>
      </c>
      <c r="C272" s="1779"/>
      <c r="D272" s="1779"/>
      <c r="E272" s="1779"/>
      <c r="F272" s="1771">
        <v>0.14000000000000001</v>
      </c>
    </row>
    <row r="273" spans="1:6" ht="14.25" thickBot="1">
      <c r="A273" s="1765" t="s">
        <v>1406</v>
      </c>
      <c r="B273" s="1769" t="s">
        <v>2171</v>
      </c>
      <c r="C273" s="1770">
        <v>0.14199999999999999</v>
      </c>
      <c r="D273" s="1770">
        <v>0.14299999999999999</v>
      </c>
      <c r="E273" s="1770">
        <v>0.15</v>
      </c>
      <c r="F273" s="1771">
        <v>0.1</v>
      </c>
    </row>
    <row r="274" spans="1:6" ht="14.25" thickBot="1">
      <c r="A274" s="1765" t="s">
        <v>1406</v>
      </c>
      <c r="B274" s="1769" t="s">
        <v>2172</v>
      </c>
      <c r="C274" s="1770">
        <v>0.14799999999999999</v>
      </c>
      <c r="D274" s="1770">
        <v>0.14799999999999999</v>
      </c>
      <c r="E274" s="1770">
        <v>0.15</v>
      </c>
      <c r="F274" s="1771">
        <v>6.7000000000000004E-2</v>
      </c>
    </row>
    <row r="275" spans="1:6" ht="14.25" thickBot="1">
      <c r="A275" s="1765" t="s">
        <v>1406</v>
      </c>
      <c r="B275" s="1769" t="s">
        <v>2173</v>
      </c>
      <c r="C275" s="1770">
        <v>0.15</v>
      </c>
      <c r="D275" s="1770">
        <v>0.15</v>
      </c>
      <c r="E275" s="1770">
        <v>0.15</v>
      </c>
      <c r="F275" s="1771">
        <v>0.15</v>
      </c>
    </row>
    <row r="276" spans="1:6" ht="14.25" thickBot="1">
      <c r="A276" s="1765" t="s">
        <v>1406</v>
      </c>
      <c r="B276" s="1769" t="s">
        <v>2174</v>
      </c>
      <c r="C276" s="1770">
        <v>0.14499999999999999</v>
      </c>
      <c r="D276" s="1770">
        <v>0.14299999999999999</v>
      </c>
      <c r="E276" s="1770">
        <v>0.15</v>
      </c>
      <c r="F276" s="1771">
        <v>5.8999999999999997E-2</v>
      </c>
    </row>
    <row r="277" spans="1:6" ht="14.25" thickBot="1">
      <c r="A277" s="1765" t="s">
        <v>1406</v>
      </c>
      <c r="B277" s="1769" t="s">
        <v>2175</v>
      </c>
      <c r="C277" s="1770">
        <v>0.15</v>
      </c>
      <c r="D277" s="1770">
        <v>0.15</v>
      </c>
      <c r="E277" s="1770">
        <v>0.15</v>
      </c>
      <c r="F277" s="1771">
        <v>0.121</v>
      </c>
    </row>
    <row r="278" spans="1:6" ht="14.25" thickBot="1">
      <c r="A278" s="1765" t="s">
        <v>1406</v>
      </c>
      <c r="B278" s="1769" t="s">
        <v>2176</v>
      </c>
      <c r="C278" s="1770">
        <v>0.15</v>
      </c>
      <c r="D278" s="1770">
        <v>0.15</v>
      </c>
      <c r="E278" s="1770">
        <v>0.15</v>
      </c>
      <c r="F278" s="1771">
        <v>0.13800000000000001</v>
      </c>
    </row>
    <row r="279" spans="1:6" ht="24.75" thickBot="1">
      <c r="A279" s="1765" t="s">
        <v>1406</v>
      </c>
      <c r="B279" s="1769" t="s">
        <v>2177</v>
      </c>
      <c r="C279" s="1779"/>
      <c r="D279" s="1779"/>
      <c r="E279" s="1779"/>
      <c r="F279" s="1771">
        <v>0.05</v>
      </c>
    </row>
    <row r="280" spans="1:6" ht="24.75" thickBot="1">
      <c r="A280" s="1765" t="s">
        <v>1406</v>
      </c>
      <c r="B280" s="1769" t="s">
        <v>2178</v>
      </c>
      <c r="C280" s="1779"/>
      <c r="D280" s="1779"/>
      <c r="E280" s="1779"/>
      <c r="F280" s="1771">
        <v>0.05</v>
      </c>
    </row>
    <row r="281" spans="1:6" ht="24.75" thickBot="1">
      <c r="A281" s="1765" t="s">
        <v>1406</v>
      </c>
      <c r="B281" s="1769" t="s">
        <v>2179</v>
      </c>
      <c r="C281" s="1779"/>
      <c r="D281" s="1779"/>
      <c r="E281" s="1779"/>
      <c r="F281" s="1771">
        <v>0.05</v>
      </c>
    </row>
    <row r="282" spans="1:6" ht="24.75" thickBot="1">
      <c r="A282" s="1765" t="s">
        <v>1406</v>
      </c>
      <c r="B282" s="1769" t="s">
        <v>2180</v>
      </c>
      <c r="C282" s="1779"/>
      <c r="D282" s="1779"/>
      <c r="E282" s="1779"/>
      <c r="F282" s="1771">
        <v>0.05</v>
      </c>
    </row>
    <row r="283" spans="1:6" ht="24.75" thickBot="1">
      <c r="A283" s="1765" t="s">
        <v>1406</v>
      </c>
      <c r="B283" s="1769" t="s">
        <v>2181</v>
      </c>
      <c r="C283" s="1779"/>
      <c r="D283" s="1779"/>
      <c r="E283" s="1779"/>
      <c r="F283" s="1771">
        <v>0.05</v>
      </c>
    </row>
    <row r="284" spans="1:6" ht="24.75" thickBot="1">
      <c r="A284" s="1765" t="s">
        <v>1406</v>
      </c>
      <c r="B284" s="1769" t="s">
        <v>2182</v>
      </c>
      <c r="C284" s="1779"/>
      <c r="D284" s="1779"/>
      <c r="E284" s="1779"/>
      <c r="F284" s="1771">
        <v>0.05</v>
      </c>
    </row>
    <row r="285" spans="1:6" ht="24.75" thickBot="1">
      <c r="A285" s="1765" t="s">
        <v>1406</v>
      </c>
      <c r="B285" s="1769" t="s">
        <v>2183</v>
      </c>
      <c r="C285" s="1779"/>
      <c r="D285" s="1779"/>
      <c r="E285" s="1779"/>
      <c r="F285" s="1771">
        <v>0.05</v>
      </c>
    </row>
    <row r="286" spans="1:6" ht="24.75" thickBot="1">
      <c r="A286" s="1765" t="s">
        <v>1406</v>
      </c>
      <c r="B286" s="1769" t="s">
        <v>2184</v>
      </c>
      <c r="C286" s="1779"/>
      <c r="D286" s="1779"/>
      <c r="E286" s="1779"/>
      <c r="F286" s="1771">
        <v>0.05</v>
      </c>
    </row>
    <row r="287" spans="1:6" ht="24.75" thickBot="1">
      <c r="A287" s="1765" t="s">
        <v>1406</v>
      </c>
      <c r="B287" s="1769" t="s">
        <v>2185</v>
      </c>
      <c r="C287" s="1779"/>
      <c r="D287" s="1779"/>
      <c r="E287" s="1779"/>
      <c r="F287" s="1771">
        <v>0.05</v>
      </c>
    </row>
    <row r="288" spans="1:6" ht="24.75" thickBot="1">
      <c r="A288" s="1765" t="s">
        <v>1406</v>
      </c>
      <c r="B288" s="1769" t="s">
        <v>2186</v>
      </c>
      <c r="C288" s="1779"/>
      <c r="D288" s="1779"/>
      <c r="E288" s="1779"/>
      <c r="F288" s="1771">
        <v>0.05</v>
      </c>
    </row>
    <row r="289" spans="1:6" ht="24.75" thickBot="1">
      <c r="A289" s="1773" t="s">
        <v>1406</v>
      </c>
      <c r="B289" s="1780" t="s">
        <v>2187</v>
      </c>
      <c r="C289" s="1776"/>
      <c r="D289" s="1776"/>
      <c r="E289" s="1776"/>
      <c r="F289" s="1781">
        <v>0.05</v>
      </c>
    </row>
    <row r="290" spans="1:6" ht="14.25" thickBot="1">
      <c r="A290" s="1765" t="s">
        <v>1410</v>
      </c>
      <c r="B290" s="1766" t="s">
        <v>2188</v>
      </c>
      <c r="C290" s="1767">
        <v>0.15</v>
      </c>
      <c r="D290" s="1767">
        <v>0.15</v>
      </c>
      <c r="E290" s="1767">
        <v>0.15</v>
      </c>
      <c r="F290" s="1789"/>
    </row>
    <row r="291" spans="1:6" ht="14.25" thickBot="1">
      <c r="A291" s="1765" t="s">
        <v>1410</v>
      </c>
      <c r="B291" s="1769" t="s">
        <v>1070</v>
      </c>
      <c r="C291" s="1770">
        <v>0.15</v>
      </c>
      <c r="D291" s="1770">
        <v>0.15</v>
      </c>
      <c r="E291" s="1770">
        <v>0.15</v>
      </c>
      <c r="F291" s="1778"/>
    </row>
    <row r="292" spans="1:6" ht="14.25" thickBot="1">
      <c r="A292" s="1765" t="s">
        <v>1410</v>
      </c>
      <c r="B292" s="1769" t="s">
        <v>2189</v>
      </c>
      <c r="C292" s="1770">
        <v>0.15</v>
      </c>
      <c r="D292" s="1770">
        <v>0.15</v>
      </c>
      <c r="E292" s="1770">
        <v>0.15</v>
      </c>
      <c r="F292" s="1771">
        <v>0.14699999999999999</v>
      </c>
    </row>
    <row r="293" spans="1:6" ht="14.25" thickBot="1">
      <c r="A293" s="1765" t="s">
        <v>1410</v>
      </c>
      <c r="B293" s="1769" t="s">
        <v>2190</v>
      </c>
      <c r="C293" s="1779"/>
      <c r="D293" s="1779"/>
      <c r="E293" s="1779"/>
      <c r="F293" s="1771">
        <v>0.1</v>
      </c>
    </row>
    <row r="294" spans="1:6" ht="14.25" thickBot="1">
      <c r="A294" s="1765" t="s">
        <v>1410</v>
      </c>
      <c r="B294" s="1769" t="s">
        <v>2191</v>
      </c>
      <c r="C294" s="1770">
        <v>0.15</v>
      </c>
      <c r="D294" s="1770">
        <v>0.15</v>
      </c>
      <c r="E294" s="1770">
        <v>0.15</v>
      </c>
      <c r="F294" s="1771">
        <v>0.15</v>
      </c>
    </row>
    <row r="295" spans="1:6" ht="14.25" thickBot="1">
      <c r="A295" s="1765" t="s">
        <v>1410</v>
      </c>
      <c r="B295" s="1769" t="s">
        <v>1111</v>
      </c>
      <c r="C295" s="1770">
        <v>0.15</v>
      </c>
      <c r="D295" s="1770">
        <v>0.15</v>
      </c>
      <c r="E295" s="1770">
        <v>0.15</v>
      </c>
      <c r="F295" s="1771">
        <v>0.15</v>
      </c>
    </row>
    <row r="296" spans="1:6" ht="14.25" thickBot="1">
      <c r="A296" s="1765" t="s">
        <v>1410</v>
      </c>
      <c r="B296" s="1769" t="s">
        <v>2192</v>
      </c>
      <c r="C296" s="1770">
        <v>0.15</v>
      </c>
      <c r="D296" s="1770">
        <v>0.15</v>
      </c>
      <c r="E296" s="1770">
        <v>0.15</v>
      </c>
      <c r="F296" s="1771">
        <v>0.15</v>
      </c>
    </row>
    <row r="297" spans="1:6" ht="14.25" thickBot="1">
      <c r="A297" s="1765" t="s">
        <v>1410</v>
      </c>
      <c r="B297" s="1769" t="s">
        <v>2193</v>
      </c>
      <c r="C297" s="1770">
        <v>0.14799999999999999</v>
      </c>
      <c r="D297" s="1770">
        <v>0.14899999999999999</v>
      </c>
      <c r="E297" s="1770">
        <v>0.15</v>
      </c>
      <c r="F297" s="1771">
        <v>0.13700000000000001</v>
      </c>
    </row>
    <row r="298" spans="1:6" ht="14.25" thickBot="1">
      <c r="A298" s="1765" t="s">
        <v>1410</v>
      </c>
      <c r="B298" s="1769" t="s">
        <v>1144</v>
      </c>
      <c r="C298" s="1770">
        <v>0.13400000000000001</v>
      </c>
      <c r="D298" s="1770">
        <v>0.13400000000000001</v>
      </c>
      <c r="E298" s="1770">
        <v>0.14499999999999999</v>
      </c>
      <c r="F298" s="1771">
        <v>0.14799999999999999</v>
      </c>
    </row>
    <row r="299" spans="1:6" ht="14.25" thickBot="1">
      <c r="A299" s="1765" t="s">
        <v>1410</v>
      </c>
      <c r="B299" s="1769" t="s">
        <v>1156</v>
      </c>
      <c r="C299" s="1770">
        <v>0.15</v>
      </c>
      <c r="D299" s="1770">
        <v>0.15</v>
      </c>
      <c r="E299" s="1770">
        <v>0.15</v>
      </c>
      <c r="F299" s="1778"/>
    </row>
    <row r="300" spans="1:6" ht="14.25" thickBot="1">
      <c r="A300" s="1765" t="s">
        <v>1410</v>
      </c>
      <c r="B300" s="1769" t="s">
        <v>2194</v>
      </c>
      <c r="C300" s="1770">
        <v>0.15</v>
      </c>
      <c r="D300" s="1770">
        <v>0.15</v>
      </c>
      <c r="E300" s="1770">
        <v>0.15</v>
      </c>
      <c r="F300" s="1771">
        <v>0.15</v>
      </c>
    </row>
    <row r="301" spans="1:6" ht="14.25" thickBot="1">
      <c r="A301" s="1765" t="s">
        <v>1410</v>
      </c>
      <c r="B301" s="1769" t="s">
        <v>1176</v>
      </c>
      <c r="C301" s="1770">
        <v>0.15</v>
      </c>
      <c r="D301" s="1770">
        <v>0.15</v>
      </c>
      <c r="E301" s="1770">
        <v>0.15</v>
      </c>
      <c r="F301" s="1778"/>
    </row>
    <row r="302" spans="1:6" ht="14.25" thickBot="1">
      <c r="A302" s="1765" t="s">
        <v>1410</v>
      </c>
      <c r="B302" s="1769" t="s">
        <v>2195</v>
      </c>
      <c r="C302" s="1770">
        <v>0.15</v>
      </c>
      <c r="D302" s="1770">
        <v>0.15</v>
      </c>
      <c r="E302" s="1770">
        <v>0.15</v>
      </c>
      <c r="F302" s="1771">
        <v>0.15</v>
      </c>
    </row>
    <row r="303" spans="1:6" ht="14.25" thickBot="1">
      <c r="A303" s="1765" t="s">
        <v>1410</v>
      </c>
      <c r="B303" s="1769" t="s">
        <v>1196</v>
      </c>
      <c r="C303" s="1770">
        <v>0.15</v>
      </c>
      <c r="D303" s="1770">
        <v>0.15</v>
      </c>
      <c r="E303" s="1770">
        <v>0.15</v>
      </c>
      <c r="F303" s="1771">
        <v>0.15</v>
      </c>
    </row>
    <row r="304" spans="1:6" ht="14.25" thickBot="1">
      <c r="A304" s="1765" t="s">
        <v>1410</v>
      </c>
      <c r="B304" s="1769" t="s">
        <v>1206</v>
      </c>
      <c r="C304" s="1770">
        <v>0.15</v>
      </c>
      <c r="D304" s="1770">
        <v>0.15</v>
      </c>
      <c r="E304" s="1770">
        <v>0.15</v>
      </c>
      <c r="F304" s="1778"/>
    </row>
    <row r="305" spans="1:6" ht="14.25" thickBot="1">
      <c r="A305" s="1765" t="s">
        <v>1410</v>
      </c>
      <c r="B305" s="1769" t="s">
        <v>2196</v>
      </c>
      <c r="C305" s="1770">
        <v>0.15</v>
      </c>
      <c r="D305" s="1770">
        <v>0.15</v>
      </c>
      <c r="E305" s="1770">
        <v>0.15</v>
      </c>
      <c r="F305" s="1771">
        <v>0.14000000000000001</v>
      </c>
    </row>
    <row r="306" spans="1:6" ht="14.25" thickBot="1">
      <c r="A306" s="1765" t="s">
        <v>1410</v>
      </c>
      <c r="B306" s="1769" t="s">
        <v>1226</v>
      </c>
      <c r="C306" s="1770">
        <v>0.15</v>
      </c>
      <c r="D306" s="1770">
        <v>0.15</v>
      </c>
      <c r="E306" s="1770">
        <v>0.15</v>
      </c>
      <c r="F306" s="1778"/>
    </row>
    <row r="307" spans="1:6" ht="14.25" thickBot="1">
      <c r="A307" s="1765" t="s">
        <v>1410</v>
      </c>
      <c r="B307" s="1769" t="s">
        <v>2197</v>
      </c>
      <c r="C307" s="1770">
        <v>0.15</v>
      </c>
      <c r="D307" s="1770">
        <v>0.15</v>
      </c>
      <c r="E307" s="1770">
        <v>0.15</v>
      </c>
      <c r="F307" s="1771">
        <v>0.14299999999999999</v>
      </c>
    </row>
    <row r="308" spans="1:6" ht="14.25" thickBot="1">
      <c r="A308" s="1765" t="s">
        <v>1410</v>
      </c>
      <c r="B308" s="1769" t="s">
        <v>1246</v>
      </c>
      <c r="C308" s="1770">
        <v>0.15</v>
      </c>
      <c r="D308" s="1770">
        <v>0.15</v>
      </c>
      <c r="E308" s="1770">
        <v>0.15</v>
      </c>
      <c r="F308" s="1771">
        <v>0.15</v>
      </c>
    </row>
    <row r="309" spans="1:6" ht="14.25" thickBot="1">
      <c r="A309" s="1765" t="s">
        <v>1410</v>
      </c>
      <c r="B309" s="1769" t="s">
        <v>1256</v>
      </c>
      <c r="C309" s="1770">
        <v>0.15</v>
      </c>
      <c r="D309" s="1770">
        <v>0.15</v>
      </c>
      <c r="E309" s="1770">
        <v>0.15</v>
      </c>
      <c r="F309" s="1778"/>
    </row>
    <row r="310" spans="1:6" ht="14.25" thickBot="1">
      <c r="A310" s="1765" t="s">
        <v>1410</v>
      </c>
      <c r="B310" s="1769" t="s">
        <v>2198</v>
      </c>
      <c r="C310" s="1770">
        <v>0.15</v>
      </c>
      <c r="D310" s="1770">
        <v>0.15</v>
      </c>
      <c r="E310" s="1770">
        <v>0.15</v>
      </c>
      <c r="F310" s="1771">
        <v>0.13700000000000001</v>
      </c>
    </row>
    <row r="311" spans="1:6" ht="14.25" thickBot="1">
      <c r="A311" s="1765" t="s">
        <v>1410</v>
      </c>
      <c r="B311" s="1769" t="s">
        <v>2199</v>
      </c>
      <c r="C311" s="1770">
        <v>0.15</v>
      </c>
      <c r="D311" s="1770">
        <v>0.15</v>
      </c>
      <c r="E311" s="1770">
        <v>0.15</v>
      </c>
      <c r="F311" s="1771">
        <v>0.15</v>
      </c>
    </row>
    <row r="312" spans="1:6" ht="14.25" thickBot="1">
      <c r="A312" s="1765" t="s">
        <v>1410</v>
      </c>
      <c r="B312" s="1769" t="s">
        <v>1282</v>
      </c>
      <c r="C312" s="1770">
        <v>0.15</v>
      </c>
      <c r="D312" s="1770">
        <v>0.15</v>
      </c>
      <c r="E312" s="1770">
        <v>0.15</v>
      </c>
      <c r="F312" s="1771">
        <v>0.1</v>
      </c>
    </row>
    <row r="313" spans="1:6" ht="14.25" thickBot="1">
      <c r="A313" s="1765" t="s">
        <v>1410</v>
      </c>
      <c r="B313" s="1769" t="s">
        <v>2200</v>
      </c>
      <c r="C313" s="1770">
        <v>0.15</v>
      </c>
      <c r="D313" s="1770">
        <v>0.15</v>
      </c>
      <c r="E313" s="1770">
        <v>0.15</v>
      </c>
      <c r="F313" s="1771">
        <v>0.15</v>
      </c>
    </row>
    <row r="314" spans="1:6" ht="24.75" thickBot="1">
      <c r="A314" s="1765" t="s">
        <v>1410</v>
      </c>
      <c r="B314" s="1769" t="s">
        <v>2201</v>
      </c>
      <c r="C314" s="1779"/>
      <c r="D314" s="1779"/>
      <c r="E314" s="1779"/>
      <c r="F314" s="1771">
        <v>0.05</v>
      </c>
    </row>
    <row r="315" spans="1:6" ht="24.75" thickBot="1">
      <c r="A315" s="1765" t="s">
        <v>1410</v>
      </c>
      <c r="B315" s="1769" t="s">
        <v>2202</v>
      </c>
      <c r="C315" s="1779"/>
      <c r="D315" s="1779"/>
      <c r="E315" s="1779"/>
      <c r="F315" s="1771">
        <v>0.05</v>
      </c>
    </row>
    <row r="316" spans="1:6" ht="24.75" thickBot="1">
      <c r="A316" s="1773" t="s">
        <v>1410</v>
      </c>
      <c r="B316" s="1780" t="s">
        <v>2203</v>
      </c>
      <c r="C316" s="1776"/>
      <c r="D316" s="1776"/>
      <c r="E316" s="1776"/>
      <c r="F316" s="1781">
        <v>0.05</v>
      </c>
    </row>
    <row r="317" spans="1:6" ht="14.25" thickBot="1">
      <c r="A317" s="1765" t="s">
        <v>2204</v>
      </c>
      <c r="B317" s="1766" t="s">
        <v>2205</v>
      </c>
      <c r="C317" s="1767">
        <v>0.15</v>
      </c>
      <c r="D317" s="1767">
        <v>0.15</v>
      </c>
      <c r="E317" s="1767">
        <v>0.15</v>
      </c>
      <c r="F317" s="1768">
        <v>0.15</v>
      </c>
    </row>
    <row r="318" spans="1:6" ht="14.25" thickBot="1">
      <c r="A318" s="1765" t="s">
        <v>2204</v>
      </c>
      <c r="B318" s="1769" t="s">
        <v>2206</v>
      </c>
      <c r="C318" s="1770">
        <v>0.107</v>
      </c>
      <c r="D318" s="1770">
        <v>0.11</v>
      </c>
      <c r="E318" s="1770">
        <v>0.112</v>
      </c>
      <c r="F318" s="1778"/>
    </row>
    <row r="319" spans="1:6" ht="14.25" thickBot="1">
      <c r="A319" s="1765" t="s">
        <v>2204</v>
      </c>
      <c r="B319" s="1769" t="s">
        <v>2207</v>
      </c>
      <c r="C319" s="1770">
        <v>0.15</v>
      </c>
      <c r="D319" s="1770">
        <v>0.15</v>
      </c>
      <c r="E319" s="1770">
        <v>0.15</v>
      </c>
      <c r="F319" s="1771">
        <v>0.15</v>
      </c>
    </row>
    <row r="320" spans="1:6" ht="14.25" thickBot="1">
      <c r="A320" s="1765" t="s">
        <v>2204</v>
      </c>
      <c r="B320" s="1769" t="s">
        <v>1098</v>
      </c>
      <c r="C320" s="1770">
        <v>0.15</v>
      </c>
      <c r="D320" s="1770">
        <v>0.15</v>
      </c>
      <c r="E320" s="1770">
        <v>0.15</v>
      </c>
      <c r="F320" s="1778"/>
    </row>
    <row r="321" spans="1:6" ht="14.25" thickBot="1">
      <c r="A321" s="1765" t="s">
        <v>2204</v>
      </c>
      <c r="B321" s="1769" t="s">
        <v>2208</v>
      </c>
      <c r="C321" s="1770">
        <v>0.15</v>
      </c>
      <c r="D321" s="1770">
        <v>0.15</v>
      </c>
      <c r="E321" s="1770">
        <v>0.15</v>
      </c>
      <c r="F321" s="1778"/>
    </row>
    <row r="322" spans="1:6" ht="14.25" thickBot="1">
      <c r="A322" s="1765" t="s">
        <v>2204</v>
      </c>
      <c r="B322" s="1769" t="s">
        <v>2209</v>
      </c>
      <c r="C322" s="1770">
        <v>0.15</v>
      </c>
      <c r="D322" s="1770">
        <v>0.15</v>
      </c>
      <c r="E322" s="1770">
        <v>0.15</v>
      </c>
      <c r="F322" s="1771">
        <v>0.15</v>
      </c>
    </row>
    <row r="323" spans="1:6" ht="14.25" thickBot="1">
      <c r="A323" s="1765" t="s">
        <v>2204</v>
      </c>
      <c r="B323" s="1769" t="s">
        <v>2210</v>
      </c>
      <c r="C323" s="1770">
        <v>0.15</v>
      </c>
      <c r="D323" s="1770">
        <v>0.15</v>
      </c>
      <c r="E323" s="1770">
        <v>0.15</v>
      </c>
      <c r="F323" s="1778"/>
    </row>
    <row r="324" spans="1:6" ht="14.25" thickBot="1">
      <c r="A324" s="1765" t="s">
        <v>2204</v>
      </c>
      <c r="B324" s="1769" t="s">
        <v>2211</v>
      </c>
      <c r="C324" s="1770">
        <v>0.15</v>
      </c>
      <c r="D324" s="1770">
        <v>0.15</v>
      </c>
      <c r="E324" s="1770">
        <v>0.15</v>
      </c>
      <c r="F324" s="1778"/>
    </row>
    <row r="325" spans="1:6" ht="14.25" thickBot="1">
      <c r="A325" s="1765" t="s">
        <v>2204</v>
      </c>
      <c r="B325" s="1769" t="s">
        <v>2212</v>
      </c>
      <c r="C325" s="1770">
        <v>0.15</v>
      </c>
      <c r="D325" s="1770">
        <v>0.15</v>
      </c>
      <c r="E325" s="1770">
        <v>0.15</v>
      </c>
      <c r="F325" s="1771">
        <v>0.14699999999999999</v>
      </c>
    </row>
    <row r="326" spans="1:6" ht="14.25" thickBot="1">
      <c r="A326" s="1765" t="s">
        <v>2204</v>
      </c>
      <c r="B326" s="1769" t="s">
        <v>1167</v>
      </c>
      <c r="C326" s="1770">
        <v>0.15</v>
      </c>
      <c r="D326" s="1770">
        <v>0.15</v>
      </c>
      <c r="E326" s="1770">
        <v>0.15</v>
      </c>
      <c r="F326" s="1778"/>
    </row>
    <row r="327" spans="1:6" ht="14.25" thickBot="1">
      <c r="A327" s="1765" t="s">
        <v>2204</v>
      </c>
      <c r="B327" s="1769" t="s">
        <v>2213</v>
      </c>
      <c r="C327" s="1770">
        <v>0.15</v>
      </c>
      <c r="D327" s="1770">
        <v>0.15</v>
      </c>
      <c r="E327" s="1770">
        <v>0.15</v>
      </c>
      <c r="F327" s="1771">
        <v>0.15</v>
      </c>
    </row>
    <row r="328" spans="1:6" ht="14.25" thickBot="1">
      <c r="A328" s="1765" t="s">
        <v>2204</v>
      </c>
      <c r="B328" s="1769" t="s">
        <v>1187</v>
      </c>
      <c r="C328" s="1770">
        <v>0.15</v>
      </c>
      <c r="D328" s="1770">
        <v>0.15</v>
      </c>
      <c r="E328" s="1770">
        <v>0.15</v>
      </c>
      <c r="F328" s="1771">
        <v>0.14099999999999999</v>
      </c>
    </row>
    <row r="329" spans="1:6" ht="14.25" thickBot="1">
      <c r="A329" s="1765" t="s">
        <v>2204</v>
      </c>
      <c r="B329" s="1769" t="s">
        <v>1197</v>
      </c>
      <c r="C329" s="1770">
        <v>0.15</v>
      </c>
      <c r="D329" s="1770">
        <v>0.15</v>
      </c>
      <c r="E329" s="1770">
        <v>0.15</v>
      </c>
      <c r="F329" s="1771">
        <v>0.15</v>
      </c>
    </row>
    <row r="330" spans="1:6" ht="14.25" thickBot="1">
      <c r="A330" s="1765" t="s">
        <v>2204</v>
      </c>
      <c r="B330" s="1769" t="s">
        <v>1207</v>
      </c>
      <c r="C330" s="1770">
        <v>0.15</v>
      </c>
      <c r="D330" s="1770">
        <v>0.15</v>
      </c>
      <c r="E330" s="1770">
        <v>0.15</v>
      </c>
      <c r="F330" s="1778"/>
    </row>
    <row r="331" spans="1:6" ht="14.25" thickBot="1">
      <c r="A331" s="1765" t="s">
        <v>2204</v>
      </c>
      <c r="B331" s="1769" t="s">
        <v>2214</v>
      </c>
      <c r="C331" s="1770">
        <v>0.15</v>
      </c>
      <c r="D331" s="1770">
        <v>0.15</v>
      </c>
      <c r="E331" s="1770">
        <v>0.15</v>
      </c>
      <c r="F331" s="1771">
        <v>0.15</v>
      </c>
    </row>
    <row r="332" spans="1:6" ht="14.25" thickBot="1">
      <c r="A332" s="1765" t="s">
        <v>2204</v>
      </c>
      <c r="B332" s="1769" t="s">
        <v>1227</v>
      </c>
      <c r="C332" s="1770">
        <v>0.15</v>
      </c>
      <c r="D332" s="1770">
        <v>0.15</v>
      </c>
      <c r="E332" s="1770">
        <v>0.15</v>
      </c>
      <c r="F332" s="1771">
        <v>0.15</v>
      </c>
    </row>
    <row r="333" spans="1:6" ht="14.25" thickBot="1">
      <c r="A333" s="1765" t="s">
        <v>2204</v>
      </c>
      <c r="B333" s="1769" t="s">
        <v>2215</v>
      </c>
      <c r="C333" s="1770">
        <v>0.15</v>
      </c>
      <c r="D333" s="1770">
        <v>0.15</v>
      </c>
      <c r="E333" s="1770">
        <v>0.15</v>
      </c>
      <c r="F333" s="1771">
        <v>0.14099999999999999</v>
      </c>
    </row>
    <row r="334" spans="1:6" ht="14.25" thickBot="1">
      <c r="A334" s="1765" t="s">
        <v>2204</v>
      </c>
      <c r="B334" s="1769" t="s">
        <v>1247</v>
      </c>
      <c r="C334" s="1770">
        <v>0.15</v>
      </c>
      <c r="D334" s="1770">
        <v>0.15</v>
      </c>
      <c r="E334" s="1770">
        <v>0.15</v>
      </c>
      <c r="F334" s="1771">
        <v>0.15</v>
      </c>
    </row>
    <row r="335" spans="1:6" ht="14.25" thickBot="1">
      <c r="A335" s="1765" t="s">
        <v>2204</v>
      </c>
      <c r="B335" s="1769" t="s">
        <v>1257</v>
      </c>
      <c r="C335" s="1770">
        <v>0.15</v>
      </c>
      <c r="D335" s="1770">
        <v>0.15</v>
      </c>
      <c r="E335" s="1770">
        <v>0.15</v>
      </c>
      <c r="F335" s="1778"/>
    </row>
    <row r="336" spans="1:6" ht="14.25" thickBot="1">
      <c r="A336" s="1765" t="s">
        <v>2204</v>
      </c>
      <c r="B336" s="1769" t="s">
        <v>2216</v>
      </c>
      <c r="C336" s="1770">
        <v>0.15</v>
      </c>
      <c r="D336" s="1770">
        <v>0.15</v>
      </c>
      <c r="E336" s="1770">
        <v>0.15</v>
      </c>
      <c r="F336" s="1771">
        <v>0.11799999999999999</v>
      </c>
    </row>
    <row r="337" spans="1:6" ht="14.25" thickBot="1">
      <c r="A337" s="1773" t="s">
        <v>2204</v>
      </c>
      <c r="B337" s="1780" t="s">
        <v>1275</v>
      </c>
      <c r="C337" s="1776"/>
      <c r="D337" s="1776"/>
      <c r="E337" s="1776"/>
      <c r="F337" s="1781">
        <v>0.14299999999999999</v>
      </c>
    </row>
    <row r="338" spans="1:6" ht="14.25" thickBot="1">
      <c r="A338" s="1765" t="s">
        <v>2217</v>
      </c>
      <c r="B338" s="1766" t="s">
        <v>2218</v>
      </c>
      <c r="C338" s="1767">
        <v>0.15</v>
      </c>
      <c r="D338" s="1767">
        <v>0.15</v>
      </c>
      <c r="E338" s="1767">
        <v>0.15</v>
      </c>
      <c r="F338" s="1789"/>
    </row>
    <row r="339" spans="1:6" ht="14.25" thickBot="1">
      <c r="A339" s="1765" t="s">
        <v>2217</v>
      </c>
      <c r="B339" s="1769" t="s">
        <v>2219</v>
      </c>
      <c r="C339" s="1770">
        <v>0.15</v>
      </c>
      <c r="D339" s="1770">
        <v>0.15</v>
      </c>
      <c r="E339" s="1770">
        <v>0.15</v>
      </c>
      <c r="F339" s="1778"/>
    </row>
    <row r="340" spans="1:6" ht="14.25" thickBot="1">
      <c r="A340" s="1765" t="s">
        <v>2217</v>
      </c>
      <c r="B340" s="1769" t="s">
        <v>2220</v>
      </c>
      <c r="C340" s="1770">
        <v>0.15</v>
      </c>
      <c r="D340" s="1770">
        <v>0.15</v>
      </c>
      <c r="E340" s="1770">
        <v>0.15</v>
      </c>
      <c r="F340" s="1778"/>
    </row>
    <row r="341" spans="1:6" ht="14.25" thickBot="1">
      <c r="A341" s="1765" t="s">
        <v>2221</v>
      </c>
      <c r="B341" s="1769" t="s">
        <v>2222</v>
      </c>
      <c r="C341" s="1770">
        <v>0.15</v>
      </c>
      <c r="D341" s="1770">
        <v>0.15</v>
      </c>
      <c r="E341" s="1770">
        <v>0.15</v>
      </c>
      <c r="F341" s="1771">
        <v>0.15</v>
      </c>
    </row>
    <row r="342" spans="1:6" ht="14.25" thickBot="1">
      <c r="A342" s="1765" t="s">
        <v>2217</v>
      </c>
      <c r="B342" s="1769" t="s">
        <v>2223</v>
      </c>
      <c r="C342" s="1770">
        <v>0.15</v>
      </c>
      <c r="D342" s="1770">
        <v>0.15</v>
      </c>
      <c r="E342" s="1770">
        <v>0.15</v>
      </c>
      <c r="F342" s="1771">
        <v>0.15</v>
      </c>
    </row>
    <row r="343" spans="1:6" ht="14.25" thickBot="1">
      <c r="A343" s="1765" t="s">
        <v>2217</v>
      </c>
      <c r="B343" s="1769" t="s">
        <v>2224</v>
      </c>
      <c r="C343" s="1770">
        <v>0.15</v>
      </c>
      <c r="D343" s="1770">
        <v>0.15</v>
      </c>
      <c r="E343" s="1770">
        <v>0.15</v>
      </c>
      <c r="F343" s="1771">
        <v>0.15</v>
      </c>
    </row>
    <row r="344" spans="1:6" ht="14.25" thickBot="1">
      <c r="A344" s="1773" t="s">
        <v>2217</v>
      </c>
      <c r="B344" s="1780" t="s">
        <v>2225</v>
      </c>
      <c r="C344" s="1775">
        <v>0.15</v>
      </c>
      <c r="D344" s="1775">
        <v>0.15</v>
      </c>
      <c r="E344" s="1775">
        <v>0.15</v>
      </c>
      <c r="F344" s="1781">
        <v>0.15</v>
      </c>
    </row>
  </sheetData>
  <sheetProtection password="C66D" sheet="1" objects="1" scenarios="1"/>
  <mergeCells count="1">
    <mergeCell ref="A1:B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topLeftCell="A7" zoomScaleNormal="100" zoomScaleSheetLayoutView="100" zoomScalePageLayoutView="80" workbookViewId="0">
      <selection activeCell="D10" sqref="D10:D11"/>
    </sheetView>
  </sheetViews>
  <sheetFormatPr defaultColWidth="12.625" defaultRowHeight="21.75" customHeight="1"/>
  <cols>
    <col min="1" max="2" width="12.875" style="1202" bestFit="1" customWidth="1"/>
    <col min="3" max="3" width="12.625" style="1202" customWidth="1"/>
    <col min="4" max="4" width="19" style="1202" customWidth="1"/>
    <col min="5" max="9" width="12.875" style="1202" bestFit="1" customWidth="1"/>
    <col min="10" max="10" width="2.125" style="253" customWidth="1"/>
    <col min="11" max="12" width="12.625" style="253" customWidth="1"/>
    <col min="13" max="13" width="12.625" style="253"/>
    <col min="14" max="14" width="15.625" style="253" bestFit="1" customWidth="1"/>
    <col min="15" max="19" width="12.875" style="253" bestFit="1" customWidth="1"/>
    <col min="20" max="26" width="12.625" style="253"/>
    <col min="27" max="16384" width="12.625" style="1202"/>
  </cols>
  <sheetData>
    <row r="1" spans="1:22" ht="21.75" customHeight="1" thickBot="1">
      <c r="A1" s="1686" t="s">
        <v>2043</v>
      </c>
      <c r="B1" s="1687"/>
      <c r="C1" s="1715" t="s">
        <v>2044</v>
      </c>
      <c r="D1" s="1716"/>
      <c r="E1" s="1715" t="s">
        <v>2045</v>
      </c>
      <c r="F1" s="1717"/>
      <c r="G1" s="307"/>
      <c r="H1" s="307"/>
      <c r="I1" s="307"/>
      <c r="J1" s="1907"/>
      <c r="K1" s="1907"/>
      <c r="L1" s="1907"/>
      <c r="M1" s="1907"/>
      <c r="N1" s="1907"/>
      <c r="O1" s="1907"/>
      <c r="P1" s="1907"/>
      <c r="Q1" s="1907"/>
      <c r="R1" s="1907"/>
      <c r="S1" s="1907"/>
      <c r="T1" s="1907"/>
      <c r="U1" s="1907"/>
      <c r="V1" s="1907"/>
    </row>
    <row r="2" spans="1:22" ht="21.75" customHeight="1" thickBot="1">
      <c r="A2" s="3688" t="str">
        <f>项目基本情况!K2</f>
        <v>北京市出让国有建设用地使用权</v>
      </c>
      <c r="B2" s="3689"/>
      <c r="C2" s="3690"/>
      <c r="D2" s="3690"/>
      <c r="E2" s="3690"/>
      <c r="F2" s="3690"/>
      <c r="G2" s="3689"/>
      <c r="H2" s="3689"/>
      <c r="I2" s="3691"/>
      <c r="J2" s="1908"/>
      <c r="K2" s="1907"/>
      <c r="L2" s="1907"/>
      <c r="M2" s="1907"/>
      <c r="N2" s="1907"/>
      <c r="O2" s="1907"/>
      <c r="P2" s="1907"/>
      <c r="Q2" s="1907"/>
      <c r="R2" s="1907"/>
      <c r="S2" s="1907"/>
      <c r="T2" s="1907"/>
      <c r="U2" s="1907"/>
      <c r="V2" s="1907"/>
    </row>
    <row r="3" spans="1:22" ht="14.25">
      <c r="A3" s="3681" t="s">
        <v>298</v>
      </c>
      <c r="B3" s="3682"/>
      <c r="C3" s="3682"/>
      <c r="D3" s="3682"/>
      <c r="E3" s="3682"/>
      <c r="F3" s="3682"/>
      <c r="G3" s="3682"/>
      <c r="H3" s="3682"/>
      <c r="I3" s="3682"/>
      <c r="J3" s="1908"/>
      <c r="K3" s="1907"/>
      <c r="L3" s="1907"/>
      <c r="M3" s="1907"/>
      <c r="N3" s="1907"/>
      <c r="O3" s="1907"/>
      <c r="P3" s="1907"/>
      <c r="Q3" s="1907"/>
      <c r="R3" s="1907"/>
      <c r="S3" s="1907"/>
      <c r="T3" s="1907"/>
      <c r="U3" s="1907"/>
      <c r="V3" s="1907"/>
    </row>
    <row r="4" spans="1:22" ht="14.25">
      <c r="A4" s="254" t="s">
        <v>299</v>
      </c>
      <c r="B4" s="255" t="s">
        <v>300</v>
      </c>
      <c r="C4" s="256" t="s">
        <v>3134</v>
      </c>
      <c r="D4" s="256" t="s">
        <v>3138</v>
      </c>
      <c r="E4" s="3647" t="s">
        <v>301</v>
      </c>
      <c r="F4" s="3648"/>
      <c r="G4" s="3648"/>
      <c r="H4" s="3648"/>
      <c r="I4" s="3683"/>
      <c r="J4" s="1908"/>
      <c r="K4" s="1907"/>
      <c r="L4" s="3189"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646" t="s">
        <v>302</v>
      </c>
      <c r="B5" s="3675">
        <v>25</v>
      </c>
      <c r="C5" s="3673">
        <v>3</v>
      </c>
      <c r="D5" s="3677">
        <v>7</v>
      </c>
      <c r="E5" s="257" t="s">
        <v>303</v>
      </c>
      <c r="F5" s="258"/>
      <c r="G5" s="258"/>
      <c r="H5" s="258"/>
      <c r="I5" s="259"/>
      <c r="J5" s="1908"/>
      <c r="K5" s="1907"/>
      <c r="L5" s="1907"/>
      <c r="M5" s="1907"/>
      <c r="N5" s="1907"/>
      <c r="O5" s="1907"/>
      <c r="P5" s="1907"/>
      <c r="Q5" s="1907"/>
      <c r="R5" s="1907"/>
      <c r="S5" s="1907"/>
      <c r="T5" s="1907"/>
      <c r="U5" s="1907"/>
      <c r="V5" s="1907"/>
    </row>
    <row r="6" spans="1:22" ht="14.25">
      <c r="A6" s="3646"/>
      <c r="B6" s="3675"/>
      <c r="C6" s="3676"/>
      <c r="D6" s="3677"/>
      <c r="E6" s="257" t="s">
        <v>304</v>
      </c>
      <c r="F6" s="258"/>
      <c r="G6" s="258"/>
      <c r="H6" s="258"/>
      <c r="I6" s="259"/>
      <c r="J6" s="1908"/>
      <c r="K6" s="1907"/>
      <c r="L6" s="1907"/>
      <c r="M6" s="1907"/>
      <c r="N6" s="1907"/>
      <c r="O6" s="1907"/>
      <c r="P6" s="1907"/>
      <c r="Q6" s="1907"/>
      <c r="R6" s="1907"/>
      <c r="S6" s="1907"/>
      <c r="T6" s="1907"/>
      <c r="U6" s="1907"/>
      <c r="V6" s="1907"/>
    </row>
    <row r="7" spans="1:22" ht="14.25">
      <c r="A7" s="3646"/>
      <c r="B7" s="3675"/>
      <c r="C7" s="3674"/>
      <c r="D7" s="3677"/>
      <c r="E7" s="257" t="s">
        <v>305</v>
      </c>
      <c r="F7" s="258"/>
      <c r="G7" s="258"/>
      <c r="H7" s="258"/>
      <c r="I7" s="259"/>
      <c r="J7" s="1908"/>
      <c r="K7" s="1907"/>
      <c r="L7" s="1907"/>
      <c r="M7" s="1907"/>
      <c r="N7" s="1907"/>
      <c r="O7" s="1907"/>
      <c r="P7" s="1907"/>
      <c r="Q7" s="1907"/>
      <c r="R7" s="1907"/>
      <c r="S7" s="1907"/>
      <c r="T7" s="1907"/>
      <c r="U7" s="1907"/>
      <c r="V7" s="1907"/>
    </row>
    <row r="8" spans="1:22" ht="14.25">
      <c r="A8" s="3646" t="s">
        <v>306</v>
      </c>
      <c r="B8" s="3675">
        <v>15</v>
      </c>
      <c r="C8" s="3673"/>
      <c r="D8" s="3677"/>
      <c r="E8" s="257" t="s">
        <v>307</v>
      </c>
      <c r="F8" s="258"/>
      <c r="G8" s="258"/>
      <c r="H8" s="258"/>
      <c r="I8" s="259"/>
      <c r="J8" s="1908"/>
      <c r="K8" s="1907"/>
      <c r="L8" s="1907"/>
      <c r="M8" s="1907"/>
      <c r="N8" s="1907"/>
      <c r="O8" s="1907"/>
      <c r="P8" s="1907"/>
      <c r="Q8" s="1907"/>
      <c r="R8" s="1907"/>
      <c r="S8" s="1907"/>
      <c r="T8" s="1907"/>
      <c r="U8" s="1907"/>
      <c r="V8" s="1907"/>
    </row>
    <row r="9" spans="1:22" ht="14.25">
      <c r="A9" s="3646"/>
      <c r="B9" s="3675"/>
      <c r="C9" s="3674"/>
      <c r="D9" s="3677"/>
      <c r="E9" s="257" t="s">
        <v>308</v>
      </c>
      <c r="F9" s="258"/>
      <c r="G9" s="258"/>
      <c r="H9" s="258"/>
      <c r="I9" s="259"/>
      <c r="J9" s="1908"/>
      <c r="K9" s="1907"/>
      <c r="L9" s="1907"/>
      <c r="M9" s="1907"/>
      <c r="N9" s="1907"/>
      <c r="O9" s="1907"/>
      <c r="P9" s="1907"/>
      <c r="Q9" s="1907"/>
      <c r="R9" s="1907"/>
      <c r="S9" s="1907"/>
      <c r="T9" s="1907"/>
      <c r="U9" s="1907"/>
      <c r="V9" s="1907"/>
    </row>
    <row r="10" spans="1:22" ht="14.25">
      <c r="A10" s="3646" t="s">
        <v>309</v>
      </c>
      <c r="B10" s="3675">
        <v>15</v>
      </c>
      <c r="C10" s="3673"/>
      <c r="D10" s="3677"/>
      <c r="E10" s="257" t="s">
        <v>310</v>
      </c>
      <c r="F10" s="258"/>
      <c r="G10" s="258"/>
      <c r="H10" s="258"/>
      <c r="I10" s="259"/>
      <c r="J10" s="1908"/>
      <c r="K10" s="1907"/>
      <c r="L10" s="1907"/>
      <c r="M10" s="1907"/>
      <c r="N10" s="1907"/>
      <c r="O10" s="1907"/>
      <c r="P10" s="1907"/>
      <c r="Q10" s="1907"/>
      <c r="R10" s="1907"/>
      <c r="S10" s="1907"/>
      <c r="T10" s="1907"/>
      <c r="U10" s="1907"/>
      <c r="V10" s="1907"/>
    </row>
    <row r="11" spans="1:22" ht="14.25">
      <c r="A11" s="3646"/>
      <c r="B11" s="3675"/>
      <c r="C11" s="3674"/>
      <c r="D11" s="3677"/>
      <c r="E11" s="257" t="s">
        <v>311</v>
      </c>
      <c r="F11" s="258"/>
      <c r="G11" s="258"/>
      <c r="H11" s="258"/>
      <c r="I11" s="259"/>
      <c r="J11" s="1908"/>
      <c r="K11" s="1907"/>
      <c r="L11" s="1907"/>
      <c r="M11" s="1907"/>
      <c r="N11" s="1907"/>
      <c r="O11" s="1907"/>
      <c r="P11" s="1907"/>
      <c r="Q11" s="1907"/>
      <c r="R11" s="1907"/>
      <c r="S11" s="1907"/>
      <c r="T11" s="1907"/>
      <c r="U11" s="1907"/>
      <c r="V11" s="1907"/>
    </row>
    <row r="12" spans="1:22" ht="14.25">
      <c r="A12" s="3646" t="s">
        <v>312</v>
      </c>
      <c r="B12" s="3675">
        <v>15</v>
      </c>
      <c r="C12" s="3673"/>
      <c r="D12" s="3677"/>
      <c r="E12" s="257" t="s">
        <v>313</v>
      </c>
      <c r="F12" s="258"/>
      <c r="G12" s="258"/>
      <c r="H12" s="258"/>
      <c r="I12" s="259"/>
      <c r="J12" s="1908"/>
      <c r="K12" s="1907"/>
      <c r="L12" s="1907"/>
      <c r="M12" s="1907"/>
      <c r="N12" s="1907"/>
      <c r="O12" s="1907"/>
      <c r="P12" s="1907"/>
      <c r="Q12" s="1907"/>
      <c r="R12" s="1907"/>
      <c r="S12" s="1907"/>
      <c r="T12" s="1907"/>
      <c r="U12" s="1907"/>
      <c r="V12" s="1907"/>
    </row>
    <row r="13" spans="1:22" ht="14.25">
      <c r="A13" s="3646"/>
      <c r="B13" s="3675"/>
      <c r="C13" s="3674"/>
      <c r="D13" s="3677"/>
      <c r="E13" s="257" t="s">
        <v>314</v>
      </c>
      <c r="F13" s="258"/>
      <c r="G13" s="258"/>
      <c r="H13" s="258"/>
      <c r="I13" s="259"/>
      <c r="J13" s="1908"/>
      <c r="K13" s="1907"/>
      <c r="L13" s="1907"/>
      <c r="M13" s="1907"/>
      <c r="N13" s="1907"/>
      <c r="O13" s="1907"/>
      <c r="P13" s="1907"/>
      <c r="Q13" s="1907"/>
      <c r="R13" s="1907"/>
      <c r="S13" s="1907"/>
      <c r="T13" s="1907"/>
      <c r="U13" s="1907"/>
      <c r="V13" s="1907"/>
    </row>
    <row r="14" spans="1:22" ht="14.25">
      <c r="A14" s="3646" t="s">
        <v>315</v>
      </c>
      <c r="B14" s="3675">
        <v>30</v>
      </c>
      <c r="C14" s="3673"/>
      <c r="D14" s="3677"/>
      <c r="E14" s="257" t="s">
        <v>316</v>
      </c>
      <c r="F14" s="258"/>
      <c r="G14" s="258"/>
      <c r="H14" s="258"/>
      <c r="I14" s="259"/>
      <c r="J14" s="1908"/>
      <c r="K14" s="1907"/>
      <c r="L14" s="1907"/>
      <c r="M14" s="1907"/>
      <c r="N14" s="1907"/>
      <c r="O14" s="1907"/>
      <c r="P14" s="1907"/>
      <c r="Q14" s="1907"/>
      <c r="R14" s="1907"/>
      <c r="S14" s="1907"/>
      <c r="T14" s="1907"/>
      <c r="U14" s="1907"/>
      <c r="V14" s="1907"/>
    </row>
    <row r="15" spans="1:22" ht="14.25">
      <c r="A15" s="3646"/>
      <c r="B15" s="3675"/>
      <c r="C15" s="3676"/>
      <c r="D15" s="3677"/>
      <c r="E15" s="257" t="s">
        <v>317</v>
      </c>
      <c r="F15" s="258"/>
      <c r="G15" s="258"/>
      <c r="H15" s="258"/>
      <c r="I15" s="259"/>
      <c r="J15" s="1908"/>
      <c r="K15" s="1907"/>
      <c r="L15" s="1907"/>
      <c r="M15" s="1907"/>
      <c r="N15" s="1907"/>
      <c r="O15" s="1907"/>
      <c r="P15" s="1907"/>
      <c r="Q15" s="1907"/>
      <c r="R15" s="1907"/>
      <c r="S15" s="1907"/>
      <c r="T15" s="1907"/>
      <c r="U15" s="1907"/>
      <c r="V15" s="1907"/>
    </row>
    <row r="16" spans="1:22" ht="14.25">
      <c r="A16" s="3646"/>
      <c r="B16" s="3675"/>
      <c r="C16" s="3674"/>
      <c r="D16" s="3677"/>
      <c r="E16" s="257" t="s">
        <v>318</v>
      </c>
      <c r="F16" s="258"/>
      <c r="G16" s="258"/>
      <c r="H16" s="258"/>
      <c r="I16" s="259"/>
      <c r="J16" s="1908"/>
      <c r="K16" s="1907"/>
      <c r="L16" s="1907"/>
      <c r="M16" s="1907"/>
      <c r="N16" s="1907"/>
      <c r="O16" s="1907"/>
      <c r="P16" s="1907"/>
      <c r="Q16" s="1907"/>
      <c r="R16" s="1907"/>
      <c r="S16" s="1907"/>
      <c r="T16" s="1907"/>
      <c r="U16" s="1907"/>
      <c r="V16" s="1907"/>
    </row>
    <row r="17" spans="1:26" ht="15">
      <c r="A17" s="260" t="s">
        <v>319</v>
      </c>
      <c r="B17" s="140"/>
      <c r="C17" s="261">
        <f>SUM(C5:C16)</f>
        <v>3</v>
      </c>
      <c r="D17" s="261">
        <f>SUM(D5:D16)</f>
        <v>7</v>
      </c>
      <c r="E17" s="307"/>
      <c r="F17" s="307"/>
      <c r="G17" s="307"/>
      <c r="H17" s="307"/>
      <c r="I17" s="307"/>
      <c r="J17" s="1908"/>
      <c r="K17" s="1907"/>
      <c r="L17" s="1907"/>
      <c r="M17" s="1907"/>
      <c r="N17" s="1907"/>
      <c r="O17" s="1907"/>
      <c r="P17" s="1907"/>
      <c r="Q17" s="1907"/>
      <c r="R17" s="1907"/>
      <c r="S17" s="1907"/>
      <c r="T17" s="1907"/>
      <c r="U17" s="1907"/>
      <c r="V17" s="1907"/>
    </row>
    <row r="18" spans="1:26" ht="32.450000000000003" customHeight="1" thickBot="1">
      <c r="A18" s="262" t="s">
        <v>320</v>
      </c>
      <c r="B18" s="105"/>
      <c r="C18" s="263">
        <f>ROUND(C17/SUM(C17:D17),2)</f>
        <v>0.3</v>
      </c>
      <c r="D18" s="263">
        <f>1-C18</f>
        <v>0.7</v>
      </c>
      <c r="E18" s="3678" t="s">
        <v>2957</v>
      </c>
      <c r="F18" s="3679"/>
      <c r="G18" s="3679"/>
      <c r="H18" s="3679"/>
      <c r="I18" s="3679"/>
      <c r="J18" s="1907"/>
      <c r="K18" s="1907"/>
      <c r="L18" s="1907"/>
      <c r="M18" s="1907"/>
      <c r="N18" s="1907"/>
      <c r="O18" s="1907"/>
      <c r="P18" s="1907"/>
      <c r="Q18" s="1907"/>
      <c r="R18" s="1907"/>
      <c r="S18" s="1907"/>
      <c r="T18" s="1907"/>
      <c r="U18" s="1907"/>
      <c r="V18" s="1907"/>
    </row>
    <row r="19" spans="1:26" ht="15">
      <c r="A19" s="264" t="s">
        <v>321</v>
      </c>
      <c r="B19" s="265" t="s">
        <v>322</v>
      </c>
      <c r="C19" s="266">
        <f ca="1">SUMIF(INDIRECT("'"&amp;C4&amp;"'"&amp;"!A:A"),'结果表 (办公)'!B19,INDIRECT("'"&amp;C4&amp;"'"&amp;"!B:B"))</f>
        <v>22796</v>
      </c>
      <c r="D19" s="267">
        <f ca="1">SUMIF(INDIRECT("'"&amp;D4&amp;"'"&amp;"!A:A"),'结果表 (办公)'!B19,INDIRECT("'"&amp;D4&amp;"'"&amp;"!B:B"))</f>
        <v>180</v>
      </c>
      <c r="E19" s="264" t="s">
        <v>323</v>
      </c>
      <c r="F19" s="265" t="s">
        <v>322</v>
      </c>
      <c r="G19" s="268">
        <f ca="1">ROUND(C19*$C$18+D19*$D$18,0)</f>
        <v>6965</v>
      </c>
      <c r="H19" s="269" t="s">
        <v>324</v>
      </c>
      <c r="I19" s="307"/>
      <c r="J19" s="1907"/>
      <c r="K19" s="1907"/>
      <c r="L19" s="1907"/>
      <c r="M19" s="1907"/>
      <c r="N19" s="1907"/>
      <c r="O19" s="1907"/>
      <c r="P19" s="1907"/>
      <c r="Q19" s="1907"/>
      <c r="R19" s="1907"/>
      <c r="S19" s="1907"/>
      <c r="T19" s="1907"/>
      <c r="U19" s="1907"/>
      <c r="V19" s="1907"/>
    </row>
    <row r="20" spans="1:26" ht="15">
      <c r="A20" s="270"/>
      <c r="B20" s="271" t="s">
        <v>325</v>
      </c>
      <c r="C20" s="272">
        <f ca="1">SUMIF(INDIRECT("'"&amp;C4&amp;"'"&amp;"!A:A"),'结果表 (办公)'!B20,INDIRECT("'"&amp;C4&amp;"'"&amp;"!B:B"))</f>
        <v>22796</v>
      </c>
      <c r="D20" s="273">
        <f ca="1">SUMIF(INDIRECT("'"&amp;D4&amp;"'"&amp;"!A:A"),'结果表 (办公)'!B20,INDIRECT("'"&amp;D4&amp;"'"&amp;"!B:B"))</f>
        <v>17703</v>
      </c>
      <c r="E20" s="270"/>
      <c r="F20" s="271" t="s">
        <v>325</v>
      </c>
      <c r="G20" s="274">
        <f ca="1">ROUND(C20*$C$18+D20*$D$18,0)</f>
        <v>19231</v>
      </c>
      <c r="H20" s="275" t="s">
        <v>326</v>
      </c>
      <c r="I20" s="307"/>
      <c r="J20" s="1907"/>
      <c r="K20" s="1907"/>
      <c r="L20" s="1907"/>
      <c r="M20" s="1907"/>
      <c r="N20" s="1907"/>
      <c r="O20" s="1907"/>
      <c r="P20" s="1907"/>
      <c r="Q20" s="1907"/>
      <c r="R20" s="1907"/>
      <c r="S20" s="1907"/>
      <c r="T20" s="1907"/>
      <c r="U20" s="1907"/>
      <c r="V20" s="1907"/>
    </row>
    <row r="21" spans="1:26" ht="15" customHeight="1">
      <c r="A21" s="270"/>
      <c r="B21" s="276" t="s">
        <v>327</v>
      </c>
      <c r="C21" s="277">
        <f ca="1">SUMIF(INDIRECT("'"&amp;C4&amp;"'"&amp;"!A:A"),'结果表 (办公)'!B21,INDIRECT("'"&amp;C4&amp;"'"&amp;"!B:B"))</f>
        <v>54611</v>
      </c>
      <c r="D21" s="147">
        <f ca="1">SUMIF(INDIRECT("'"&amp;D4&amp;"'"&amp;"!A:A"),'结果表 (办公)'!B21,INDIRECT("'"&amp;D4&amp;"'"&amp;"!B:B"))</f>
        <v>400</v>
      </c>
      <c r="E21" s="270"/>
      <c r="F21" s="276" t="s">
        <v>327</v>
      </c>
      <c r="G21" s="278">
        <f ca="1">ROUND(C21*$C$18+D21*$D$18,0)</f>
        <v>16663</v>
      </c>
      <c r="H21" s="1203" t="s">
        <v>326</v>
      </c>
      <c r="I21" s="307"/>
      <c r="J21" s="1907"/>
      <c r="K21" s="1907"/>
      <c r="L21" s="1907"/>
      <c r="M21" s="1907"/>
      <c r="N21" s="1907"/>
      <c r="O21" s="1907"/>
      <c r="P21" s="1907"/>
      <c r="Q21" s="1907"/>
      <c r="R21" s="1907"/>
      <c r="S21" s="1907"/>
      <c r="T21" s="1907"/>
      <c r="U21" s="1907"/>
      <c r="V21" s="1907"/>
    </row>
    <row r="22" spans="1:26" ht="15.75" thickBot="1">
      <c r="A22" s="126" t="s">
        <v>328</v>
      </c>
      <c r="B22" s="1204"/>
      <c r="C22" s="1205"/>
      <c r="D22" s="279">
        <f ca="1">IF(C19&lt;D19,D19/C19-1,C19/D19-1)</f>
        <v>125.64444444444445</v>
      </c>
      <c r="E22" s="280"/>
      <c r="F22" s="281"/>
      <c r="G22" s="282">
        <f ca="1">ROUND(G19/('数据-汇总表'!D3/666.67),0)</f>
        <v>77</v>
      </c>
      <c r="H22" s="283" t="s">
        <v>329</v>
      </c>
      <c r="I22" s="307"/>
      <c r="J22" s="1907"/>
      <c r="K22" s="1907"/>
      <c r="L22" s="1907"/>
      <c r="M22" s="1907"/>
      <c r="N22" s="1907"/>
      <c r="O22" s="1907"/>
      <c r="P22" s="1907"/>
      <c r="Q22" s="1907"/>
      <c r="R22" s="1907"/>
      <c r="S22" s="1907"/>
      <c r="T22" s="1907"/>
      <c r="U22" s="1907"/>
      <c r="V22" s="1907"/>
    </row>
    <row r="23" spans="1:26" ht="13.5" thickBot="1">
      <c r="A23" s="307"/>
      <c r="B23" s="307"/>
      <c r="C23" s="307"/>
      <c r="D23" s="307"/>
      <c r="E23" s="307"/>
      <c r="F23" s="307"/>
      <c r="G23" s="307"/>
      <c r="H23" s="307"/>
      <c r="I23" s="307"/>
      <c r="J23" s="1907"/>
      <c r="K23" s="1907"/>
      <c r="L23" s="1907"/>
      <c r="M23" s="1907"/>
      <c r="N23" s="1907"/>
      <c r="O23" s="1907"/>
      <c r="P23" s="1907"/>
      <c r="Q23" s="1907"/>
      <c r="R23" s="1907"/>
      <c r="S23" s="1907"/>
      <c r="T23" s="1907"/>
      <c r="U23" s="1907"/>
      <c r="V23" s="1907"/>
    </row>
    <row r="24" spans="1:26" ht="15" thickBot="1">
      <c r="A24" s="3652" t="s">
        <v>330</v>
      </c>
      <c r="B24" s="265" t="s">
        <v>322</v>
      </c>
      <c r="C24" s="284">
        <f>IF(B30=0,0,D30)</f>
        <v>0</v>
      </c>
      <c r="D24" s="285"/>
      <c r="E24" s="307"/>
      <c r="F24" s="307"/>
      <c r="G24" s="307"/>
      <c r="H24" s="307"/>
      <c r="I24" s="307"/>
      <c r="J24" s="1907"/>
      <c r="K24" s="1907"/>
      <c r="L24" s="1907"/>
      <c r="M24" s="1907"/>
      <c r="N24" s="1907"/>
      <c r="O24" s="1907"/>
      <c r="P24" s="1907"/>
      <c r="Q24" s="1907"/>
      <c r="R24" s="1907"/>
      <c r="S24" s="1907"/>
      <c r="T24" s="1907"/>
      <c r="U24" s="1907"/>
      <c r="V24" s="1907"/>
    </row>
    <row r="25" spans="1:26" ht="18">
      <c r="A25" s="3653"/>
      <c r="B25" s="1273" t="s">
        <v>331</v>
      </c>
      <c r="C25" s="286">
        <f>IF(B30=0,0,C30)</f>
        <v>0</v>
      </c>
      <c r="D25" s="287"/>
      <c r="E25" s="307"/>
      <c r="F25" s="307"/>
      <c r="G25" s="307"/>
      <c r="H25" s="307"/>
      <c r="I25" s="307"/>
      <c r="J25" s="1907"/>
      <c r="K25" s="1207" t="str">
        <f ca="1">项目基本情况!B16&amp;"国有建设用地使用权价格："&amp;O38&amp;"万元"</f>
        <v>出让国有建设用地使用权价格：6965万元</v>
      </c>
      <c r="L25" s="1208"/>
      <c r="M25" s="1208"/>
      <c r="N25" s="1208"/>
      <c r="O25" s="1209"/>
      <c r="P25" s="1907"/>
      <c r="Q25" s="1907"/>
      <c r="R25" s="1907"/>
      <c r="S25" s="1907"/>
      <c r="T25" s="1907"/>
      <c r="U25" s="1907"/>
      <c r="V25" s="1907"/>
    </row>
    <row r="26" spans="1:26" s="1206" customFormat="1" ht="18">
      <c r="A26" s="289" t="s">
        <v>332</v>
      </c>
      <c r="B26" s="290" t="s">
        <v>333</v>
      </c>
      <c r="C26" s="290" t="s">
        <v>334</v>
      </c>
      <c r="D26" s="291" t="s">
        <v>335</v>
      </c>
      <c r="E26" s="307"/>
      <c r="F26" s="307"/>
      <c r="G26" s="307"/>
      <c r="H26" s="307"/>
      <c r="I26" s="307"/>
      <c r="J26" s="1907"/>
      <c r="K26" s="1210" t="str">
        <f ca="1">"大写金额：人民币"&amp;NUMBERSTRING(INT(O38*10000),2)&amp;"元整"</f>
        <v>大写金额：人民币陆仟玖佰陆拾伍万元整</v>
      </c>
      <c r="L26" s="1204"/>
      <c r="M26" s="1204"/>
      <c r="N26" s="1204"/>
      <c r="O26" s="1203"/>
      <c r="P26" s="1907"/>
      <c r="Q26" s="1907"/>
      <c r="R26" s="1907"/>
      <c r="S26" s="1907"/>
      <c r="T26" s="1907"/>
      <c r="U26" s="1907"/>
      <c r="V26" s="1907"/>
      <c r="W26" s="288"/>
      <c r="X26" s="288"/>
      <c r="Y26" s="288"/>
      <c r="Z26" s="288"/>
    </row>
    <row r="27" spans="1:26" ht="18">
      <c r="A27" s="289"/>
      <c r="B27" s="290"/>
      <c r="C27" s="290"/>
      <c r="D27" s="291"/>
      <c r="E27" s="307"/>
      <c r="F27" s="307"/>
      <c r="G27" s="307"/>
      <c r="H27" s="307"/>
      <c r="I27" s="307"/>
      <c r="J27" s="1907"/>
      <c r="K27" s="1210" t="str">
        <f ca="1">"单位面积地价："&amp;M38&amp;"元/平方米"</f>
        <v>单位面积地价：1152元/平方米</v>
      </c>
      <c r="L27" s="1204"/>
      <c r="M27" s="1204"/>
      <c r="N27" s="1204"/>
      <c r="O27" s="1203"/>
      <c r="P27" s="1907"/>
      <c r="Q27" s="1907"/>
      <c r="R27" s="1907"/>
      <c r="S27" s="1907"/>
      <c r="T27" s="1907"/>
      <c r="U27" s="1907"/>
      <c r="V27" s="1907"/>
    </row>
    <row r="28" spans="1:26" ht="18.75" customHeight="1">
      <c r="A28" s="289"/>
      <c r="B28" s="290"/>
      <c r="C28" s="290"/>
      <c r="D28" s="291"/>
      <c r="E28" s="307"/>
      <c r="F28" s="307"/>
      <c r="G28" s="307"/>
      <c r="H28" s="307"/>
      <c r="I28" s="307"/>
      <c r="J28" s="1907"/>
      <c r="K28" s="1210" t="str">
        <f ca="1">"楼面地价："&amp;N38&amp;"元/平方米"</f>
        <v>楼面地价：573元/平方米</v>
      </c>
      <c r="L28" s="1204"/>
      <c r="M28" s="1204"/>
      <c r="N28" s="1204"/>
      <c r="O28" s="1203"/>
      <c r="P28" s="1907"/>
      <c r="V28" s="1907"/>
    </row>
    <row r="29" spans="1:26" ht="18">
      <c r="A29" s="289"/>
      <c r="B29" s="290"/>
      <c r="C29" s="290"/>
      <c r="D29" s="291"/>
      <c r="E29" s="307"/>
      <c r="F29" s="307"/>
      <c r="G29" s="307"/>
      <c r="H29" s="307"/>
      <c r="I29" s="307"/>
      <c r="J29" s="1907"/>
      <c r="K29" s="1210" t="str">
        <f>IF(OR(项目基本情况!E8="抵押价格",项目基本情况!E8="已注销及未注销"),"抵押价格："&amp;O39&amp;"万元","——")</f>
        <v>——</v>
      </c>
      <c r="L29" s="1204"/>
      <c r="M29" s="1204"/>
      <c r="N29" s="1204"/>
      <c r="O29" s="1203"/>
      <c r="P29" s="1907"/>
      <c r="V29" s="1907"/>
    </row>
    <row r="30" spans="1:26" ht="18.75" thickBot="1">
      <c r="A30" s="2794" t="s">
        <v>336</v>
      </c>
      <c r="B30" s="305"/>
      <c r="C30" s="305"/>
      <c r="D30" s="306"/>
      <c r="E30" s="2997" t="s">
        <v>2958</v>
      </c>
      <c r="F30" s="307"/>
      <c r="G30" s="307"/>
      <c r="H30" s="307"/>
      <c r="I30" s="307"/>
      <c r="J30" s="1907"/>
      <c r="K30" s="1210" t="str">
        <f>IF(K29="——","——","大写金额：人民币"&amp;NUMBERSTRING(INT(O39*10000),2)&amp;"元整")</f>
        <v>——</v>
      </c>
      <c r="L30" s="1204"/>
      <c r="M30" s="1204"/>
      <c r="N30" s="1204"/>
      <c r="O30" s="1203"/>
      <c r="P30" s="1907"/>
      <c r="V30" s="1907"/>
    </row>
    <row r="31" spans="1:26" ht="24" customHeight="1" thickBot="1">
      <c r="A31" s="3680" t="s">
        <v>2959</v>
      </c>
      <c r="B31" s="3680"/>
      <c r="C31" s="3680"/>
      <c r="D31" s="3680"/>
      <c r="E31" s="3680"/>
      <c r="F31" s="3680"/>
      <c r="G31" s="3680"/>
      <c r="H31" s="3680"/>
      <c r="I31" s="3680"/>
      <c r="J31" s="1907"/>
      <c r="K31" s="2318" t="str">
        <f>IF(项目基本情况!E8="抵押价格","——","抵押担保权已注销时的抵押价格："&amp;O40&amp;"万元")</f>
        <v>抵押担保权已注销时的抵押价格：——万元</v>
      </c>
      <c r="L31" s="2314"/>
      <c r="M31" s="2314"/>
      <c r="N31" s="2314"/>
      <c r="O31" s="2315"/>
      <c r="P31" s="1907"/>
      <c r="V31" s="1907"/>
    </row>
    <row r="32" spans="1:26" ht="19.5" thickTop="1" thickBot="1">
      <c r="A32" s="270" t="s">
        <v>337</v>
      </c>
      <c r="B32" s="2998" t="s">
        <v>1678</v>
      </c>
      <c r="C32" s="262">
        <f ca="1">G19-C24</f>
        <v>6965</v>
      </c>
      <c r="D32" s="2999" t="s">
        <v>1679</v>
      </c>
      <c r="E32" s="307"/>
      <c r="F32" s="307"/>
      <c r="G32" s="307"/>
      <c r="H32" s="307"/>
      <c r="I32" s="307"/>
      <c r="J32" s="1907"/>
      <c r="K32" s="2313" t="e">
        <f>IF(K31="——","——","大写金额：人民币"&amp;NUMBERSTRING(INT(O40*10000),2)&amp;"元整")</f>
        <v>#VALUE!</v>
      </c>
      <c r="L32" s="2316"/>
      <c r="M32" s="2316"/>
      <c r="N32" s="2316"/>
      <c r="O32" s="2317"/>
      <c r="P32" s="1907"/>
      <c r="V32" s="1907"/>
    </row>
    <row r="33" spans="1:26" ht="18.75" thickBot="1">
      <c r="A33" s="294" t="s">
        <v>340</v>
      </c>
      <c r="B33" s="1330" t="s">
        <v>1680</v>
      </c>
      <c r="C33" s="260">
        <f ca="1">ROUND(C32*10000/'数据-汇总表'!E3,0)</f>
        <v>573</v>
      </c>
      <c r="D33" s="1331" t="s">
        <v>1681</v>
      </c>
      <c r="E33" s="3652" t="s">
        <v>338</v>
      </c>
      <c r="F33" s="292" t="s">
        <v>339</v>
      </c>
      <c r="G33" s="293"/>
      <c r="H33" s="966"/>
      <c r="I33" s="1211"/>
      <c r="J33" s="1907"/>
      <c r="K33" s="1210" t="str">
        <f>IF(项目基本情况!E9="——","——","抵押净值："&amp;C46&amp;"万元")</f>
        <v>抵押净值：——万元</v>
      </c>
      <c r="L33" s="1204"/>
      <c r="M33" s="1204"/>
      <c r="N33" s="1204"/>
      <c r="O33" s="1203"/>
      <c r="P33" s="1907"/>
      <c r="V33" s="1907"/>
    </row>
    <row r="34" spans="1:26" s="1206" customFormat="1" ht="18.75" thickBot="1">
      <c r="A34" s="296"/>
      <c r="B34" s="1332" t="s">
        <v>1682</v>
      </c>
      <c r="C34" s="260">
        <f ca="1">ROUND(C32*10000/'数据-汇总表'!D3,0)</f>
        <v>1152</v>
      </c>
      <c r="D34" s="1333" t="s">
        <v>1681</v>
      </c>
      <c r="E34" s="3696"/>
      <c r="F34" s="127" t="s">
        <v>341</v>
      </c>
      <c r="G34" s="295"/>
      <c r="H34" s="105"/>
      <c r="I34" s="307"/>
      <c r="J34" s="1907"/>
      <c r="K34" s="1213" t="e">
        <f>IF(K33="——","——","大写金额：人民币"&amp;NUMBERSTRING(INT(O41*10000),2)&amp;"元整")</f>
        <v>#VALUE!</v>
      </c>
      <c r="L34" s="1214"/>
      <c r="M34" s="1214"/>
      <c r="N34" s="1214"/>
      <c r="O34" s="1215"/>
      <c r="P34" s="1907"/>
      <c r="Q34" s="288"/>
      <c r="R34" s="288"/>
      <c r="S34" s="288"/>
      <c r="T34" s="288"/>
      <c r="U34" s="288"/>
      <c r="V34" s="1907"/>
      <c r="W34" s="288"/>
      <c r="X34" s="288"/>
      <c r="Y34" s="288"/>
      <c r="Z34" s="288"/>
    </row>
    <row r="35" spans="1:26" ht="15.75" thickBot="1">
      <c r="A35" s="280"/>
      <c r="B35" s="1334"/>
      <c r="C35" s="1335">
        <f ca="1">ROUND(C32/('数据-汇总表'!D3/666.67),0)</f>
        <v>77</v>
      </c>
      <c r="D35" s="1336" t="s">
        <v>1683</v>
      </c>
      <c r="E35" s="3697"/>
      <c r="F35" s="297" t="s">
        <v>342</v>
      </c>
      <c r="G35" s="968"/>
      <c r="H35" s="967" t="s">
        <v>343</v>
      </c>
      <c r="I35" s="307"/>
      <c r="J35" s="1907"/>
      <c r="K35" s="3670" t="s">
        <v>350</v>
      </c>
      <c r="L35" s="3670" t="s">
        <v>351</v>
      </c>
      <c r="M35" s="1216" t="s">
        <v>352</v>
      </c>
      <c r="N35" s="3670" t="s">
        <v>353</v>
      </c>
      <c r="O35" s="3670" t="s">
        <v>354</v>
      </c>
      <c r="P35" s="1907"/>
      <c r="V35" s="1907"/>
    </row>
    <row r="36" spans="1:26" ht="16.5" customHeight="1">
      <c r="A36" s="299" t="s">
        <v>344</v>
      </c>
      <c r="B36" s="300" t="s">
        <v>333</v>
      </c>
      <c r="C36" s="301" t="s">
        <v>334</v>
      </c>
      <c r="D36" s="301" t="s">
        <v>346</v>
      </c>
      <c r="E36" s="302" t="s">
        <v>335</v>
      </c>
      <c r="F36" s="307"/>
      <c r="G36" s="307"/>
      <c r="H36" s="307"/>
      <c r="I36" s="307"/>
      <c r="J36" s="1909"/>
      <c r="K36" s="3671"/>
      <c r="L36" s="3671"/>
      <c r="M36" s="1218" t="s">
        <v>355</v>
      </c>
      <c r="N36" s="3671"/>
      <c r="O36" s="3671"/>
      <c r="P36" s="1907"/>
      <c r="V36" s="1907"/>
    </row>
    <row r="37" spans="1:26" ht="16.5" customHeight="1" thickBot="1">
      <c r="A37" s="1212" t="s">
        <v>348</v>
      </c>
      <c r="B37" s="303"/>
      <c r="C37" s="290"/>
      <c r="D37" s="290"/>
      <c r="E37" s="291"/>
      <c r="F37" s="307"/>
      <c r="G37" s="307"/>
      <c r="H37" s="307"/>
      <c r="I37" s="307"/>
      <c r="J37" s="1909"/>
      <c r="K37" s="3672"/>
      <c r="L37" s="3672"/>
      <c r="M37" s="1219"/>
      <c r="N37" s="3672"/>
      <c r="O37" s="3672"/>
      <c r="P37" s="1907"/>
      <c r="V37" s="1907"/>
    </row>
    <row r="38" spans="1:26" ht="16.5" customHeight="1" thickBot="1">
      <c r="A38" s="1212" t="s">
        <v>349</v>
      </c>
      <c r="B38" s="303"/>
      <c r="C38" s="290"/>
      <c r="D38" s="290"/>
      <c r="E38" s="291"/>
      <c r="F38" s="307"/>
      <c r="G38" s="307"/>
      <c r="H38" s="307"/>
      <c r="I38" s="307"/>
      <c r="J38" s="1909"/>
      <c r="K38" s="1220">
        <f>'数据-汇总表'!D3</f>
        <v>60461.7</v>
      </c>
      <c r="L38" s="1221">
        <f>'数据-汇总表'!E3</f>
        <v>121547.97</v>
      </c>
      <c r="M38" s="1221">
        <f ca="1">C34</f>
        <v>1152</v>
      </c>
      <c r="N38" s="1221">
        <f ca="1">C33</f>
        <v>573</v>
      </c>
      <c r="O38" s="1222">
        <f ca="1">C32</f>
        <v>6965</v>
      </c>
      <c r="P38" s="1907"/>
      <c r="V38" s="1907"/>
    </row>
    <row r="39" spans="1:26" ht="16.5" customHeight="1" thickBot="1">
      <c r="A39" s="1217"/>
      <c r="B39" s="304"/>
      <c r="C39" s="305"/>
      <c r="D39" s="305"/>
      <c r="E39" s="306"/>
      <c r="F39" s="307"/>
      <c r="G39" s="307"/>
      <c r="H39" s="307"/>
      <c r="I39" s="307"/>
      <c r="J39" s="1909"/>
      <c r="K39" s="3710" t="str">
        <f>MID(A44,3,LEN(A44)-2)</f>
        <v/>
      </c>
      <c r="L39" s="3711"/>
      <c r="M39" s="3711"/>
      <c r="N39" s="3712"/>
      <c r="O39" s="1338" t="str">
        <f>C44</f>
        <v>——</v>
      </c>
      <c r="P39" s="1907"/>
      <c r="V39" s="1907"/>
    </row>
    <row r="40" spans="1:26" ht="19.5" thickBot="1">
      <c r="A40" s="104" t="s">
        <v>864</v>
      </c>
      <c r="B40" s="307"/>
      <c r="C40" s="307"/>
      <c r="D40" s="307"/>
      <c r="E40" s="307"/>
      <c r="F40" s="307"/>
      <c r="G40" s="307"/>
      <c r="H40" s="307"/>
      <c r="I40" s="307"/>
      <c r="J40" s="1909"/>
      <c r="K40" s="3710" t="str">
        <f t="shared" ref="K40:K41" si="0">MID(A45,3,LEN(A45)-2)</f>
        <v/>
      </c>
      <c r="L40" s="3711"/>
      <c r="M40" s="3711"/>
      <c r="N40" s="3712"/>
      <c r="O40" s="1338" t="str">
        <f>C45</f>
        <v>——</v>
      </c>
      <c r="P40" s="1907"/>
      <c r="V40" s="1907"/>
    </row>
    <row r="41" spans="1:26" ht="16.5" thickBot="1">
      <c r="A41" s="308" t="s">
        <v>356</v>
      </c>
      <c r="B41" s="309"/>
      <c r="C41" s="310" t="s">
        <v>357</v>
      </c>
      <c r="D41" s="311" t="s">
        <v>358</v>
      </c>
      <c r="E41" s="311" t="s">
        <v>359</v>
      </c>
      <c r="F41" s="312" t="s">
        <v>360</v>
      </c>
      <c r="G41" s="307"/>
      <c r="H41" s="307"/>
      <c r="I41" s="307"/>
      <c r="J41" s="1909"/>
      <c r="K41" s="3710" t="str">
        <f t="shared" si="0"/>
        <v/>
      </c>
      <c r="L41" s="3711"/>
      <c r="M41" s="3711"/>
      <c r="N41" s="3712"/>
      <c r="O41" s="1338" t="str">
        <f>C46</f>
        <v>——</v>
      </c>
      <c r="P41" s="1907"/>
      <c r="V41" s="1907"/>
    </row>
    <row r="42" spans="1:26" ht="29.25">
      <c r="A42" s="3654" t="s">
        <v>2055</v>
      </c>
      <c r="B42" s="3655"/>
      <c r="C42" s="260">
        <f ca="1">C32</f>
        <v>6965</v>
      </c>
      <c r="D42" s="313">
        <f ca="1">C33</f>
        <v>573</v>
      </c>
      <c r="E42" s="313">
        <f ca="1">C34</f>
        <v>1152</v>
      </c>
      <c r="F42" s="314">
        <f ca="1">C35</f>
        <v>77</v>
      </c>
      <c r="G42" s="307"/>
      <c r="H42" s="307"/>
      <c r="I42" s="315"/>
      <c r="J42" s="1909"/>
      <c r="K42" s="1223" t="s">
        <v>361</v>
      </c>
      <c r="L42" s="1926" t="s">
        <v>362</v>
      </c>
      <c r="M42" s="1224" t="s">
        <v>363</v>
      </c>
      <c r="N42" s="1927" t="s">
        <v>364</v>
      </c>
      <c r="O42" s="1928" t="s">
        <v>365</v>
      </c>
      <c r="P42" s="1907"/>
      <c r="V42" s="1907"/>
    </row>
    <row r="43" spans="1:26" ht="30">
      <c r="A43" s="3665" t="s">
        <v>2709</v>
      </c>
      <c r="B43" s="3666"/>
      <c r="C43" s="260">
        <f>IF(H33="正常操作",G33+G34+G35,G34+G35)</f>
        <v>0</v>
      </c>
      <c r="D43" s="313" t="s">
        <v>43</v>
      </c>
      <c r="E43" s="313" t="s">
        <v>43</v>
      </c>
      <c r="F43" s="314" t="s">
        <v>43</v>
      </c>
      <c r="G43" s="2579" t="s">
        <v>943</v>
      </c>
      <c r="H43" s="307"/>
      <c r="I43" s="315"/>
      <c r="J43" s="1909"/>
      <c r="K43" s="1225" t="str">
        <f>C4</f>
        <v>基准地价 (办公)</v>
      </c>
      <c r="L43" s="1226">
        <f ca="1">IF(L42="估价结果/万元",C19,C20)</f>
        <v>22796</v>
      </c>
      <c r="M43" s="1227">
        <f>C18</f>
        <v>0.3</v>
      </c>
      <c r="N43" s="1228">
        <f ca="1">IF(N42="测算结果/万元",G19,G20)</f>
        <v>6965</v>
      </c>
      <c r="O43" s="1229">
        <f ca="1">IF(O42="最终结果/万元",C32,C33)</f>
        <v>6965</v>
      </c>
      <c r="P43" s="1907"/>
      <c r="V43" s="1907"/>
    </row>
    <row r="44" spans="1:26" ht="30.75" thickBot="1">
      <c r="A44" s="3654" t="str">
        <f>IF(OR(项目基本情况!E8="抵押价格",项目基本情况!E8="已注销及未注销"),"3.抵押价格","——")</f>
        <v>——</v>
      </c>
      <c r="B44" s="3655"/>
      <c r="C44" s="260" t="str">
        <f>IF(A44="——","——",C42-C43)</f>
        <v>——</v>
      </c>
      <c r="D44" s="313" t="e">
        <f>ROUND(C44*10000/'数据-汇总表'!E3,0)</f>
        <v>#VALUE!</v>
      </c>
      <c r="E44" s="313" t="e">
        <f>ROUND(C44*10000/'数据-汇总表'!D3,0)</f>
        <v>#VALUE!</v>
      </c>
      <c r="F44" s="314" t="e">
        <f>ROUND(C44/('数据-汇总表'!D3/666.67),0)</f>
        <v>#VALUE!</v>
      </c>
      <c r="G44" s="307"/>
      <c r="H44" s="307"/>
      <c r="I44" s="315"/>
      <c r="J44" s="1909"/>
      <c r="K44" s="1230" t="str">
        <f>D4</f>
        <v>剩余法-待开发 (办公)</v>
      </c>
      <c r="L44" s="1231">
        <f ca="1">IF(L42="估价结果/万元",D19,D20)</f>
        <v>180</v>
      </c>
      <c r="M44" s="1232">
        <f>D18</f>
        <v>0.7</v>
      </c>
      <c r="N44" s="1233"/>
      <c r="O44" s="1234"/>
      <c r="P44" s="1907"/>
      <c r="V44" s="1907"/>
    </row>
    <row r="45" spans="1:26" ht="15">
      <c r="A45" s="3660" t="str">
        <f>IF(项目基本情况!E8="已注销及未注销","4.抵押担保权已注销时的抵押价格",IF(项目基本情况!E8="已注销","3.抵押担保权已注销时的抵押价格","——"))</f>
        <v>——</v>
      </c>
      <c r="B45" s="3661"/>
      <c r="C45" s="1714"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09"/>
      <c r="K45" s="1907"/>
      <c r="L45" s="1907"/>
      <c r="M45" s="1907"/>
      <c r="N45" s="1907"/>
      <c r="O45" s="1907"/>
      <c r="P45" s="1907"/>
      <c r="V45" s="1907"/>
    </row>
    <row r="46" spans="1:26" ht="15.75" thickBot="1">
      <c r="A46" s="3656" t="str">
        <f>IF(项目基本情况!E9="抵押净值",IF(A45="——","4.抵押净值","5.抵押净值"),"——")</f>
        <v>——</v>
      </c>
      <c r="B46" s="3657"/>
      <c r="C46" s="316" t="str">
        <f>IF(A46="——","——",O79)</f>
        <v>——</v>
      </c>
      <c r="D46" s="313" t="e">
        <f>ROUND(C46*10000/'数据-汇总表'!E3,0)</f>
        <v>#VALUE!</v>
      </c>
      <c r="E46" s="313" t="e">
        <f>ROUND(C46*10000/'数据-汇总表'!D3,0)</f>
        <v>#VALUE!</v>
      </c>
      <c r="F46" s="314" t="e">
        <f>ROUND(C46/('数据-汇总表'!D3/666.67),0)</f>
        <v>#VALUE!</v>
      </c>
      <c r="G46" s="307"/>
      <c r="H46" s="307"/>
      <c r="I46" s="315"/>
      <c r="J46" s="1909"/>
      <c r="K46" s="1907"/>
      <c r="L46" s="1907"/>
      <c r="M46" s="1907"/>
      <c r="N46" s="1907"/>
      <c r="O46" s="1907"/>
      <c r="P46" s="1907"/>
      <c r="Q46" s="1907"/>
      <c r="R46" s="1907"/>
      <c r="S46" s="1907"/>
      <c r="T46" s="1907"/>
      <c r="U46" s="1907"/>
      <c r="V46" s="1907"/>
    </row>
    <row r="47" spans="1:26" ht="15.75">
      <c r="A47" s="317" t="s">
        <v>366</v>
      </c>
      <c r="B47" s="1235"/>
      <c r="C47" s="318" t="s">
        <v>367</v>
      </c>
      <c r="D47" s="319"/>
      <c r="E47" s="319"/>
      <c r="F47" s="319"/>
      <c r="G47" s="320"/>
      <c r="H47" s="321"/>
      <c r="I47" s="322"/>
      <c r="J47" s="1909"/>
      <c r="K47" s="307"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3">
        <v>1</v>
      </c>
      <c r="B48" s="324"/>
      <c r="C48" s="324"/>
      <c r="D48" s="319"/>
      <c r="E48" s="319"/>
      <c r="F48" s="319"/>
      <c r="G48" s="319"/>
      <c r="H48" s="325"/>
      <c r="I48" s="326"/>
      <c r="J48" s="1909"/>
      <c r="K48" s="1907"/>
      <c r="L48" s="1907"/>
      <c r="M48" s="1907"/>
      <c r="N48" s="1907"/>
      <c r="O48" s="1907"/>
      <c r="P48" s="1907"/>
      <c r="Q48" s="1907"/>
      <c r="R48" s="1907"/>
      <c r="S48" s="1907"/>
      <c r="T48" s="1907"/>
      <c r="U48" s="1907"/>
      <c r="V48" s="1907"/>
    </row>
    <row r="49" spans="1:22" ht="12.75">
      <c r="A49" s="323">
        <v>2</v>
      </c>
      <c r="B49" s="324"/>
      <c r="C49" s="324"/>
      <c r="D49" s="319"/>
      <c r="E49" s="319"/>
      <c r="F49" s="319"/>
      <c r="G49" s="319"/>
      <c r="H49" s="325"/>
      <c r="I49" s="326"/>
      <c r="J49" s="1910"/>
      <c r="K49" s="1907"/>
      <c r="L49" s="1907"/>
      <c r="M49" s="1907"/>
      <c r="N49" s="1907"/>
      <c r="O49" s="1907"/>
      <c r="P49" s="1907"/>
      <c r="Q49" s="1907"/>
      <c r="R49" s="1907"/>
      <c r="S49" s="1907"/>
      <c r="T49" s="1907"/>
      <c r="U49" s="1907"/>
      <c r="V49" s="1907"/>
    </row>
    <row r="50" spans="1:22" ht="12.75">
      <c r="A50" s="323">
        <v>3</v>
      </c>
      <c r="B50" s="324"/>
      <c r="C50" s="324"/>
      <c r="D50" s="319"/>
      <c r="E50" s="319"/>
      <c r="F50" s="319"/>
      <c r="G50" s="319"/>
      <c r="H50" s="325"/>
      <c r="I50" s="326"/>
      <c r="J50" s="1910"/>
      <c r="K50" s="1907"/>
      <c r="L50" s="1907"/>
      <c r="M50" s="1907"/>
      <c r="N50" s="1907"/>
      <c r="O50" s="1907"/>
      <c r="P50" s="1907"/>
      <c r="Q50" s="1907"/>
      <c r="R50" s="1907"/>
      <c r="S50" s="1907"/>
      <c r="T50" s="1907"/>
      <c r="U50" s="1907"/>
      <c r="V50" s="1907"/>
    </row>
    <row r="51" spans="1:22" ht="12.75">
      <c r="A51" s="327"/>
      <c r="B51" s="328"/>
      <c r="C51" s="328"/>
      <c r="D51" s="329"/>
      <c r="E51" s="329"/>
      <c r="F51" s="329"/>
      <c r="G51" s="329"/>
      <c r="H51" s="330"/>
      <c r="I51" s="331"/>
      <c r="J51" s="1910"/>
      <c r="K51" s="1907"/>
      <c r="L51" s="1907"/>
      <c r="M51" s="1907"/>
      <c r="N51" s="1907"/>
      <c r="O51" s="1907"/>
      <c r="P51" s="1907"/>
      <c r="Q51" s="1907"/>
      <c r="R51" s="1907"/>
      <c r="S51" s="1907"/>
      <c r="T51" s="1907"/>
      <c r="U51" s="1907"/>
      <c r="V51" s="1907"/>
    </row>
    <row r="52" spans="1:22" ht="12.75">
      <c r="A52" s="324"/>
      <c r="B52" s="324"/>
      <c r="C52" s="324"/>
      <c r="D52" s="319"/>
      <c r="E52" s="319"/>
      <c r="F52" s="319"/>
      <c r="G52" s="319"/>
      <c r="H52" s="325"/>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2" t="s">
        <v>368</v>
      </c>
      <c r="G53" s="333"/>
      <c r="H53" s="333"/>
      <c r="I53" s="334" t="s">
        <v>369</v>
      </c>
      <c r="J53" s="1910"/>
      <c r="K53" s="1907"/>
      <c r="L53" s="1907"/>
      <c r="M53" s="1907"/>
      <c r="N53" s="1907"/>
      <c r="O53" s="1907"/>
      <c r="P53" s="1907"/>
      <c r="Q53" s="1907"/>
      <c r="R53" s="1907"/>
      <c r="S53" s="1907"/>
      <c r="T53" s="1907"/>
      <c r="U53" s="1907"/>
      <c r="V53" s="1907"/>
    </row>
    <row r="54" spans="1:22" ht="12.75">
      <c r="A54" s="253"/>
      <c r="B54" s="335" t="s">
        <v>370</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3"/>
      <c r="C56" s="333"/>
      <c r="D56" s="333"/>
      <c r="E56" s="333"/>
      <c r="F56" s="333"/>
      <c r="G56" s="333"/>
      <c r="H56" s="333"/>
      <c r="I56" s="334" t="s">
        <v>371</v>
      </c>
      <c r="J56" s="1910"/>
      <c r="K56" s="1907"/>
      <c r="L56" s="1907"/>
      <c r="M56" s="1907"/>
      <c r="N56" s="1907"/>
      <c r="O56" s="1907"/>
      <c r="P56" s="1907"/>
      <c r="Q56" s="1907"/>
      <c r="R56" s="1907"/>
      <c r="S56" s="1907"/>
      <c r="T56" s="1907"/>
      <c r="U56" s="1907"/>
      <c r="V56" s="1907"/>
    </row>
    <row r="57" spans="1:22" ht="12.75">
      <c r="A57" s="253"/>
      <c r="B57" s="335" t="s">
        <v>372</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5"/>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3"/>
      <c r="C59" s="333"/>
      <c r="D59" s="333"/>
      <c r="E59" s="333"/>
      <c r="F59" s="333"/>
      <c r="G59" s="333"/>
      <c r="H59" s="333"/>
      <c r="I59" s="334" t="s">
        <v>371</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5"/>
      <c r="C61" s="336"/>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6" t="s">
        <v>373</v>
      </c>
      <c r="B62" s="1237"/>
      <c r="C62" s="1237"/>
      <c r="D62" s="1238"/>
      <c r="E62" s="1238"/>
      <c r="F62" s="1239"/>
      <c r="G62" s="1239"/>
      <c r="H62" s="1239"/>
      <c r="I62" s="1239"/>
      <c r="J62" s="1911"/>
      <c r="K62" s="1907"/>
      <c r="L62" s="1907"/>
      <c r="M62" s="1907"/>
      <c r="N62" s="1907"/>
      <c r="O62" s="1907"/>
      <c r="P62" s="1907"/>
      <c r="Q62" s="1907"/>
      <c r="R62" s="1907"/>
      <c r="S62" s="1907"/>
      <c r="T62" s="1907"/>
      <c r="U62" s="1907"/>
      <c r="V62" s="1907"/>
    </row>
    <row r="63" spans="1:22" ht="14.25" customHeight="1" thickBot="1">
      <c r="A63" s="3704" t="s">
        <v>374</v>
      </c>
      <c r="B63" s="3705"/>
      <c r="C63" s="3706"/>
      <c r="D63" s="337">
        <f ca="1">ROUND(C42*F63,0)</f>
        <v>6965</v>
      </c>
      <c r="E63" s="298" t="s">
        <v>375</v>
      </c>
      <c r="F63" s="338">
        <v>1</v>
      </c>
      <c r="G63" s="339" t="s">
        <v>376</v>
      </c>
      <c r="H63" s="307"/>
      <c r="I63" s="307"/>
      <c r="J63" s="1907"/>
      <c r="K63" s="1907"/>
      <c r="L63" s="1907"/>
      <c r="M63" s="1907"/>
      <c r="N63" s="1907"/>
      <c r="O63" s="1907"/>
      <c r="P63" s="1907"/>
      <c r="Q63" s="1907"/>
      <c r="R63" s="1907"/>
      <c r="S63" s="1907"/>
      <c r="T63" s="1907"/>
      <c r="U63" s="1907"/>
      <c r="V63" s="1907"/>
    </row>
    <row r="64" spans="1:22" ht="14.25" customHeight="1">
      <c r="A64" s="3662" t="s">
        <v>378</v>
      </c>
      <c r="B64" s="3663"/>
      <c r="C64" s="3663"/>
      <c r="D64" s="3663"/>
      <c r="E64" s="3663"/>
      <c r="F64" s="3663"/>
      <c r="G64" s="3664"/>
      <c r="H64" s="1240"/>
      <c r="I64" s="935"/>
      <c r="J64" s="1898"/>
      <c r="K64" s="1495" t="s">
        <v>377</v>
      </c>
      <c r="L64" s="11"/>
      <c r="M64" s="11"/>
      <c r="N64" s="11"/>
      <c r="O64" s="11"/>
      <c r="P64" s="307"/>
      <c r="Q64" s="1907"/>
      <c r="R64" s="1907"/>
      <c r="S64" s="1907"/>
      <c r="T64" s="1907"/>
      <c r="U64" s="1907"/>
      <c r="V64" s="1907"/>
    </row>
    <row r="65" spans="1:22" ht="12" customHeight="1">
      <c r="A65" s="340" t="s">
        <v>380</v>
      </c>
      <c r="B65" s="341"/>
      <c r="C65" s="342"/>
      <c r="D65" s="343" t="s">
        <v>381</v>
      </c>
      <c r="E65" s="53" t="s">
        <v>382</v>
      </c>
      <c r="F65" s="344" t="s">
        <v>383</v>
      </c>
      <c r="G65" s="345" t="s">
        <v>384</v>
      </c>
      <c r="H65" s="1240"/>
      <c r="I65" s="935"/>
      <c r="J65" s="1898"/>
      <c r="K65" s="1241"/>
      <c r="L65" s="1242"/>
      <c r="M65" s="1242"/>
      <c r="N65" s="1274" t="s">
        <v>379</v>
      </c>
      <c r="O65" s="1275"/>
      <c r="P65" s="1276"/>
      <c r="Q65" s="1907"/>
      <c r="R65" s="1907"/>
      <c r="S65" s="1907"/>
      <c r="T65" s="1907"/>
      <c r="U65" s="1907"/>
      <c r="V65" s="1907"/>
    </row>
    <row r="66" spans="1:22" ht="25.5">
      <c r="A66" s="3658" t="s">
        <v>386</v>
      </c>
      <c r="B66" s="3659"/>
      <c r="C66" s="3659"/>
      <c r="D66" s="257" t="b">
        <f>IF(H66="情况1",0,IF(H66="情况2",D70,IF(H66="情况3",D71,IF(H66="情况4",D72))))</f>
        <v>0</v>
      </c>
      <c r="E66" s="3276" t="str">
        <f>IF(H66="情况4","(销售额-原购置价)×税（费）率","销售额×税（费）率")</f>
        <v>销售额×税（费）率</v>
      </c>
      <c r="F66" s="346">
        <f>IF(H66="情况1","免征",'数据-取费表'!B41)</f>
        <v>5.6000000000000001E-2</v>
      </c>
      <c r="G66" s="347" t="s">
        <v>387</v>
      </c>
      <c r="H66" s="187"/>
      <c r="I66" s="1240"/>
      <c r="J66" s="1913"/>
      <c r="K66" s="3286">
        <v>1</v>
      </c>
      <c r="L66" s="3719" t="s">
        <v>385</v>
      </c>
      <c r="M66" s="3720"/>
      <c r="N66" s="2308"/>
      <c r="O66" s="2309"/>
      <c r="P66" s="2310"/>
      <c r="Q66" s="1907"/>
      <c r="R66" s="1907"/>
      <c r="S66" s="1907"/>
      <c r="T66" s="1907"/>
      <c r="U66" s="1907"/>
      <c r="V66" s="1907"/>
    </row>
    <row r="67" spans="1:22" ht="25.5" customHeight="1">
      <c r="A67" s="348" t="s">
        <v>389</v>
      </c>
      <c r="B67" s="3649" t="s">
        <v>390</v>
      </c>
      <c r="C67" s="3649"/>
      <c r="D67" s="349">
        <v>0</v>
      </c>
      <c r="E67" s="41" t="s">
        <v>391</v>
      </c>
      <c r="F67" s="62" t="s">
        <v>21</v>
      </c>
      <c r="G67" s="3707"/>
      <c r="H67" s="3000" t="s">
        <v>2960</v>
      </c>
      <c r="I67" s="3002"/>
      <c r="J67" s="1914"/>
      <c r="K67" s="3283">
        <v>2</v>
      </c>
      <c r="L67" s="3713" t="s">
        <v>388</v>
      </c>
      <c r="M67" s="3713"/>
      <c r="N67" s="1277">
        <f>'数据-取费表'!B2</f>
        <v>44412</v>
      </c>
      <c r="O67" s="1277"/>
      <c r="P67" s="1277"/>
      <c r="Q67" s="1907"/>
      <c r="R67" s="1907"/>
      <c r="S67" s="1907"/>
      <c r="T67" s="1907"/>
      <c r="U67" s="1907"/>
      <c r="V67" s="1907"/>
    </row>
    <row r="68" spans="1:22" ht="25.5" customHeight="1">
      <c r="A68" s="350"/>
      <c r="B68" s="3649" t="s">
        <v>393</v>
      </c>
      <c r="C68" s="3649"/>
      <c r="D68" s="351"/>
      <c r="E68" s="77"/>
      <c r="F68" s="352"/>
      <c r="G68" s="3708"/>
      <c r="H68" s="3001" t="s">
        <v>2961</v>
      </c>
      <c r="I68" s="3002"/>
      <c r="J68" s="1914"/>
      <c r="K68" s="3283">
        <v>3</v>
      </c>
      <c r="L68" s="3713" t="s">
        <v>392</v>
      </c>
      <c r="M68" s="3713"/>
      <c r="N68" s="1245">
        <f ca="1">C42</f>
        <v>6965</v>
      </c>
      <c r="O68" s="1245"/>
      <c r="P68" s="1245"/>
      <c r="Q68" s="1907"/>
      <c r="R68" s="1907"/>
      <c r="S68" s="1907"/>
      <c r="T68" s="1907"/>
      <c r="U68" s="1907"/>
      <c r="V68" s="1907"/>
    </row>
    <row r="69" spans="1:22" ht="23.45" customHeight="1">
      <c r="A69" s="353"/>
      <c r="B69" s="3649" t="s">
        <v>394</v>
      </c>
      <c r="C69" s="3649"/>
      <c r="D69" s="354"/>
      <c r="E69" s="73"/>
      <c r="F69" s="352"/>
      <c r="G69" s="3709"/>
      <c r="H69" s="3001" t="s">
        <v>2962</v>
      </c>
      <c r="I69" s="3002"/>
      <c r="J69" s="1914"/>
      <c r="K69" s="3285">
        <v>4</v>
      </c>
      <c r="L69" s="3723" t="s">
        <v>2861</v>
      </c>
      <c r="M69" s="3724"/>
      <c r="N69" s="1247" t="str">
        <f>C44</f>
        <v>——</v>
      </c>
      <c r="O69" s="1247"/>
      <c r="P69" s="1247"/>
      <c r="Q69" s="1907"/>
      <c r="R69" s="1907"/>
      <c r="S69" s="1907"/>
      <c r="T69" s="1907"/>
      <c r="U69" s="1907"/>
      <c r="V69" s="1907"/>
    </row>
    <row r="70" spans="1:22" ht="24" customHeight="1">
      <c r="A70" s="355" t="s">
        <v>395</v>
      </c>
      <c r="B70" s="3649" t="s">
        <v>396</v>
      </c>
      <c r="C70" s="3649"/>
      <c r="D70" s="354">
        <f ca="1">ROUND(D63*'数据-取费表'!B41/(1+'数据-取费表'!C42),0)</f>
        <v>371</v>
      </c>
      <c r="E70" s="17" t="s">
        <v>397</v>
      </c>
      <c r="F70" s="356">
        <f>'数据-取费表'!B41</f>
        <v>5.6000000000000001E-2</v>
      </c>
      <c r="G70" s="357"/>
      <c r="H70" s="307"/>
      <c r="I70" s="1244"/>
      <c r="J70" s="1914"/>
      <c r="K70" s="2759"/>
      <c r="L70" s="2760"/>
      <c r="M70" s="2760"/>
      <c r="N70" s="2761" t="s">
        <v>2865</v>
      </c>
      <c r="O70" s="2760"/>
      <c r="P70" s="2762"/>
      <c r="Q70" s="1907"/>
      <c r="R70" s="1907"/>
      <c r="S70" s="1907"/>
      <c r="T70" s="1907"/>
      <c r="U70" s="1907"/>
      <c r="V70" s="1907"/>
    </row>
    <row r="71" spans="1:22" ht="12" customHeight="1">
      <c r="A71" s="355" t="s">
        <v>403</v>
      </c>
      <c r="B71" s="3650" t="s">
        <v>2991</v>
      </c>
      <c r="C71" s="3651"/>
      <c r="D71" s="354">
        <f ca="1">ROUND(D63*'数据-取费表'!B41/(1+'数据-取费表'!C42),0)</f>
        <v>371</v>
      </c>
      <c r="E71" s="17" t="s">
        <v>397</v>
      </c>
      <c r="F71" s="356">
        <f>'数据-取费表'!B41</f>
        <v>5.6000000000000001E-2</v>
      </c>
      <c r="G71" s="357"/>
      <c r="H71" s="307"/>
      <c r="I71" s="1244"/>
      <c r="J71" s="1914"/>
      <c r="K71" s="3287" t="s">
        <v>398</v>
      </c>
      <c r="L71" s="3725" t="s">
        <v>399</v>
      </c>
      <c r="M71" s="3725"/>
      <c r="N71" s="3287" t="s">
        <v>400</v>
      </c>
      <c r="O71" s="3287" t="s">
        <v>401</v>
      </c>
      <c r="P71" s="3287" t="s">
        <v>402</v>
      </c>
      <c r="Q71" s="1907"/>
      <c r="R71" s="1907"/>
      <c r="S71" s="1907"/>
      <c r="T71" s="1907"/>
      <c r="U71" s="1907"/>
      <c r="V71" s="1907"/>
    </row>
    <row r="72" spans="1:22" ht="12" customHeight="1">
      <c r="A72" s="355" t="s">
        <v>405</v>
      </c>
      <c r="B72" s="3650" t="s">
        <v>2992</v>
      </c>
      <c r="C72" s="3651"/>
      <c r="D72" s="354">
        <f ca="1">C86</f>
        <v>371</v>
      </c>
      <c r="E72" s="73" t="s">
        <v>406</v>
      </c>
      <c r="F72" s="356">
        <f>'数据-取费表'!B41</f>
        <v>5.6000000000000001E-2</v>
      </c>
      <c r="G72" s="357"/>
      <c r="H72" s="1250"/>
      <c r="I72" s="1244"/>
      <c r="J72" s="1914"/>
      <c r="K72" s="3283">
        <v>1</v>
      </c>
      <c r="L72" s="3700" t="s">
        <v>404</v>
      </c>
      <c r="M72" s="3700"/>
      <c r="N72" s="1248" t="b">
        <f>D66</f>
        <v>0</v>
      </c>
      <c r="O72" s="3282" t="str">
        <f>E66</f>
        <v>销售额×税（费）率</v>
      </c>
      <c r="P72" s="1249">
        <f>F66</f>
        <v>5.6000000000000001E-2</v>
      </c>
      <c r="Q72" s="1907"/>
      <c r="R72" s="1907"/>
      <c r="S72" s="1907"/>
      <c r="T72" s="1907"/>
      <c r="U72" s="1907"/>
      <c r="V72" s="1907"/>
    </row>
    <row r="73" spans="1:22" ht="24" customHeight="1">
      <c r="A73" s="3695" t="s">
        <v>408</v>
      </c>
      <c r="B73" s="3659"/>
      <c r="C73" s="3659"/>
      <c r="D73" s="358">
        <f ca="1">IF(H73="个人住宅",0,ROUND(D63*I73,0))</f>
        <v>3</v>
      </c>
      <c r="E73" s="17" t="s">
        <v>409</v>
      </c>
      <c r="F73" s="356" t="str">
        <f>IF(H73="正常",I73,"免征")</f>
        <v>免征</v>
      </c>
      <c r="G73" s="357"/>
      <c r="H73" s="187"/>
      <c r="I73" s="356">
        <f>'数据-取费表'!B49</f>
        <v>5.0000000000000001E-4</v>
      </c>
      <c r="J73" s="1914"/>
      <c r="K73" s="3283">
        <v>2</v>
      </c>
      <c r="L73" s="3700" t="s">
        <v>407</v>
      </c>
      <c r="M73" s="3700"/>
      <c r="N73" s="1248">
        <f t="shared" ref="N73:P74" ca="1" si="1">D73</f>
        <v>3</v>
      </c>
      <c r="O73" s="3282" t="str">
        <f t="shared" si="1"/>
        <v>销售额×税（费）率</v>
      </c>
      <c r="P73" s="1249" t="str">
        <f t="shared" si="1"/>
        <v>免征</v>
      </c>
      <c r="Q73" s="1907"/>
      <c r="R73" s="1907"/>
      <c r="S73" s="1907"/>
      <c r="T73" s="1907"/>
      <c r="U73" s="1907"/>
      <c r="V73" s="1907"/>
    </row>
    <row r="74" spans="1:22" ht="24.75">
      <c r="A74" s="3695" t="s">
        <v>411</v>
      </c>
      <c r="B74" s="3659"/>
      <c r="C74" s="3659"/>
      <c r="D74" s="358">
        <f ca="1">IF(H74="个人住宅",D75,D76)</f>
        <v>3942</v>
      </c>
      <c r="E74" s="17" t="s">
        <v>412</v>
      </c>
      <c r="F74" s="356" t="str">
        <f>IF(H74="正常",F76,"免征")</f>
        <v>免征</v>
      </c>
      <c r="G74" s="969" t="s">
        <v>387</v>
      </c>
      <c r="H74" s="359"/>
      <c r="I74" s="42"/>
      <c r="J74" s="1914"/>
      <c r="K74" s="3283">
        <v>3</v>
      </c>
      <c r="L74" s="3700" t="s">
        <v>410</v>
      </c>
      <c r="M74" s="3700"/>
      <c r="N74" s="1248">
        <f t="shared" ca="1" si="1"/>
        <v>3942</v>
      </c>
      <c r="O74" s="3282" t="str">
        <f t="shared" si="1"/>
        <v>增值额×税（费）率</v>
      </c>
      <c r="P74" s="1251" t="str">
        <f t="shared" si="1"/>
        <v>免征</v>
      </c>
      <c r="Q74" s="1907"/>
      <c r="R74" s="1907"/>
      <c r="S74" s="1907"/>
      <c r="T74" s="1907"/>
      <c r="U74" s="1907"/>
      <c r="V74" s="1907"/>
    </row>
    <row r="75" spans="1:22" ht="12.75">
      <c r="A75" s="355" t="s">
        <v>389</v>
      </c>
      <c r="B75" s="3647" t="s">
        <v>415</v>
      </c>
      <c r="C75" s="3683"/>
      <c r="D75" s="360">
        <v>0</v>
      </c>
      <c r="E75" s="41" t="s">
        <v>391</v>
      </c>
      <c r="F75" s="361"/>
      <c r="G75" s="357"/>
      <c r="H75" s="42"/>
      <c r="I75" s="42"/>
      <c r="J75" s="1914"/>
      <c r="K75" s="3283">
        <f>IF(H77="非个人房产","",4)</f>
        <v>4</v>
      </c>
      <c r="L75" s="3700" t="str">
        <f>IF(H77="非个人房产","——","个人所得税")</f>
        <v>个人所得税</v>
      </c>
      <c r="M75" s="3700"/>
      <c r="N75" s="1252">
        <f>D77</f>
        <v>0</v>
      </c>
      <c r="O75" s="1782" t="str">
        <f>E77</f>
        <v>差额计税</v>
      </c>
      <c r="P75" s="1253">
        <f>F77</f>
        <v>0.01</v>
      </c>
      <c r="Q75" s="1907"/>
      <c r="R75" s="1907"/>
      <c r="S75" s="1907"/>
      <c r="T75" s="1907"/>
      <c r="U75" s="1907"/>
      <c r="V75" s="1907"/>
    </row>
    <row r="76" spans="1:22" ht="24.75">
      <c r="A76" s="355" t="s">
        <v>395</v>
      </c>
      <c r="B76" s="3647" t="s">
        <v>418</v>
      </c>
      <c r="C76" s="3648"/>
      <c r="D76" s="358">
        <f ca="1">IF(H76="转让取得",C99,C115)</f>
        <v>3942</v>
      </c>
      <c r="E76" s="17" t="s">
        <v>412</v>
      </c>
      <c r="F76" s="53" t="s">
        <v>21</v>
      </c>
      <c r="G76" s="357"/>
      <c r="H76" s="359"/>
      <c r="I76" s="42"/>
      <c r="J76" s="1914"/>
      <c r="K76" s="3283" t="str">
        <f>IF(项目基本情况!K6="上海银行",IF(K75="",4,K75+1),"")</f>
        <v/>
      </c>
      <c r="L76" s="3715" t="str">
        <f>IF(项目基本情况!K6="上海银行","其他处置费用","")</f>
        <v/>
      </c>
      <c r="M76" s="3716"/>
      <c r="N76" s="1248" t="str">
        <f>IF(项目基本情况!K6="上海银行",N89,"")</f>
        <v/>
      </c>
      <c r="O76" s="3717" t="str">
        <f>IF(项目基本情况!K6="上海银行","包含处置中涉及的律师、诉讼、拍卖、评估等费用","")</f>
        <v/>
      </c>
      <c r="P76" s="3718"/>
      <c r="Q76" s="1907"/>
      <c r="R76" s="1907"/>
      <c r="S76" s="1907"/>
      <c r="T76" s="1907"/>
      <c r="U76" s="1907"/>
      <c r="V76" s="1907"/>
    </row>
    <row r="77" spans="1:22" ht="24.75" thickBot="1">
      <c r="A77" s="3702" t="s">
        <v>421</v>
      </c>
      <c r="B77" s="3703"/>
      <c r="C77" s="3703"/>
      <c r="D77" s="3005">
        <f>IF(H77="非个人房产","——",IF(H77="个人住宅（满五唯一有凭证）",0,IF(H77="个人其他（无凭证）",ROUND(D63*F77,0),ROUND(C84*F77,0))))</f>
        <v>0</v>
      </c>
      <c r="E77" s="3006" t="str">
        <f>IF(H77="非个人房产","——",IF(H77="个人其他（无凭证）","销售额×税（费）率",IF(H77="个人住宅（满五唯一有凭证）","免征","差额计税")))</f>
        <v>差额计税</v>
      </c>
      <c r="F77" s="3007">
        <f>IF(OR(H77="非个人房产",H77="个人住宅（满五唯一有凭证）"),"——",IF(H77="个人其他（有凭证）",20%,1%))</f>
        <v>0.01</v>
      </c>
      <c r="G77" s="970" t="s">
        <v>387</v>
      </c>
      <c r="H77" s="3004"/>
      <c r="I77" s="3003" t="s">
        <v>2963</v>
      </c>
      <c r="J77" s="1914"/>
      <c r="K77" s="3701">
        <f>IF(AND(K75="",K76=""),4,IF(项目基本情况!K6="上海银行",K76+1,K75+1))</f>
        <v>5</v>
      </c>
      <c r="L77" s="3700" t="s">
        <v>2862</v>
      </c>
      <c r="M77" s="2757" t="s">
        <v>417</v>
      </c>
      <c r="N77" s="1254"/>
      <c r="O77" s="1255">
        <f ca="1">SUMIF(N72:N76,"&lt;9e307")</f>
        <v>3945</v>
      </c>
      <c r="P77" s="1256"/>
      <c r="Q77" s="2755" t="e">
        <f ca="1">O77/N69</f>
        <v>#VALUE!</v>
      </c>
      <c r="R77" s="1907"/>
      <c r="S77" s="1907"/>
      <c r="T77" s="1907"/>
      <c r="U77" s="1907"/>
      <c r="V77" s="1907"/>
    </row>
    <row r="78" spans="1:22" ht="12" customHeight="1">
      <c r="A78" s="1257"/>
      <c r="B78" s="307"/>
      <c r="C78" s="307"/>
      <c r="D78" s="307"/>
      <c r="E78" s="42"/>
      <c r="F78" s="42"/>
      <c r="G78" s="42"/>
      <c r="H78" s="989"/>
      <c r="I78" s="307"/>
      <c r="J78" s="1914"/>
      <c r="K78" s="3701"/>
      <c r="L78" s="3700"/>
      <c r="M78" s="2757" t="s">
        <v>420</v>
      </c>
      <c r="N78" s="1254"/>
      <c r="O78" s="1255" t="str">
        <f ca="1">NUMBERSTRING(INT(O77*10000),2)&amp;"元整"</f>
        <v>叁仟玖佰肆拾伍万元整</v>
      </c>
      <c r="P78" s="1256"/>
      <c r="Q78" s="1907"/>
      <c r="R78" s="1907"/>
      <c r="S78" s="1907"/>
      <c r="T78" s="1907"/>
      <c r="U78" s="1907"/>
      <c r="V78" s="1907"/>
    </row>
    <row r="79" spans="1:22" ht="13.5" thickBot="1">
      <c r="A79" s="3667" t="s">
        <v>422</v>
      </c>
      <c r="B79" s="3667"/>
      <c r="C79" s="3667"/>
      <c r="D79" s="3667"/>
      <c r="E79" s="3667"/>
      <c r="F79" s="42"/>
      <c r="G79" s="42"/>
      <c r="H79" s="989"/>
      <c r="I79" s="307"/>
      <c r="J79" s="1914"/>
      <c r="K79" s="3721">
        <f>K77+1</f>
        <v>6</v>
      </c>
      <c r="L79" s="3700" t="s">
        <v>2863</v>
      </c>
      <c r="M79" s="2757" t="s">
        <v>417</v>
      </c>
      <c r="N79" s="1254"/>
      <c r="O79" s="1255" t="e">
        <f ca="1">N69-O77</f>
        <v>#VALUE!</v>
      </c>
      <c r="P79" s="1256"/>
      <c r="Q79" s="1907"/>
      <c r="R79" s="1907"/>
      <c r="S79" s="1907"/>
      <c r="T79" s="1907"/>
      <c r="U79" s="1907"/>
      <c r="V79" s="1907"/>
    </row>
    <row r="80" spans="1:22" ht="12.75">
      <c r="A80" s="3668" t="s">
        <v>423</v>
      </c>
      <c r="B80" s="3669"/>
      <c r="C80" s="3277"/>
      <c r="D80" s="3277" t="s">
        <v>424</v>
      </c>
      <c r="E80" s="362" t="s">
        <v>425</v>
      </c>
      <c r="F80" s="42"/>
      <c r="G80" s="42"/>
      <c r="H80" s="989"/>
      <c r="I80" s="307"/>
      <c r="J80" s="1907"/>
      <c r="K80" s="3722"/>
      <c r="L80" s="3700"/>
      <c r="M80" s="2757" t="s">
        <v>420</v>
      </c>
      <c r="N80" s="1254"/>
      <c r="O80" s="1255" t="e">
        <f ca="1">NUMBERSTRING(INT(O79*10000),2)&amp;"元整"</f>
        <v>#VALUE!</v>
      </c>
      <c r="P80" s="1256"/>
      <c r="Q80" s="1907"/>
      <c r="R80" s="1907"/>
      <c r="S80" s="1907"/>
      <c r="T80" s="1907"/>
      <c r="U80" s="1907"/>
      <c r="V80" s="1907"/>
    </row>
    <row r="81" spans="1:26" ht="13.5" thickBot="1">
      <c r="A81" s="373" t="s">
        <v>1813</v>
      </c>
      <c r="B81" s="363" t="s">
        <v>426</v>
      </c>
      <c r="C81" s="364">
        <f ca="1">ROUND((C82+C83)/(1+'数据-取费表'!C42),0)</f>
        <v>6633</v>
      </c>
      <c r="D81" s="365"/>
      <c r="E81" s="366"/>
      <c r="F81" s="42"/>
      <c r="G81" s="42"/>
      <c r="H81" s="989"/>
      <c r="I81" s="307"/>
      <c r="J81" s="1907"/>
      <c r="K81" s="3283">
        <f>K79+1</f>
        <v>7</v>
      </c>
      <c r="L81" s="3698" t="s">
        <v>2864</v>
      </c>
      <c r="M81" s="3699"/>
      <c r="N81" s="1258"/>
      <c r="O81" s="1259" t="e">
        <f ca="1">ROUND(O79*10000/'数据-汇总表'!E3,0)</f>
        <v>#VALUE!</v>
      </c>
      <c r="P81" s="1260"/>
      <c r="Q81" s="1907"/>
      <c r="R81" s="1907"/>
      <c r="S81" s="1907"/>
      <c r="T81" s="1907"/>
      <c r="U81" s="1907"/>
      <c r="V81" s="1907"/>
    </row>
    <row r="82" spans="1:26" ht="13.5" thickTop="1">
      <c r="A82" s="367" t="s">
        <v>1814</v>
      </c>
      <c r="B82" s="368" t="s">
        <v>427</v>
      </c>
      <c r="C82" s="369">
        <f ca="1">D63</f>
        <v>6965</v>
      </c>
      <c r="D82" s="370" t="s">
        <v>19</v>
      </c>
      <c r="E82" s="371"/>
      <c r="F82" s="42"/>
      <c r="G82" s="42"/>
      <c r="H82" s="989"/>
      <c r="I82" s="307"/>
      <c r="J82" s="1907"/>
      <c r="K82" s="1907"/>
      <c r="L82" s="1907"/>
      <c r="M82" s="1907"/>
      <c r="N82" s="1907"/>
      <c r="O82" s="1907"/>
      <c r="P82" s="1907"/>
      <c r="Q82" s="1907"/>
      <c r="R82" s="1907"/>
      <c r="S82" s="1907"/>
      <c r="T82" s="1907"/>
      <c r="U82" s="1907"/>
      <c r="V82" s="1907"/>
    </row>
    <row r="83" spans="1:26" ht="12.75">
      <c r="A83" s="367" t="s">
        <v>1815</v>
      </c>
      <c r="B83" s="368" t="s">
        <v>428</v>
      </c>
      <c r="C83" s="372"/>
      <c r="D83" s="370"/>
      <c r="E83" s="371"/>
      <c r="F83" s="42"/>
      <c r="G83" s="42"/>
      <c r="H83" s="989"/>
      <c r="I83" s="307"/>
      <c r="J83" s="1907"/>
      <c r="K83" s="3714" t="s">
        <v>2852</v>
      </c>
      <c r="L83" s="3284" t="s">
        <v>2853</v>
      </c>
      <c r="M83" s="2753" t="e">
        <f>IF(N69&gt;10000,N69*0.5%,IF(AND(N69&gt;1000,N69&lt;=10000),N69*1%,IF(AND(N69&gt;100,N69&lt;=1000),N69*3%,IF(AND(N69&gt;10,N69&lt;=100),N69*5%,N69*8%))))</f>
        <v>#VALUE!</v>
      </c>
      <c r="N83" s="53" t="e">
        <f>ROUND(M83,1)</f>
        <v>#VALUE!</v>
      </c>
      <c r="O83" s="2756"/>
      <c r="P83" s="1907"/>
      <c r="Q83" s="1907"/>
      <c r="R83" s="1907"/>
      <c r="S83" s="1907"/>
      <c r="T83" s="1907"/>
      <c r="U83" s="1907"/>
      <c r="V83" s="1907"/>
    </row>
    <row r="84" spans="1:26" ht="12.75">
      <c r="A84" s="373" t="s">
        <v>1816</v>
      </c>
      <c r="B84" s="374" t="s">
        <v>429</v>
      </c>
      <c r="C84" s="375"/>
      <c r="D84" s="376" t="s">
        <v>19</v>
      </c>
      <c r="E84" s="2781" t="s">
        <v>2904</v>
      </c>
      <c r="F84" s="42"/>
      <c r="G84" s="42"/>
      <c r="H84" s="989"/>
      <c r="I84" s="307"/>
      <c r="J84" s="1907"/>
      <c r="K84" s="3714"/>
      <c r="L84" s="3284" t="s">
        <v>2854</v>
      </c>
      <c r="M84" s="27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7" t="s">
        <v>2855</v>
      </c>
      <c r="P84" s="1907"/>
      <c r="Q84" s="1907"/>
      <c r="R84" s="1907"/>
      <c r="S84" s="1907"/>
      <c r="T84" s="1907"/>
      <c r="U84" s="1907"/>
      <c r="V84" s="1907"/>
    </row>
    <row r="85" spans="1:26" ht="12.75">
      <c r="A85" s="373" t="s">
        <v>1817</v>
      </c>
      <c r="B85" s="374" t="s">
        <v>430</v>
      </c>
      <c r="C85" s="377">
        <f ca="1">C81-C84</f>
        <v>6633</v>
      </c>
      <c r="D85" s="370" t="s">
        <v>19</v>
      </c>
      <c r="E85" s="371"/>
      <c r="F85" s="42"/>
      <c r="G85" s="42"/>
      <c r="H85" s="989"/>
      <c r="I85" s="307"/>
      <c r="J85" s="1907"/>
      <c r="K85" s="3714"/>
      <c r="L85" s="3284" t="s">
        <v>2856</v>
      </c>
      <c r="M85" s="2753" t="e">
        <f>IF(N69&gt;1000,N69*0.1%,IF(AND(N69&gt;500,N69&lt;=1000),N69*0.5%,IF(AND(N69&gt;50,N69&lt;=500),N69*1%,IF(AND(N69&gt;1,N69&lt;=50),N69*1.5%))))</f>
        <v>#VALUE!</v>
      </c>
      <c r="N85" s="53" t="e">
        <f t="shared" si="2"/>
        <v>#VALUE!</v>
      </c>
      <c r="O85" s="1907" t="s">
        <v>2855</v>
      </c>
      <c r="P85" s="1907"/>
      <c r="Q85" s="1907"/>
      <c r="R85" s="1907"/>
      <c r="S85" s="1907"/>
      <c r="T85" s="1907"/>
      <c r="U85" s="1907"/>
      <c r="V85" s="1907"/>
    </row>
    <row r="86" spans="1:26" ht="13.5" thickBot="1">
      <c r="A86" s="378" t="s">
        <v>1818</v>
      </c>
      <c r="B86" s="379" t="s">
        <v>431</v>
      </c>
      <c r="C86" s="380">
        <f ca="1">IF(C85&lt;=0,0,ROUND(C85*D86,0))</f>
        <v>371</v>
      </c>
      <c r="D86" s="381">
        <f>'数据-取费表'!B41</f>
        <v>5.6000000000000001E-2</v>
      </c>
      <c r="E86" s="382"/>
      <c r="F86" s="42"/>
      <c r="G86" s="42"/>
      <c r="H86" s="989"/>
      <c r="I86" s="307"/>
      <c r="J86" s="1907"/>
      <c r="K86" s="3714"/>
      <c r="L86" s="3284" t="s">
        <v>2857</v>
      </c>
      <c r="M86" s="2753" t="e">
        <f>N69*0.5%</f>
        <v>#VALUE!</v>
      </c>
      <c r="N86" s="53" t="e">
        <f>IF(M86&gt;0.5,0.5,ROUND(M86,0))</f>
        <v>#VALUE!</v>
      </c>
      <c r="O86" s="1907" t="s">
        <v>2858</v>
      </c>
      <c r="P86" s="1907"/>
      <c r="Q86" s="1907"/>
      <c r="R86" s="1907"/>
      <c r="S86" s="1907"/>
      <c r="T86" s="1907"/>
      <c r="U86" s="1907"/>
      <c r="V86" s="1907"/>
    </row>
    <row r="87" spans="1:26" s="1206" customFormat="1" ht="14.25" customHeight="1">
      <c r="A87" s="1261"/>
      <c r="B87" s="1262"/>
      <c r="C87" s="1263"/>
      <c r="D87" s="1264"/>
      <c r="E87" s="1265"/>
      <c r="F87" s="42"/>
      <c r="G87" s="42"/>
      <c r="H87" s="989"/>
      <c r="I87" s="307"/>
      <c r="J87" s="1907"/>
      <c r="K87" s="3714"/>
      <c r="L87" s="3284" t="s">
        <v>2859</v>
      </c>
      <c r="M87" s="27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6"/>
      <c r="P87" s="1907"/>
      <c r="Q87" s="1907"/>
      <c r="R87" s="1907"/>
      <c r="S87" s="1907"/>
      <c r="T87" s="1907"/>
      <c r="U87" s="1907"/>
      <c r="V87" s="1907"/>
      <c r="W87" s="288"/>
      <c r="X87" s="288"/>
      <c r="Y87" s="288"/>
      <c r="Z87" s="288"/>
    </row>
    <row r="88" spans="1:26" s="1266" customFormat="1" ht="15" thickBot="1">
      <c r="A88" s="3693" t="s">
        <v>432</v>
      </c>
      <c r="B88" s="3694"/>
      <c r="C88" s="3694"/>
      <c r="D88" s="3694"/>
      <c r="E88" s="3694"/>
      <c r="F88" s="3694"/>
      <c r="G88" s="3694"/>
      <c r="H88" s="3694"/>
      <c r="I88" s="1267"/>
      <c r="J88" s="1915"/>
      <c r="K88" s="3714"/>
      <c r="L88" s="3284" t="s">
        <v>2860</v>
      </c>
      <c r="M88" s="2753" t="e">
        <f>IF(N69&gt;10000,N69*0.5%,IF(AND(N69&gt;5000,N69&lt;=10000),N69*1%,IF(AND(N69&gt;1000,N69&lt;=5000),N69*2%,IF(AND(N69&gt;200,N69&lt;=1000),N69*3%,N69*5%))))</f>
        <v>#VALUE!</v>
      </c>
      <c r="N88" s="53" t="e">
        <f>ROUND(M88,1)</f>
        <v>#VALUE!</v>
      </c>
      <c r="O88" s="2756"/>
      <c r="P88" s="1912"/>
      <c r="Q88" s="1912"/>
      <c r="R88" s="1912"/>
      <c r="S88" s="1912"/>
      <c r="T88" s="1912"/>
      <c r="U88" s="1912"/>
      <c r="V88" s="1912"/>
      <c r="W88" s="1916"/>
      <c r="X88" s="1916"/>
      <c r="Y88" s="1916"/>
      <c r="Z88" s="1916"/>
    </row>
    <row r="89" spans="1:26" s="1266" customFormat="1" ht="14.25">
      <c r="A89" s="3668" t="s">
        <v>423</v>
      </c>
      <c r="B89" s="3669"/>
      <c r="C89" s="3277"/>
      <c r="D89" s="3277" t="s">
        <v>424</v>
      </c>
      <c r="E89" s="383" t="s">
        <v>425</v>
      </c>
      <c r="F89" s="384"/>
      <c r="G89" s="384"/>
      <c r="H89" s="385"/>
      <c r="I89" s="1268"/>
      <c r="J89" s="1917"/>
      <c r="K89" s="3714"/>
      <c r="L89" s="3284" t="s">
        <v>27</v>
      </c>
      <c r="M89" s="2754"/>
      <c r="N89" s="53" t="e">
        <f>ROUND(SUM(N83:N88),0)</f>
        <v>#VALUE!</v>
      </c>
      <c r="O89" s="2764" t="e">
        <f>N89/N69</f>
        <v>#VALUE!</v>
      </c>
      <c r="P89" s="1912"/>
      <c r="Q89" s="1912"/>
      <c r="R89" s="1912"/>
      <c r="S89" s="1912"/>
      <c r="T89" s="1912"/>
      <c r="U89" s="1912"/>
      <c r="V89" s="1912"/>
      <c r="W89" s="1916"/>
      <c r="X89" s="1916"/>
      <c r="Y89" s="1916"/>
      <c r="Z89" s="1916"/>
    </row>
    <row r="90" spans="1:26" s="1266" customFormat="1" ht="14.25">
      <c r="A90" s="373" t="s">
        <v>1813</v>
      </c>
      <c r="B90" s="374" t="s">
        <v>434</v>
      </c>
      <c r="C90" s="377">
        <f ca="1">ROUND(D63/(1+'数据-取费表'!C42),0)</f>
        <v>6633</v>
      </c>
      <c r="D90" s="370" t="s">
        <v>19</v>
      </c>
      <c r="E90" s="3275"/>
      <c r="F90" s="3274"/>
      <c r="G90" s="3274"/>
      <c r="H90" s="386"/>
      <c r="I90" s="1268"/>
      <c r="J90" s="1917"/>
      <c r="K90" s="1912"/>
      <c r="L90" s="1912"/>
      <c r="M90" s="1912"/>
      <c r="N90" s="1912"/>
      <c r="O90" s="1912"/>
      <c r="P90" s="1912"/>
      <c r="Q90" s="1912"/>
      <c r="R90" s="1912"/>
      <c r="S90" s="1912"/>
      <c r="T90" s="1912"/>
      <c r="U90" s="1912"/>
      <c r="V90" s="1912"/>
      <c r="W90" s="1916"/>
      <c r="X90" s="1916"/>
      <c r="Y90" s="1916"/>
      <c r="Z90" s="1916"/>
    </row>
    <row r="91" spans="1:26" s="1266" customFormat="1" ht="14.25">
      <c r="A91" s="373" t="s">
        <v>1816</v>
      </c>
      <c r="B91" s="344" t="s">
        <v>435</v>
      </c>
      <c r="C91" s="377">
        <f ca="1">C92+C96</f>
        <v>40</v>
      </c>
      <c r="D91" s="370" t="s">
        <v>19</v>
      </c>
      <c r="E91" s="3275"/>
      <c r="F91" s="3274"/>
      <c r="G91" s="3274"/>
      <c r="H91" s="386"/>
      <c r="I91" s="1268"/>
      <c r="J91" s="1917"/>
      <c r="K91" s="1912"/>
      <c r="L91" s="1912"/>
      <c r="M91" s="1912"/>
      <c r="N91" s="1912"/>
      <c r="O91" s="1912"/>
      <c r="P91" s="1912"/>
      <c r="Q91" s="1912"/>
      <c r="R91" s="1912"/>
      <c r="S91" s="1912"/>
      <c r="T91" s="1912"/>
      <c r="U91" s="1912"/>
      <c r="V91" s="1912"/>
      <c r="W91" s="1916"/>
      <c r="X91" s="1916"/>
      <c r="Y91" s="1916"/>
      <c r="Z91" s="1916"/>
    </row>
    <row r="92" spans="1:26" s="1266" customFormat="1" ht="24">
      <c r="A92" s="387" t="s">
        <v>1814</v>
      </c>
      <c r="B92" s="368" t="s">
        <v>436</v>
      </c>
      <c r="C92" s="370">
        <f>ROUND(IF(G95="2016年5月1日后购买",C93/(1+'数据-取费表'!C30)+C94+C95,C93+C94+C95),0)</f>
        <v>0</v>
      </c>
      <c r="D92" s="370" t="s">
        <v>19</v>
      </c>
      <c r="E92" s="3275"/>
      <c r="F92" s="3274"/>
      <c r="G92" s="3274"/>
      <c r="H92" s="386"/>
      <c r="I92" s="1268"/>
      <c r="J92" s="1917"/>
      <c r="K92" s="1912"/>
      <c r="L92" s="1912"/>
      <c r="M92" s="1912"/>
      <c r="N92" s="1912"/>
      <c r="O92" s="1912"/>
      <c r="P92" s="1912"/>
      <c r="Q92" s="1912"/>
      <c r="R92" s="1912"/>
      <c r="S92" s="1912"/>
      <c r="T92" s="1912"/>
      <c r="U92" s="1912"/>
      <c r="V92" s="1912"/>
      <c r="W92" s="1916"/>
      <c r="X92" s="1916"/>
      <c r="Y92" s="1916"/>
      <c r="Z92" s="1916"/>
    </row>
    <row r="93" spans="1:26" s="1266" customFormat="1" ht="14.25">
      <c r="A93" s="387" t="s">
        <v>1821</v>
      </c>
      <c r="B93" s="368" t="s">
        <v>437</v>
      </c>
      <c r="C93" s="388"/>
      <c r="D93" s="370" t="s">
        <v>19</v>
      </c>
      <c r="E93" s="389" t="s">
        <v>438</v>
      </c>
      <c r="F93" s="390"/>
      <c r="G93" s="389" t="s">
        <v>439</v>
      </c>
      <c r="H93" s="391">
        <v>5</v>
      </c>
      <c r="I93" s="11"/>
      <c r="J93" s="1912"/>
      <c r="K93" s="1912"/>
      <c r="L93" s="1912"/>
      <c r="M93" s="1912"/>
      <c r="N93" s="1912"/>
      <c r="O93" s="1912"/>
      <c r="P93" s="1912"/>
      <c r="Q93" s="1912"/>
      <c r="R93" s="1912"/>
      <c r="S93" s="1912"/>
      <c r="T93" s="1912"/>
      <c r="U93" s="1912"/>
      <c r="V93" s="1912"/>
      <c r="W93" s="1916"/>
      <c r="X93" s="1916"/>
      <c r="Y93" s="1916"/>
      <c r="Z93" s="1916"/>
    </row>
    <row r="94" spans="1:26" s="1266" customFormat="1" ht="24.75" customHeight="1">
      <c r="A94" s="387" t="s">
        <v>1822</v>
      </c>
      <c r="B94" s="392" t="s">
        <v>440</v>
      </c>
      <c r="C94" s="370">
        <f>IF(F93="购房发票",ROUND(C93*H93*5%,0),0)</f>
        <v>0</v>
      </c>
      <c r="D94" s="393">
        <v>0.05</v>
      </c>
      <c r="E94" s="3650" t="s">
        <v>441</v>
      </c>
      <c r="F94" s="3649"/>
      <c r="G94" s="3649"/>
      <c r="H94" s="3692"/>
      <c r="I94" s="1268"/>
      <c r="J94" s="1917"/>
      <c r="K94" s="1912"/>
      <c r="L94" s="1912"/>
      <c r="M94" s="1912"/>
      <c r="N94" s="1912"/>
      <c r="O94" s="1912"/>
      <c r="P94" s="1912"/>
      <c r="Q94" s="1912"/>
      <c r="R94" s="1912"/>
      <c r="S94" s="1912"/>
      <c r="T94" s="1912"/>
      <c r="U94" s="1912"/>
      <c r="V94" s="1912"/>
      <c r="W94" s="1916"/>
      <c r="X94" s="1916"/>
      <c r="Y94" s="1916"/>
      <c r="Z94" s="1916"/>
    </row>
    <row r="95" spans="1:26" s="1266" customFormat="1" ht="24.75" customHeight="1">
      <c r="A95" s="387" t="s">
        <v>1823</v>
      </c>
      <c r="B95" s="368" t="s">
        <v>442</v>
      </c>
      <c r="C95" s="370">
        <f>ROUND(IF(G95="个人买卖住房",0,IF(G95="2016年5月1日前购买",C93*D95,C93*D95/(1+'数据-取费表'!C42))),0)</f>
        <v>0</v>
      </c>
      <c r="D95" s="394">
        <f>'数据-取费表'!B48+'数据-取费表'!B49</f>
        <v>3.0499999999999999E-2</v>
      </c>
      <c r="E95" s="26" t="s">
        <v>443</v>
      </c>
      <c r="F95" s="395"/>
      <c r="G95" s="396"/>
      <c r="H95" s="3281" t="str">
        <f>IF(G95="个人买卖住房","免征印花税"," ")</f>
        <v xml:space="preserve"> </v>
      </c>
      <c r="I95" s="1268"/>
      <c r="J95" s="1917"/>
      <c r="K95" s="1912"/>
      <c r="L95" s="1912"/>
      <c r="M95" s="1912"/>
      <c r="N95" s="1912"/>
      <c r="O95" s="1912"/>
      <c r="P95" s="1912"/>
      <c r="Q95" s="1912"/>
      <c r="R95" s="1912"/>
      <c r="S95" s="1912"/>
      <c r="T95" s="1912"/>
      <c r="U95" s="1912"/>
      <c r="V95" s="1912"/>
      <c r="W95" s="1916"/>
      <c r="X95" s="1916"/>
      <c r="Y95" s="1916"/>
      <c r="Z95" s="1916"/>
    </row>
    <row r="96" spans="1:26" s="1266" customFormat="1" ht="24.75" customHeight="1">
      <c r="A96" s="387" t="s">
        <v>1815</v>
      </c>
      <c r="B96" s="368" t="s">
        <v>444</v>
      </c>
      <c r="C96" s="397">
        <f ca="1">ROUND(D63*D96/(1+'数据-取费表'!C42),0)</f>
        <v>40</v>
      </c>
      <c r="D96" s="398">
        <f>'数据-取费表'!B43</f>
        <v>6.000000000000001E-3</v>
      </c>
      <c r="E96" s="3684" t="s">
        <v>2412</v>
      </c>
      <c r="F96" s="3685"/>
      <c r="G96" s="3685"/>
      <c r="H96" s="3686"/>
      <c r="I96" s="1269"/>
      <c r="J96" s="1918"/>
      <c r="K96" s="1912"/>
      <c r="L96" s="1912"/>
      <c r="M96" s="1912"/>
      <c r="N96" s="1912"/>
      <c r="O96" s="1912"/>
      <c r="P96" s="1912"/>
      <c r="Q96" s="1912"/>
      <c r="R96" s="1912"/>
      <c r="S96" s="1912"/>
      <c r="T96" s="1912"/>
      <c r="U96" s="1912"/>
      <c r="V96" s="1912"/>
      <c r="W96" s="1916"/>
      <c r="X96" s="1916"/>
      <c r="Y96" s="1916"/>
      <c r="Z96" s="1916"/>
    </row>
    <row r="97" spans="1:26" s="1266" customFormat="1" ht="14.25">
      <c r="A97" s="1542" t="s">
        <v>1817</v>
      </c>
      <c r="B97" s="374" t="s">
        <v>445</v>
      </c>
      <c r="C97" s="377">
        <f ca="1">C90-C91</f>
        <v>6593</v>
      </c>
      <c r="D97" s="370" t="s">
        <v>19</v>
      </c>
      <c r="E97" s="3275"/>
      <c r="F97" s="3274"/>
      <c r="G97" s="3274"/>
      <c r="H97" s="386"/>
      <c r="I97" s="1268"/>
      <c r="J97" s="1917"/>
      <c r="K97" s="1912"/>
      <c r="L97" s="1912"/>
      <c r="M97" s="1912"/>
      <c r="N97" s="1912"/>
      <c r="O97" s="1912"/>
      <c r="P97" s="1912"/>
      <c r="Q97" s="1912"/>
      <c r="R97" s="1912"/>
      <c r="S97" s="1912"/>
      <c r="T97" s="1912"/>
      <c r="U97" s="1912"/>
      <c r="V97" s="1912"/>
      <c r="W97" s="1916"/>
      <c r="X97" s="1916"/>
      <c r="Y97" s="1916"/>
      <c r="Z97" s="1916"/>
    </row>
    <row r="98" spans="1:26" s="1266" customFormat="1" ht="24">
      <c r="A98" s="1542" t="s">
        <v>1818</v>
      </c>
      <c r="B98" s="374" t="s">
        <v>446</v>
      </c>
      <c r="C98" s="399">
        <f ca="1">IF(C97&lt;=0,0,C97/C91)</f>
        <v>164.82499999999999</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4"/>
      <c r="G98" s="3274"/>
      <c r="H98" s="386"/>
      <c r="I98" s="1268"/>
      <c r="J98" s="1917"/>
      <c r="K98" s="1912"/>
      <c r="L98" s="1912"/>
      <c r="M98" s="1912"/>
      <c r="N98" s="1912"/>
      <c r="O98" s="1912"/>
      <c r="P98" s="1912"/>
      <c r="Q98" s="1912"/>
      <c r="R98" s="1912"/>
      <c r="S98" s="1912"/>
      <c r="T98" s="1912"/>
      <c r="U98" s="1912"/>
      <c r="V98" s="1912"/>
      <c r="W98" s="1916"/>
      <c r="X98" s="1916"/>
      <c r="Y98" s="1916"/>
      <c r="Z98" s="1916"/>
    </row>
    <row r="99" spans="1:26" s="1266" customFormat="1" ht="24.75" thickBot="1">
      <c r="A99" s="1543" t="s">
        <v>1827</v>
      </c>
      <c r="B99" s="379" t="s">
        <v>447</v>
      </c>
      <c r="C99" s="400">
        <f ca="1">ROUND(IF(C97&lt;=0,0,IF(C98&gt;=200%,C97*60%-C91*35%,IF(C98&gt;=100%,C97*50%-C91*15%,IF(C98&gt;=50%,C97*40%-C91*5%,IF(C98&lt;50%,C97*30%,0))))),0)</f>
        <v>3942</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7"/>
      <c r="K99" s="1912"/>
      <c r="L99" s="1912"/>
      <c r="M99" s="1912"/>
      <c r="N99" s="1912"/>
      <c r="O99" s="1912"/>
      <c r="P99" s="1912"/>
      <c r="Q99" s="1912"/>
      <c r="R99" s="1912"/>
      <c r="S99" s="1912"/>
      <c r="T99" s="1912"/>
      <c r="U99" s="1912"/>
      <c r="V99" s="1912"/>
      <c r="W99" s="1916"/>
      <c r="X99" s="1916"/>
      <c r="Y99" s="1916"/>
      <c r="Z99" s="1916"/>
    </row>
    <row r="100" spans="1:26" s="1266" customFormat="1" ht="7.5" customHeight="1">
      <c r="A100" s="1270"/>
      <c r="B100" s="1271"/>
      <c r="C100" s="11"/>
      <c r="D100" s="11"/>
      <c r="E100" s="1271"/>
      <c r="F100" s="1271"/>
      <c r="G100" s="1271"/>
      <c r="H100" s="1272"/>
      <c r="I100" s="1269"/>
      <c r="J100" s="1918"/>
      <c r="K100" s="1912"/>
      <c r="L100" s="1912"/>
      <c r="M100" s="1912"/>
      <c r="N100" s="1912"/>
      <c r="O100" s="1912"/>
      <c r="P100" s="1912"/>
      <c r="Q100" s="1912"/>
      <c r="R100" s="1912"/>
      <c r="S100" s="1912"/>
      <c r="T100" s="1912"/>
      <c r="U100" s="1912"/>
      <c r="V100" s="1912"/>
      <c r="W100" s="1916"/>
      <c r="X100" s="1916"/>
      <c r="Y100" s="1916"/>
      <c r="Z100" s="1916"/>
    </row>
    <row r="101" spans="1:26" s="1266" customFormat="1" ht="15" thickBot="1">
      <c r="A101" s="3693" t="s">
        <v>448</v>
      </c>
      <c r="B101" s="3694"/>
      <c r="C101" s="3694"/>
      <c r="D101" s="3694"/>
      <c r="E101" s="3694"/>
      <c r="F101" s="3694"/>
      <c r="G101" s="3694"/>
      <c r="H101" s="3694"/>
      <c r="I101" s="11"/>
      <c r="J101" s="1912"/>
      <c r="K101" s="1912"/>
      <c r="L101" s="1912"/>
      <c r="M101" s="1912"/>
      <c r="N101" s="1912"/>
      <c r="O101" s="1912"/>
      <c r="P101" s="1912"/>
      <c r="Q101" s="1912"/>
      <c r="R101" s="1912"/>
      <c r="S101" s="1912"/>
      <c r="T101" s="1912"/>
      <c r="U101" s="1912"/>
      <c r="V101" s="1912"/>
      <c r="W101" s="1916"/>
      <c r="X101" s="1916"/>
      <c r="Y101" s="1916"/>
      <c r="Z101" s="1916"/>
    </row>
    <row r="102" spans="1:26" s="1266" customFormat="1" ht="14.25">
      <c r="A102" s="3668" t="s">
        <v>423</v>
      </c>
      <c r="B102" s="3669"/>
      <c r="C102" s="3277"/>
      <c r="D102" s="3277" t="s">
        <v>424</v>
      </c>
      <c r="E102" s="383" t="s">
        <v>425</v>
      </c>
      <c r="F102" s="384"/>
      <c r="G102" s="384"/>
      <c r="H102" s="405"/>
      <c r="I102" s="11"/>
      <c r="J102" s="1912"/>
      <c r="K102" s="1912"/>
      <c r="L102" s="1912"/>
      <c r="M102" s="1912"/>
      <c r="N102" s="1912"/>
      <c r="O102" s="1912"/>
      <c r="P102" s="1912"/>
      <c r="Q102" s="1912"/>
      <c r="R102" s="1912"/>
      <c r="S102" s="1912"/>
      <c r="T102" s="1912"/>
      <c r="U102" s="1912"/>
      <c r="V102" s="1912"/>
      <c r="W102" s="1916"/>
      <c r="X102" s="1916"/>
      <c r="Y102" s="1916"/>
      <c r="Z102" s="1916"/>
    </row>
    <row r="103" spans="1:26" s="1266" customFormat="1" ht="14.25">
      <c r="A103" s="373" t="s">
        <v>1813</v>
      </c>
      <c r="B103" s="374" t="s">
        <v>434</v>
      </c>
      <c r="C103" s="377">
        <f ca="1">ROUND(D63/(1+'数据-取费表'!C42),0)</f>
        <v>6633</v>
      </c>
      <c r="D103" s="370" t="s">
        <v>19</v>
      </c>
      <c r="E103" s="3275"/>
      <c r="F103" s="3274"/>
      <c r="G103" s="3274"/>
      <c r="H103" s="406"/>
      <c r="I103" s="11"/>
      <c r="J103" s="1912"/>
      <c r="K103" s="1912"/>
      <c r="L103" s="1912"/>
      <c r="M103" s="1912"/>
      <c r="N103" s="1912"/>
      <c r="O103" s="1912"/>
      <c r="P103" s="1912"/>
      <c r="Q103" s="1912"/>
      <c r="R103" s="1912"/>
      <c r="S103" s="1912"/>
      <c r="T103" s="1912"/>
      <c r="U103" s="1912"/>
      <c r="V103" s="1912"/>
      <c r="W103" s="1916"/>
      <c r="X103" s="1916"/>
      <c r="Y103" s="1916"/>
      <c r="Z103" s="1916"/>
    </row>
    <row r="104" spans="1:26" s="1266" customFormat="1" ht="14.25">
      <c r="A104" s="373" t="s">
        <v>1816</v>
      </c>
      <c r="B104" s="344" t="s">
        <v>435</v>
      </c>
      <c r="C104" s="377">
        <f ca="1">IF(H106="仅含出让金",C105+C108+C109+C110+C111+C112,C105+C109+C110+C111+C112)</f>
        <v>40</v>
      </c>
      <c r="D104" s="407"/>
      <c r="E104" s="3275"/>
      <c r="F104" s="3274"/>
      <c r="G104" s="3274"/>
      <c r="H104" s="406"/>
      <c r="I104" s="11"/>
      <c r="J104" s="1912"/>
      <c r="K104" s="1912"/>
      <c r="L104" s="1912"/>
      <c r="M104" s="1912"/>
      <c r="N104" s="1912"/>
      <c r="O104" s="1912"/>
      <c r="P104" s="1912"/>
      <c r="Q104" s="1912"/>
      <c r="R104" s="1912"/>
      <c r="S104" s="1912"/>
      <c r="T104" s="1912"/>
      <c r="U104" s="1912"/>
      <c r="V104" s="1912"/>
      <c r="W104" s="1916"/>
      <c r="X104" s="1916"/>
      <c r="Y104" s="1916"/>
      <c r="Z104" s="1916"/>
    </row>
    <row r="105" spans="1:26" s="1266" customFormat="1" ht="14.25">
      <c r="A105" s="387" t="s">
        <v>1814</v>
      </c>
      <c r="B105" s="368" t="s">
        <v>449</v>
      </c>
      <c r="C105" s="397">
        <f>C106+C107</f>
        <v>0</v>
      </c>
      <c r="D105" s="398"/>
      <c r="E105" s="3280"/>
      <c r="F105" s="3278"/>
      <c r="G105" s="3278"/>
      <c r="H105" s="3279"/>
      <c r="I105" s="11"/>
      <c r="J105" s="1912"/>
      <c r="K105" s="1912"/>
      <c r="L105" s="1912"/>
      <c r="M105" s="1912"/>
      <c r="N105" s="1912"/>
      <c r="O105" s="1912"/>
      <c r="P105" s="1912"/>
      <c r="Q105" s="1912"/>
      <c r="R105" s="1912"/>
      <c r="S105" s="1912"/>
      <c r="T105" s="1912"/>
      <c r="U105" s="1912"/>
      <c r="V105" s="1912"/>
      <c r="W105" s="1916"/>
      <c r="X105" s="1916"/>
      <c r="Y105" s="1916"/>
      <c r="Z105" s="1916"/>
    </row>
    <row r="106" spans="1:26" s="1266" customFormat="1" ht="14.25">
      <c r="A106" s="387" t="s">
        <v>1821</v>
      </c>
      <c r="B106" s="368" t="s">
        <v>450</v>
      </c>
      <c r="C106" s="408"/>
      <c r="D106" s="398"/>
      <c r="E106" s="409" t="s">
        <v>451</v>
      </c>
      <c r="F106" s="3278"/>
      <c r="G106" s="410" t="s">
        <v>452</v>
      </c>
      <c r="H106" s="411"/>
      <c r="I106" s="11"/>
      <c r="J106" s="1912"/>
      <c r="K106" s="3237" t="s">
        <v>2984</v>
      </c>
      <c r="L106" s="1912"/>
      <c r="M106" s="1912"/>
      <c r="N106" s="1912"/>
      <c r="O106" s="1912"/>
      <c r="P106" s="1912"/>
      <c r="Q106" s="1912"/>
      <c r="R106" s="1912"/>
      <c r="S106" s="1912"/>
      <c r="T106" s="1912"/>
      <c r="U106" s="1912"/>
      <c r="V106" s="1912"/>
      <c r="W106" s="1916"/>
      <c r="X106" s="1916"/>
      <c r="Y106" s="1916"/>
      <c r="Z106" s="1916"/>
    </row>
    <row r="107" spans="1:26" s="1266" customFormat="1" ht="14.25">
      <c r="A107" s="387" t="s">
        <v>1822</v>
      </c>
      <c r="B107" s="368" t="s">
        <v>442</v>
      </c>
      <c r="C107" s="397">
        <f>ROUND(C106*D107,0)</f>
        <v>0</v>
      </c>
      <c r="D107" s="398">
        <f>'数据-取费表'!B48+'数据-取费表'!B49</f>
        <v>3.0499999999999999E-2</v>
      </c>
      <c r="E107" s="409" t="s">
        <v>453</v>
      </c>
      <c r="F107" s="3278"/>
      <c r="G107" s="3278"/>
      <c r="H107" s="3279"/>
      <c r="I107" s="11"/>
      <c r="J107" s="1912"/>
      <c r="K107" s="1912"/>
      <c r="L107" s="1912"/>
      <c r="M107" s="1912"/>
      <c r="N107" s="1912"/>
      <c r="O107" s="1912"/>
      <c r="P107" s="1912"/>
      <c r="Q107" s="1912"/>
      <c r="R107" s="1912"/>
      <c r="S107" s="1912"/>
      <c r="T107" s="1912"/>
      <c r="U107" s="1912"/>
      <c r="V107" s="1912"/>
      <c r="W107" s="1916"/>
      <c r="X107" s="1916"/>
      <c r="Y107" s="1916"/>
      <c r="Z107" s="1916"/>
    </row>
    <row r="108" spans="1:26" s="1266" customFormat="1" ht="14.25">
      <c r="A108" s="387" t="s">
        <v>1815</v>
      </c>
      <c r="B108" s="368" t="s">
        <v>454</v>
      </c>
      <c r="C108" s="408"/>
      <c r="D108" s="398"/>
      <c r="E108" s="409" t="str">
        <f>IF(H106="-","土地取得成本中已包含该笔费用"," ")</f>
        <v xml:space="preserve"> </v>
      </c>
      <c r="F108" s="3278"/>
      <c r="G108" s="3644" t="s">
        <v>2955</v>
      </c>
      <c r="H108" s="3645"/>
      <c r="I108" s="2853"/>
      <c r="J108" s="1912"/>
      <c r="K108" s="3237" t="s">
        <v>2985</v>
      </c>
      <c r="L108" s="1912"/>
      <c r="M108" s="1912"/>
      <c r="N108" s="1912"/>
      <c r="O108" s="1912"/>
      <c r="P108" s="1912"/>
      <c r="Q108" s="1912"/>
      <c r="R108" s="1912"/>
      <c r="S108" s="1912"/>
      <c r="T108" s="1912"/>
      <c r="U108" s="1912"/>
      <c r="V108" s="1912"/>
      <c r="W108" s="1916"/>
      <c r="X108" s="1916"/>
      <c r="Y108" s="1916"/>
      <c r="Z108" s="1916"/>
    </row>
    <row r="109" spans="1:26" s="1266" customFormat="1" ht="24" customHeight="1">
      <c r="A109" s="1544" t="s">
        <v>1828</v>
      </c>
      <c r="B109" s="368" t="s">
        <v>455</v>
      </c>
      <c r="C109" s="397">
        <f>IF(H109="——",IF(F1="现房",'剩余法-现房'!C18,0),I109)</f>
        <v>0</v>
      </c>
      <c r="D109" s="398"/>
      <c r="E109" s="3687" t="s">
        <v>456</v>
      </c>
      <c r="F109" s="3685"/>
      <c r="G109" s="3685"/>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6" customFormat="1" ht="25.5" customHeight="1">
      <c r="A110" s="1544" t="s">
        <v>1829</v>
      </c>
      <c r="B110" s="368" t="s">
        <v>457</v>
      </c>
      <c r="C110" s="397">
        <f>ROUND((C105+C108+C109)*D110,0)</f>
        <v>0</v>
      </c>
      <c r="D110" s="3268">
        <v>0</v>
      </c>
      <c r="E110" s="3687" t="s">
        <v>458</v>
      </c>
      <c r="F110" s="3685"/>
      <c r="G110" s="3685"/>
      <c r="H110" s="3686"/>
      <c r="I110" s="11"/>
      <c r="J110" s="1912"/>
      <c r="K110" s="3238" t="s">
        <v>2986</v>
      </c>
      <c r="L110" s="1912"/>
      <c r="M110" s="1912"/>
      <c r="N110" s="1912"/>
      <c r="O110" s="1912"/>
      <c r="P110" s="1912"/>
      <c r="Q110" s="1912"/>
      <c r="R110" s="1912"/>
      <c r="S110" s="1912"/>
      <c r="T110" s="1912"/>
      <c r="U110" s="1912"/>
      <c r="V110" s="1912"/>
      <c r="W110" s="1916"/>
      <c r="X110" s="1916"/>
      <c r="Y110" s="1916"/>
      <c r="Z110" s="1916"/>
    </row>
    <row r="111" spans="1:26" s="1266" customFormat="1" ht="25.5" customHeight="1">
      <c r="A111" s="1544" t="s">
        <v>1830</v>
      </c>
      <c r="B111" s="368" t="s">
        <v>444</v>
      </c>
      <c r="C111" s="397">
        <f ca="1">ROUND(D63*D111/(1+'数据-取费表'!C42),0)</f>
        <v>40</v>
      </c>
      <c r="D111" s="398">
        <f>'数据-取费表'!B43</f>
        <v>6.000000000000001E-3</v>
      </c>
      <c r="E111" s="3684" t="s">
        <v>2412</v>
      </c>
      <c r="F111" s="3685"/>
      <c r="G111" s="3685"/>
      <c r="H111" s="3686"/>
      <c r="I111" s="11"/>
      <c r="J111" s="1912"/>
      <c r="K111" s="1912"/>
      <c r="L111" s="1912"/>
      <c r="M111" s="1912"/>
      <c r="N111" s="1912"/>
      <c r="O111" s="1912"/>
      <c r="P111" s="1912"/>
      <c r="Q111" s="1912"/>
      <c r="R111" s="1912"/>
      <c r="S111" s="1912"/>
      <c r="T111" s="1912"/>
      <c r="U111" s="1912"/>
      <c r="V111" s="1912"/>
      <c r="W111" s="1916"/>
      <c r="X111" s="1916"/>
      <c r="Y111" s="1916"/>
      <c r="Z111" s="1916"/>
    </row>
    <row r="112" spans="1:26" s="1266" customFormat="1" ht="25.5" customHeight="1">
      <c r="A112" s="1544" t="s">
        <v>1831</v>
      </c>
      <c r="B112" s="368" t="s">
        <v>459</v>
      </c>
      <c r="C112" s="397">
        <f>ROUND(C108*D112,0)</f>
        <v>0</v>
      </c>
      <c r="D112" s="398">
        <v>0.2</v>
      </c>
      <c r="E112" s="3687" t="s">
        <v>2435</v>
      </c>
      <c r="F112" s="3685"/>
      <c r="G112" s="3685"/>
      <c r="H112" s="3686"/>
      <c r="I112" s="11"/>
      <c r="J112" s="1912"/>
      <c r="K112" s="1912"/>
      <c r="L112" s="1912"/>
      <c r="M112" s="1912"/>
      <c r="N112" s="1912"/>
      <c r="O112" s="1912"/>
      <c r="P112" s="1912"/>
      <c r="Q112" s="1912"/>
      <c r="R112" s="1912"/>
      <c r="S112" s="1912"/>
      <c r="T112" s="1912"/>
      <c r="U112" s="1912"/>
      <c r="V112" s="1912"/>
      <c r="W112" s="1916"/>
      <c r="X112" s="1916"/>
      <c r="Y112" s="1916"/>
      <c r="Z112" s="1916"/>
    </row>
    <row r="113" spans="1:26" s="1266" customFormat="1" ht="14.25">
      <c r="A113" s="1542" t="s">
        <v>1817</v>
      </c>
      <c r="B113" s="374" t="s">
        <v>445</v>
      </c>
      <c r="C113" s="377">
        <f ca="1">ROUND(C103-C104,0)</f>
        <v>6593</v>
      </c>
      <c r="D113" s="370" t="s">
        <v>19</v>
      </c>
      <c r="E113" s="3275"/>
      <c r="F113" s="3274"/>
      <c r="G113" s="3274"/>
      <c r="H113" s="406"/>
      <c r="I113" s="11"/>
      <c r="J113" s="1912"/>
      <c r="K113" s="1912"/>
      <c r="L113" s="1912"/>
      <c r="M113" s="1912"/>
      <c r="N113" s="1912"/>
      <c r="O113" s="1912"/>
      <c r="P113" s="1912"/>
      <c r="Q113" s="1912"/>
      <c r="R113" s="1912"/>
      <c r="S113" s="1912"/>
      <c r="T113" s="1912"/>
      <c r="U113" s="1912"/>
      <c r="V113" s="1912"/>
      <c r="W113" s="1916"/>
      <c r="X113" s="1916"/>
      <c r="Y113" s="1916"/>
      <c r="Z113" s="1916"/>
    </row>
    <row r="114" spans="1:26" s="1266" customFormat="1" ht="24">
      <c r="A114" s="1542" t="s">
        <v>1818</v>
      </c>
      <c r="B114" s="374" t="s">
        <v>446</v>
      </c>
      <c r="C114" s="399">
        <f ca="1">IF(C113&lt;=0,0,C113/C104)</f>
        <v>164.82499999999999</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74"/>
      <c r="G114" s="3274"/>
      <c r="H114" s="406"/>
      <c r="I114" s="11"/>
      <c r="J114" s="1912"/>
      <c r="K114" s="1912"/>
      <c r="L114" s="1912"/>
      <c r="M114" s="1912"/>
      <c r="N114" s="1912"/>
      <c r="O114" s="1912"/>
      <c r="P114" s="1912"/>
      <c r="Q114" s="1912"/>
      <c r="R114" s="1912"/>
      <c r="S114" s="1912"/>
      <c r="T114" s="1912"/>
      <c r="U114" s="1912"/>
      <c r="V114" s="1912"/>
      <c r="W114" s="1916"/>
      <c r="X114" s="1916"/>
      <c r="Y114" s="1916"/>
      <c r="Z114" s="1916"/>
    </row>
    <row r="115" spans="1:26" s="1266" customFormat="1" ht="24.75" thickBot="1">
      <c r="A115" s="1543" t="s">
        <v>1827</v>
      </c>
      <c r="B115" s="379" t="s">
        <v>447</v>
      </c>
      <c r="C115" s="400">
        <f ca="1">ROUND(IF(C113&lt;=0,0,IF(C114&gt;=200%,C113*60%-C104*35%,IF(C114&gt;=100%,C113*50%-C104*15%,IF(C114&gt;=50%,C113*40%-C104*5%,IF(C114&lt;50%,C113*30%,0))))),0)</f>
        <v>3942</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59" priority="10" stopIfTrue="1" operator="equal">
      <formula>25</formula>
    </cfRule>
  </conditionalFormatting>
  <conditionalFormatting sqref="C8:C9">
    <cfRule type="cellIs" dxfId="158" priority="9" stopIfTrue="1" operator="equal">
      <formula>15</formula>
    </cfRule>
  </conditionalFormatting>
  <conditionalFormatting sqref="C14:C16">
    <cfRule type="cellIs" dxfId="157" priority="8" stopIfTrue="1" operator="equal">
      <formula>30</formula>
    </cfRule>
  </conditionalFormatting>
  <conditionalFormatting sqref="D5:D7">
    <cfRule type="cellIs" dxfId="156" priority="7" stopIfTrue="1" operator="equal">
      <formula>25</formula>
    </cfRule>
  </conditionalFormatting>
  <conditionalFormatting sqref="D8:D9">
    <cfRule type="cellIs" dxfId="155" priority="6" stopIfTrue="1" operator="equal">
      <formula>15</formula>
    </cfRule>
  </conditionalFormatting>
  <conditionalFormatting sqref="C10:D13">
    <cfRule type="cellIs" dxfId="154" priority="5" stopIfTrue="1" operator="equal">
      <formula>15</formula>
    </cfRule>
  </conditionalFormatting>
  <conditionalFormatting sqref="D14:D16">
    <cfRule type="cellIs" dxfId="153" priority="4"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79" fitToHeight="0" orientation="portrait" r:id="rId1"/>
  <rowBreaks count="2" manualBreakCount="2">
    <brk id="60" max="8" man="1"/>
    <brk id="129" max="8" man="1"/>
  </rowBreaks>
  <legacyDrawing r:id="rId2"/>
</worksheet>
</file>

<file path=xl/worksheets/sheet42.xml><?xml version="1.0" encoding="utf-8"?>
<worksheet xmlns="http://schemas.openxmlformats.org/spreadsheetml/2006/main" xmlns:r="http://schemas.openxmlformats.org/officeDocument/2006/relationships">
  <sheetPr>
    <tabColor rgb="FFFFC000"/>
    <pageSetUpPr fitToPage="1"/>
  </sheetPr>
  <dimension ref="A1:AD259"/>
  <sheetViews>
    <sheetView view="pageBreakPreview" topLeftCell="A37" zoomScale="85" zoomScaleNormal="95" zoomScaleSheetLayoutView="85" workbookViewId="0">
      <selection activeCell="F9" sqref="F9"/>
    </sheetView>
  </sheetViews>
  <sheetFormatPr defaultColWidth="9" defaultRowHeight="14.25"/>
  <cols>
    <col min="1" max="1" width="15.625" style="1289" customWidth="1"/>
    <col min="2" max="2" width="15.875" style="1289" customWidth="1"/>
    <col min="3" max="3" width="23.37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30" s="1288" customFormat="1" ht="20.25">
      <c r="A1" s="494" t="s">
        <v>510</v>
      </c>
      <c r="B1" s="495"/>
      <c r="C1" s="496" t="s">
        <v>511</v>
      </c>
      <c r="D1" s="497" t="s">
        <v>512</v>
      </c>
      <c r="E1" s="498"/>
      <c r="F1" s="420"/>
      <c r="G1" s="498"/>
      <c r="H1" s="498"/>
      <c r="I1" s="498"/>
      <c r="J1" s="498"/>
      <c r="K1" s="499"/>
      <c r="L1" s="3203"/>
      <c r="M1" s="3204"/>
      <c r="N1" s="3204"/>
      <c r="O1" s="3204"/>
      <c r="P1" s="2010"/>
      <c r="Q1" s="2010"/>
      <c r="R1" s="2010"/>
      <c r="S1" s="2010"/>
      <c r="T1" s="2010"/>
      <c r="U1" s="2010"/>
      <c r="V1" s="2010"/>
      <c r="W1" s="2010"/>
      <c r="X1" s="2010"/>
      <c r="Y1" s="2010"/>
      <c r="Z1" s="2010"/>
      <c r="AA1" s="2010"/>
      <c r="AB1" s="2010"/>
      <c r="AC1" s="3205"/>
      <c r="AD1" s="1287"/>
    </row>
    <row r="2" spans="1:30" s="1288" customFormat="1" ht="20.25">
      <c r="A2" s="415" t="s">
        <v>461</v>
      </c>
      <c r="B2" s="500">
        <f>F68</f>
        <v>137957</v>
      </c>
      <c r="C2" s="3213"/>
      <c r="D2" s="3213"/>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c r="AD2" s="1287"/>
    </row>
    <row r="3" spans="1:30" s="1288" customFormat="1" ht="20.25">
      <c r="A3" s="1328" t="s">
        <v>1674</v>
      </c>
      <c r="B3" s="502">
        <f>ROUND(B2*10000/'数据-汇总表'!E3,0)</f>
        <v>11350</v>
      </c>
      <c r="C3" s="3214"/>
      <c r="D3" s="3218"/>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3206"/>
      <c r="AC3" s="1940"/>
    </row>
    <row r="4" spans="1:30" s="1288" customFormat="1" ht="20.25">
      <c r="A4" s="503" t="s">
        <v>514</v>
      </c>
      <c r="B4" s="419">
        <f>IF(B48="单位面积地价",C50,ROUND(B2*10000/'数据-汇总表'!D3,0))</f>
        <v>22817</v>
      </c>
      <c r="C4" s="3214"/>
      <c r="D4" s="3218"/>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30" s="1288" customFormat="1" ht="21" thickBot="1">
      <c r="A5" s="421"/>
      <c r="B5" s="422">
        <f>ROUND(B2/('数据-汇总表'!D3/666.67),0)</f>
        <v>1521</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2010"/>
      <c r="AC5" s="1940"/>
    </row>
    <row r="6" spans="1:30" ht="20.25">
      <c r="A6" s="504" t="s">
        <v>515</v>
      </c>
      <c r="B6" s="505"/>
      <c r="C6" s="3782" t="s">
        <v>516</v>
      </c>
      <c r="D6" s="3783"/>
      <c r="E6" s="3782" t="s">
        <v>517</v>
      </c>
      <c r="F6" s="3783"/>
      <c r="G6" s="3782" t="s">
        <v>518</v>
      </c>
      <c r="H6" s="3783"/>
      <c r="I6" s="3782" t="s">
        <v>519</v>
      </c>
      <c r="J6" s="3783"/>
      <c r="K6" s="506" t="s">
        <v>520</v>
      </c>
      <c r="L6" s="2011"/>
      <c r="M6" s="2010"/>
      <c r="N6" s="2010"/>
      <c r="O6" s="2012"/>
      <c r="P6" s="3786" t="s">
        <v>521</v>
      </c>
      <c r="Q6" s="3787"/>
      <c r="R6" s="3792" t="s">
        <v>517</v>
      </c>
      <c r="S6" s="3793"/>
      <c r="T6" s="3792" t="s">
        <v>518</v>
      </c>
      <c r="U6" s="3793"/>
      <c r="V6" s="3798" t="s">
        <v>519</v>
      </c>
      <c r="W6" s="3798"/>
      <c r="X6" s="3348"/>
      <c r="Y6" s="3792" t="s">
        <v>521</v>
      </c>
      <c r="Z6" s="3793"/>
      <c r="AA6" s="3779" t="s">
        <v>517</v>
      </c>
      <c r="AB6" s="3780" t="s">
        <v>518</v>
      </c>
      <c r="AC6" s="3779" t="s">
        <v>519</v>
      </c>
    </row>
    <row r="7" spans="1:30" ht="20.25">
      <c r="A7" s="507"/>
      <c r="B7" s="508"/>
      <c r="C7" s="3801" t="s">
        <v>2893</v>
      </c>
      <c r="D7" s="3802"/>
      <c r="E7" s="3845" t="str">
        <f>案例2021!B4</f>
        <v>海淀区海淀乡树村（27-604地块）六郎庄拆迁安置房北地块经营性配套部分</v>
      </c>
      <c r="F7" s="3846"/>
      <c r="G7" s="3845" t="str">
        <f>案例2021!B5</f>
        <v>海淀区海淀乡树村（27-605地块）六郎庄拆迁安置房南地块经营性配套部分</v>
      </c>
      <c r="H7" s="3846"/>
      <c r="I7" s="3845" t="str">
        <f>案例2021!B3</f>
        <v>人民日报社小红门职工住宅项目</v>
      </c>
      <c r="J7" s="3846"/>
      <c r="K7" s="506"/>
      <c r="L7" s="2011"/>
      <c r="M7" s="2010"/>
      <c r="N7" s="2010"/>
      <c r="O7" s="2012"/>
      <c r="P7" s="3788"/>
      <c r="Q7" s="3789"/>
      <c r="R7" s="3794"/>
      <c r="S7" s="3795"/>
      <c r="T7" s="3794"/>
      <c r="U7" s="3795"/>
      <c r="V7" s="3798"/>
      <c r="W7" s="3798"/>
      <c r="X7" s="3348"/>
      <c r="Y7" s="3794"/>
      <c r="Z7" s="3795"/>
      <c r="AA7" s="3780"/>
      <c r="AB7" s="3780"/>
      <c r="AC7" s="3780"/>
    </row>
    <row r="8" spans="1:30" ht="21" thickBot="1">
      <c r="A8" s="507"/>
      <c r="B8" s="508"/>
      <c r="C8" s="3823" t="s">
        <v>2897</v>
      </c>
      <c r="D8" s="3824"/>
      <c r="E8" s="3823" t="str">
        <f>'比较法-商业'!E8:F8</f>
        <v>海淀区树村</v>
      </c>
      <c r="F8" s="3824"/>
      <c r="G8" s="3806" t="str">
        <f>E8</f>
        <v>海淀区树村</v>
      </c>
      <c r="H8" s="3800"/>
      <c r="I8" s="3806" t="s">
        <v>2897</v>
      </c>
      <c r="J8" s="3800"/>
      <c r="K8" s="506" t="s">
        <v>522</v>
      </c>
      <c r="L8" s="2011"/>
      <c r="M8" s="2010"/>
      <c r="N8" s="2010"/>
      <c r="O8" s="2012"/>
      <c r="P8" s="3790"/>
      <c r="Q8" s="3791"/>
      <c r="R8" s="3794"/>
      <c r="S8" s="3795"/>
      <c r="T8" s="3796"/>
      <c r="U8" s="3797"/>
      <c r="V8" s="3798"/>
      <c r="W8" s="3798"/>
      <c r="X8" s="3348"/>
      <c r="Y8" s="3796"/>
      <c r="Z8" s="3797"/>
      <c r="AA8" s="3781"/>
      <c r="AB8" s="3781"/>
      <c r="AC8" s="3781"/>
    </row>
    <row r="9" spans="1:30" s="1201" customFormat="1" ht="21" thickBot="1">
      <c r="A9" s="2625"/>
      <c r="B9" s="2632" t="s">
        <v>523</v>
      </c>
      <c r="C9" s="2624">
        <f>'数据-取费表'!B2</f>
        <v>44412</v>
      </c>
      <c r="D9" s="512">
        <v>100</v>
      </c>
      <c r="E9" s="513">
        <f>'比较法-商业'!E9</f>
        <v>44263</v>
      </c>
      <c r="F9" s="3388">
        <f>SUMIF(72:72,YEAR(E9)&amp;"-"&amp;INT((MONTH(E9)+2)/3),73:73)</f>
        <v>97.797077792020502</v>
      </c>
      <c r="G9" s="515">
        <f>E9</f>
        <v>44263</v>
      </c>
      <c r="H9" s="3389">
        <f>SUMIF(72:72,YEAR(G9)&amp;"-"&amp;INT((MONTH(G9)+2)/3),73:73)</f>
        <v>97.797077792020502</v>
      </c>
      <c r="I9" s="515">
        <f>'比较法-商业'!G9</f>
        <v>44214</v>
      </c>
      <c r="J9" s="3389">
        <f>SUMIF(72:72,YEAR(I9)&amp;"-"&amp;INT((MONTH(I9)+2)/3),73:73)</f>
        <v>97.797077792020502</v>
      </c>
      <c r="K9" s="516"/>
      <c r="L9" s="2013"/>
      <c r="M9" s="2010"/>
      <c r="N9" s="2010"/>
      <c r="O9" s="2014"/>
      <c r="P9" s="3803" t="s">
        <v>524</v>
      </c>
      <c r="Q9" s="3805"/>
      <c r="R9" s="1499" t="s">
        <v>8</v>
      </c>
      <c r="S9" s="1500">
        <f t="shared" ref="S9:S17" si="0">F9</f>
        <v>97.797077792020502</v>
      </c>
      <c r="T9" s="1499" t="s">
        <v>8</v>
      </c>
      <c r="U9" s="1500">
        <f t="shared" ref="U9:U17" si="1">H9</f>
        <v>97.797077792020502</v>
      </c>
      <c r="V9" s="1499" t="s">
        <v>8</v>
      </c>
      <c r="W9" s="1500">
        <f t="shared" ref="W9:W17" si="2">J9</f>
        <v>97.797077792020502</v>
      </c>
      <c r="X9" s="1501"/>
      <c r="Y9" s="3803" t="s">
        <v>524</v>
      </c>
      <c r="Z9" s="3804"/>
      <c r="AA9" s="1502">
        <f>D9/F9</f>
        <v>1.0225254400000001</v>
      </c>
      <c r="AB9" s="1502">
        <f>D9/H9</f>
        <v>1.0225254400000001</v>
      </c>
      <c r="AC9" s="1502">
        <f>D9/J9</f>
        <v>1.0225254400000001</v>
      </c>
    </row>
    <row r="10" spans="1:30" s="1201" customFormat="1" ht="21" thickBot="1">
      <c r="A10" s="2626"/>
      <c r="B10" s="2633" t="s">
        <v>525</v>
      </c>
      <c r="C10" s="843" t="s">
        <v>526</v>
      </c>
      <c r="D10" s="512">
        <v>100</v>
      </c>
      <c r="E10" s="517" t="s">
        <v>3053</v>
      </c>
      <c r="F10" s="514">
        <f>SUMIF(75:75,E10,76:76)-SUMIF(75:75,C10,76:76)+100</f>
        <v>100</v>
      </c>
      <c r="G10" s="517" t="s">
        <v>3053</v>
      </c>
      <c r="H10" s="512">
        <f>SUMIF(75:75,G10,76:76)-SUMIF(75:75,C10,76:76)+100</f>
        <v>100</v>
      </c>
      <c r="I10" s="517" t="s">
        <v>3053</v>
      </c>
      <c r="J10" s="512">
        <f>SUMIF(75:75,I10,76:76)-SUMIF(75:75,C10,76:76)+100</f>
        <v>100</v>
      </c>
      <c r="K10" s="516"/>
      <c r="L10" s="2013"/>
      <c r="M10" s="2010"/>
      <c r="N10" s="2010"/>
      <c r="O10" s="2014"/>
      <c r="P10" s="3803" t="s">
        <v>527</v>
      </c>
      <c r="Q10" s="3804"/>
      <c r="R10" s="1499" t="s">
        <v>8</v>
      </c>
      <c r="S10" s="1500">
        <f t="shared" si="0"/>
        <v>100</v>
      </c>
      <c r="T10" s="1499" t="s">
        <v>8</v>
      </c>
      <c r="U10" s="1500">
        <f t="shared" si="1"/>
        <v>100</v>
      </c>
      <c r="V10" s="1499" t="s">
        <v>8</v>
      </c>
      <c r="W10" s="1500">
        <f t="shared" si="2"/>
        <v>100</v>
      </c>
      <c r="X10" s="1501"/>
      <c r="Y10" s="3803" t="s">
        <v>527</v>
      </c>
      <c r="Z10" s="3804"/>
      <c r="AA10" s="1502">
        <f t="shared" ref="AA10:AA47" si="3">D10/F10</f>
        <v>1</v>
      </c>
      <c r="AB10" s="1502">
        <f t="shared" ref="AB10:AB47" si="4">D10/H10</f>
        <v>1</v>
      </c>
      <c r="AC10" s="1502">
        <f t="shared" ref="AC10:AC47" si="5">D10/J10</f>
        <v>1</v>
      </c>
    </row>
    <row r="11" spans="1:30" s="1201" customFormat="1" ht="20.25">
      <c r="A11" s="2627"/>
      <c r="B11" s="2634" t="s">
        <v>2735</v>
      </c>
      <c r="C11" s="2621" t="s">
        <v>1667</v>
      </c>
      <c r="D11" s="250">
        <v>100</v>
      </c>
      <c r="E11" s="518" t="s">
        <v>1667</v>
      </c>
      <c r="F11" s="250">
        <f>SUMIF(77:77,E11,78:78)-SUMIF(77:77,C11,78:78)+100</f>
        <v>100</v>
      </c>
      <c r="G11" s="518" t="s">
        <v>1667</v>
      </c>
      <c r="H11" s="250">
        <f>SUMIF(77:77,G11,78:78)-SUMIF(77:77,C11,78:78)+100</f>
        <v>100</v>
      </c>
      <c r="I11" s="518" t="s">
        <v>1667</v>
      </c>
      <c r="J11" s="250">
        <f>SUMIF(77:77,I11,78:78)-SUMIF(77:77,C11,78:78)+100</f>
        <v>100</v>
      </c>
      <c r="K11" s="516"/>
      <c r="L11" s="2013"/>
      <c r="M11" s="2010"/>
      <c r="N11" s="2010"/>
      <c r="O11" s="2015"/>
      <c r="P11" s="3772" t="s">
        <v>529</v>
      </c>
      <c r="Q11" s="3345" t="str">
        <f t="shared" ref="Q11:Q17" si="6">B11</f>
        <v>用途</v>
      </c>
      <c r="R11" s="1499" t="s">
        <v>8</v>
      </c>
      <c r="S11" s="1500">
        <f t="shared" si="0"/>
        <v>100</v>
      </c>
      <c r="T11" s="1499" t="s">
        <v>8</v>
      </c>
      <c r="U11" s="1500">
        <f t="shared" si="1"/>
        <v>100</v>
      </c>
      <c r="V11" s="1499" t="s">
        <v>8</v>
      </c>
      <c r="W11" s="1500">
        <f t="shared" si="2"/>
        <v>100</v>
      </c>
      <c r="X11" s="1501"/>
      <c r="Y11" s="3675" t="s">
        <v>530</v>
      </c>
      <c r="Z11" s="3342" t="str">
        <f t="shared" ref="Z11:Z17" si="7">Q11</f>
        <v>用途</v>
      </c>
      <c r="AA11" s="1502">
        <f t="shared" si="3"/>
        <v>1</v>
      </c>
      <c r="AB11" s="1502">
        <f t="shared" si="4"/>
        <v>1</v>
      </c>
      <c r="AC11" s="1502">
        <f t="shared" si="5"/>
        <v>1</v>
      </c>
    </row>
    <row r="12" spans="1:30" s="1290" customFormat="1" ht="27">
      <c r="A12" s="2628"/>
      <c r="B12" s="2633" t="s">
        <v>2736</v>
      </c>
      <c r="C12" s="3396" t="s">
        <v>3294</v>
      </c>
      <c r="D12" s="251">
        <v>100</v>
      </c>
      <c r="E12" s="521" t="s">
        <v>3294</v>
      </c>
      <c r="F12" s="251">
        <v>100</v>
      </c>
      <c r="G12" s="521" t="s">
        <v>3294</v>
      </c>
      <c r="H12" s="251">
        <v>100</v>
      </c>
      <c r="I12" s="521" t="s">
        <v>3294</v>
      </c>
      <c r="J12" s="251">
        <v>100</v>
      </c>
      <c r="K12" s="523"/>
      <c r="L12" s="2016"/>
      <c r="M12" s="2010"/>
      <c r="N12" s="2010"/>
      <c r="O12" s="2017"/>
      <c r="P12" s="3772"/>
      <c r="Q12" s="3345" t="str">
        <f t="shared" si="6"/>
        <v>土地使用年限（年）</v>
      </c>
      <c r="R12" s="1499" t="s">
        <v>8</v>
      </c>
      <c r="S12" s="1500">
        <f t="shared" si="0"/>
        <v>100</v>
      </c>
      <c r="T12" s="1499" t="s">
        <v>8</v>
      </c>
      <c r="U12" s="1500">
        <f t="shared" si="1"/>
        <v>100</v>
      </c>
      <c r="V12" s="1499" t="s">
        <v>8</v>
      </c>
      <c r="W12" s="1500">
        <f t="shared" si="2"/>
        <v>100</v>
      </c>
      <c r="X12" s="1501"/>
      <c r="Y12" s="3675"/>
      <c r="Z12" s="3342" t="str">
        <f t="shared" si="7"/>
        <v>土地使用年限（年）</v>
      </c>
      <c r="AA12" s="1502">
        <f t="shared" si="3"/>
        <v>1</v>
      </c>
      <c r="AB12" s="1502">
        <f t="shared" si="4"/>
        <v>1</v>
      </c>
      <c r="AC12" s="1502">
        <f t="shared" si="5"/>
        <v>1</v>
      </c>
    </row>
    <row r="13" spans="1:30" ht="20.25">
      <c r="A13" s="2629"/>
      <c r="B13" s="2633" t="s">
        <v>2737</v>
      </c>
      <c r="C13" s="526">
        <f>'比较法-商业'!C13</f>
        <v>1.1000000000000001</v>
      </c>
      <c r="D13" s="251">
        <v>100</v>
      </c>
      <c r="E13" s="3487">
        <f>'比较法-商业'!E13</f>
        <v>2.0590000000000002</v>
      </c>
      <c r="F13" s="251">
        <f>LOOKUP(E13,82:82,83:83)-LOOKUP(C13,82:82,83:83)+100</f>
        <v>99.5</v>
      </c>
      <c r="G13" s="526">
        <f>案例2021!K5</f>
        <v>2.028</v>
      </c>
      <c r="H13" s="251">
        <f>LOOKUP(G13,82:82,83:83)-LOOKUP(C13,82:82,83:83)+100</f>
        <v>99.5</v>
      </c>
      <c r="I13" s="525">
        <f>案例2021!K3</f>
        <v>2.8</v>
      </c>
      <c r="J13" s="251">
        <f>LOOKUP(I13,82:82,83:83)-LOOKUP(C13,82:82,83:83)+100</f>
        <v>99.5</v>
      </c>
      <c r="K13" s="527">
        <v>0.5</v>
      </c>
      <c r="L13" s="2018"/>
      <c r="M13" s="2010"/>
      <c r="N13" s="2010"/>
      <c r="O13" s="2019"/>
      <c r="P13" s="3772"/>
      <c r="Q13" s="3345" t="str">
        <f t="shared" si="6"/>
        <v>容积率</v>
      </c>
      <c r="R13" s="1499" t="s">
        <v>8</v>
      </c>
      <c r="S13" s="1500">
        <f t="shared" si="0"/>
        <v>99.5</v>
      </c>
      <c r="T13" s="1499" t="s">
        <v>8</v>
      </c>
      <c r="U13" s="1500">
        <f t="shared" si="1"/>
        <v>99.5</v>
      </c>
      <c r="V13" s="1499" t="s">
        <v>8</v>
      </c>
      <c r="W13" s="1500">
        <f t="shared" si="2"/>
        <v>99.5</v>
      </c>
      <c r="X13" s="1501"/>
      <c r="Y13" s="3675"/>
      <c r="Z13" s="3342" t="str">
        <f t="shared" si="7"/>
        <v>容积率</v>
      </c>
      <c r="AA13" s="1502">
        <f t="shared" si="3"/>
        <v>1.0050251256281406</v>
      </c>
      <c r="AB13" s="1502">
        <f t="shared" si="4"/>
        <v>1.0050251256281406</v>
      </c>
      <c r="AC13" s="1502">
        <f t="shared" si="5"/>
        <v>1.0050251256281406</v>
      </c>
    </row>
    <row r="14" spans="1:30" s="1201" customFormat="1" ht="20.25">
      <c r="A14" s="2626"/>
      <c r="B14" s="2635" t="s">
        <v>2738</v>
      </c>
      <c r="C14" s="2622"/>
      <c r="D14" s="530">
        <v>100</v>
      </c>
      <c r="E14" s="1323"/>
      <c r="F14" s="251">
        <f>SUMIF(84:84,E14,85:85)-SUMIF(84:84,C14,85:85)+100</f>
        <v>100</v>
      </c>
      <c r="G14" s="522"/>
      <c r="H14" s="251">
        <f>SUMIF(84:84,G14,85:85)-SUMIF(84:84,C14,85:85)+100</f>
        <v>100</v>
      </c>
      <c r="I14" s="521"/>
      <c r="J14" s="251">
        <f>SUMIF(84:84,I14,85:85)-SUMIF(84:84,C14,85:85)+100</f>
        <v>100</v>
      </c>
      <c r="K14" s="523"/>
      <c r="L14" s="2013"/>
      <c r="M14" s="2010"/>
      <c r="N14" s="2010"/>
      <c r="O14" s="2015"/>
      <c r="P14" s="3772"/>
      <c r="Q14" s="3345" t="str">
        <f t="shared" si="6"/>
        <v>配建</v>
      </c>
      <c r="R14" s="1499" t="s">
        <v>8</v>
      </c>
      <c r="S14" s="1500">
        <f t="shared" si="0"/>
        <v>100</v>
      </c>
      <c r="T14" s="1499" t="s">
        <v>8</v>
      </c>
      <c r="U14" s="1500">
        <f t="shared" si="1"/>
        <v>100</v>
      </c>
      <c r="V14" s="1499" t="s">
        <v>8</v>
      </c>
      <c r="W14" s="1500">
        <f t="shared" si="2"/>
        <v>100</v>
      </c>
      <c r="X14" s="1501"/>
      <c r="Y14" s="3675"/>
      <c r="Z14" s="3342" t="str">
        <f t="shared" si="7"/>
        <v>配建</v>
      </c>
      <c r="AA14" s="1502">
        <f>D14/F14</f>
        <v>1</v>
      </c>
      <c r="AB14" s="1502">
        <f>D14/H14</f>
        <v>1</v>
      </c>
      <c r="AC14" s="1502">
        <f>D14/J14</f>
        <v>1</v>
      </c>
    </row>
    <row r="15" spans="1:30" ht="20.25">
      <c r="A15" s="2630"/>
      <c r="B15" s="2636">
        <v>111</v>
      </c>
      <c r="C15" s="899"/>
      <c r="D15" s="532">
        <v>100</v>
      </c>
      <c r="E15" s="533"/>
      <c r="F15" s="251">
        <f>SUMIF(86:86,E15,87:87)-SUMIF(86:86,C15,87:87)+100</f>
        <v>100</v>
      </c>
      <c r="G15" s="534"/>
      <c r="H15" s="532">
        <f>SUMIF(86:86,G15,87:87)-SUMIF(86:86,C15,87:87)+100</f>
        <v>100</v>
      </c>
      <c r="I15" s="534"/>
      <c r="J15" s="532">
        <f>SUMIF(86:86,I15,87:87)-SUMIF(86:86,C15,87:87)+100</f>
        <v>100</v>
      </c>
      <c r="K15" s="523"/>
      <c r="L15" s="2020"/>
      <c r="M15" s="2010"/>
      <c r="N15" s="2010"/>
      <c r="O15" s="2019"/>
      <c r="P15" s="3772"/>
      <c r="Q15" s="3345">
        <f t="shared" si="6"/>
        <v>111</v>
      </c>
      <c r="R15" s="1499" t="s">
        <v>8</v>
      </c>
      <c r="S15" s="1500">
        <f t="shared" si="0"/>
        <v>100</v>
      </c>
      <c r="T15" s="1499" t="s">
        <v>8</v>
      </c>
      <c r="U15" s="1500">
        <f t="shared" si="1"/>
        <v>100</v>
      </c>
      <c r="V15" s="1499" t="s">
        <v>8</v>
      </c>
      <c r="W15" s="1500">
        <f t="shared" si="2"/>
        <v>100</v>
      </c>
      <c r="X15" s="1501"/>
      <c r="Y15" s="3675"/>
      <c r="Z15" s="3342">
        <f t="shared" si="7"/>
        <v>111</v>
      </c>
      <c r="AA15" s="1502">
        <f>D15/F15</f>
        <v>1</v>
      </c>
      <c r="AB15" s="1502">
        <f>D15/H15</f>
        <v>1</v>
      </c>
      <c r="AC15" s="1502">
        <f>D15/J15</f>
        <v>1</v>
      </c>
    </row>
    <row r="16" spans="1:30" ht="21" thickBot="1">
      <c r="A16" s="2631"/>
      <c r="B16" s="2637">
        <v>111</v>
      </c>
      <c r="C16" s="902"/>
      <c r="D16" s="538">
        <v>100</v>
      </c>
      <c r="E16" s="533"/>
      <c r="F16" s="538">
        <f>SUMIF(88:88,E16,89:89)-SUMIF(88:88,C16,89:89)+100</f>
        <v>100</v>
      </c>
      <c r="G16" s="534"/>
      <c r="H16" s="538">
        <f>SUMIF(88:88,G16,89:89)-SUMIF(88:88,C16,89:89)+100</f>
        <v>100</v>
      </c>
      <c r="I16" s="534"/>
      <c r="J16" s="538">
        <f>SUMIF(88:88,I16,89:89)-SUMIF(88:88,C16,89:89)+100</f>
        <v>100</v>
      </c>
      <c r="K16" s="523"/>
      <c r="L16" s="2020"/>
      <c r="M16" s="2010"/>
      <c r="N16" s="2010"/>
      <c r="O16" s="2019"/>
      <c r="P16" s="3772"/>
      <c r="Q16" s="3345">
        <f t="shared" si="6"/>
        <v>111</v>
      </c>
      <c r="R16" s="1499" t="s">
        <v>8</v>
      </c>
      <c r="S16" s="1500">
        <f t="shared" si="0"/>
        <v>100</v>
      </c>
      <c r="T16" s="1499" t="s">
        <v>8</v>
      </c>
      <c r="U16" s="1500">
        <f t="shared" si="1"/>
        <v>100</v>
      </c>
      <c r="V16" s="1499" t="s">
        <v>8</v>
      </c>
      <c r="W16" s="1500">
        <f t="shared" si="2"/>
        <v>100</v>
      </c>
      <c r="X16" s="1501"/>
      <c r="Y16" s="3675"/>
      <c r="Z16" s="3342">
        <f t="shared" si="7"/>
        <v>111</v>
      </c>
      <c r="AA16" s="1502">
        <f>D16/F16</f>
        <v>1</v>
      </c>
      <c r="AB16" s="1502">
        <f>D16/H16</f>
        <v>1</v>
      </c>
      <c r="AC16" s="1502">
        <f>D16/J16</f>
        <v>1</v>
      </c>
    </row>
    <row r="17" spans="1:29" ht="57">
      <c r="A17" s="2623" t="s">
        <v>2733</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0"/>
      <c r="M17" s="2010"/>
      <c r="N17" s="2010"/>
      <c r="O17" s="2019"/>
      <c r="P17" s="3774" t="s">
        <v>534</v>
      </c>
      <c r="Q17" s="3346" t="str">
        <f t="shared" si="6"/>
        <v>居住社区成熟度</v>
      </c>
      <c r="R17" s="1504" t="s">
        <v>8</v>
      </c>
      <c r="S17" s="1505">
        <f t="shared" si="0"/>
        <v>100</v>
      </c>
      <c r="T17" s="1504" t="s">
        <v>8</v>
      </c>
      <c r="U17" s="1505">
        <f t="shared" si="1"/>
        <v>100</v>
      </c>
      <c r="V17" s="1504" t="s">
        <v>8</v>
      </c>
      <c r="W17" s="1505">
        <f t="shared" si="2"/>
        <v>100</v>
      </c>
      <c r="X17" s="3348"/>
      <c r="Y17" s="3774" t="s">
        <v>534</v>
      </c>
      <c r="Z17" s="3347" t="str">
        <f t="shared" si="7"/>
        <v>居住社区成熟度</v>
      </c>
      <c r="AA17" s="3350">
        <f t="shared" si="3"/>
        <v>1</v>
      </c>
      <c r="AB17" s="3350">
        <f t="shared" si="4"/>
        <v>1</v>
      </c>
      <c r="AC17" s="3350">
        <f t="shared" si="5"/>
        <v>1</v>
      </c>
    </row>
    <row r="18" spans="1:29" ht="20.25">
      <c r="A18" s="524"/>
      <c r="B18" s="545"/>
      <c r="C18" s="546"/>
      <c r="D18" s="549"/>
      <c r="E18" s="550"/>
      <c r="F18" s="547"/>
      <c r="G18" s="548"/>
      <c r="H18" s="551"/>
      <c r="I18" s="550"/>
      <c r="J18" s="547"/>
      <c r="K18" s="523"/>
      <c r="L18" s="2020"/>
      <c r="M18" s="2010"/>
      <c r="N18" s="2010"/>
      <c r="O18" s="2019"/>
      <c r="P18" s="3775"/>
      <c r="Q18" s="3346"/>
      <c r="R18" s="1504"/>
      <c r="S18" s="1505"/>
      <c r="T18" s="1504"/>
      <c r="U18" s="1505"/>
      <c r="V18" s="1504"/>
      <c r="W18" s="1505"/>
      <c r="X18" s="3348"/>
      <c r="Y18" s="3775"/>
      <c r="Z18" s="3347"/>
      <c r="AA18" s="3350">
        <v>1</v>
      </c>
      <c r="AB18" s="3350">
        <v>1</v>
      </c>
      <c r="AC18" s="3350">
        <v>1</v>
      </c>
    </row>
    <row r="19" spans="1:29" ht="28.5">
      <c r="A19" s="524"/>
      <c r="B19" s="552" t="s">
        <v>535</v>
      </c>
      <c r="C19" s="553" t="str">
        <f>估价对象房地状况!C16</f>
        <v>安泰购购物中心 1.2，商业繁华度一般</v>
      </c>
      <c r="D19" s="555">
        <v>100</v>
      </c>
      <c r="E19" s="556"/>
      <c r="F19" s="551">
        <f>SUMIF(92:92,E20,93:93)-SUMIF(92:92,C20,93:93)+100</f>
        <v>100</v>
      </c>
      <c r="G19" s="554"/>
      <c r="H19" s="557">
        <f>SUMIF(92:92,G20,93:93)-SUMIF(92:92,C20,93:93)+100</f>
        <v>100</v>
      </c>
      <c r="I19" s="556"/>
      <c r="J19" s="557">
        <f>SUMIF(92:92,I20,93:93)-SUMIF(92:92,C20,93:93)+100</f>
        <v>100</v>
      </c>
      <c r="K19" s="527"/>
      <c r="L19" s="2020"/>
      <c r="M19" s="2010"/>
      <c r="N19" s="2010"/>
      <c r="O19" s="2019"/>
      <c r="P19" s="3775"/>
      <c r="Q19" s="3346" t="str">
        <f>B19</f>
        <v>商业繁华度</v>
      </c>
      <c r="R19" s="1504" t="s">
        <v>8</v>
      </c>
      <c r="S19" s="1505">
        <f>F19</f>
        <v>100</v>
      </c>
      <c r="T19" s="1504" t="s">
        <v>8</v>
      </c>
      <c r="U19" s="1505">
        <f>H19</f>
        <v>100</v>
      </c>
      <c r="V19" s="1504" t="s">
        <v>8</v>
      </c>
      <c r="W19" s="1505">
        <f>J19</f>
        <v>100</v>
      </c>
      <c r="X19" s="3348"/>
      <c r="Y19" s="3775"/>
      <c r="Z19" s="3347" t="str">
        <f>Q19</f>
        <v>商业繁华度</v>
      </c>
      <c r="AA19" s="3350">
        <f t="shared" si="3"/>
        <v>1</v>
      </c>
      <c r="AB19" s="3350">
        <f t="shared" si="4"/>
        <v>1</v>
      </c>
      <c r="AC19" s="3350">
        <f t="shared" si="5"/>
        <v>1</v>
      </c>
    </row>
    <row r="20" spans="1:29" ht="20.25">
      <c r="A20" s="524"/>
      <c r="B20" s="558"/>
      <c r="C20" s="559"/>
      <c r="D20" s="555"/>
      <c r="E20" s="561"/>
      <c r="F20" s="551"/>
      <c r="G20" s="560"/>
      <c r="H20" s="547"/>
      <c r="I20" s="561"/>
      <c r="J20" s="547"/>
      <c r="K20" s="523"/>
      <c r="L20" s="2020"/>
      <c r="M20" s="2010"/>
      <c r="N20" s="2010"/>
      <c r="O20" s="2019"/>
      <c r="P20" s="3775"/>
      <c r="Q20" s="3346"/>
      <c r="R20" s="1504"/>
      <c r="S20" s="1505"/>
      <c r="T20" s="1504"/>
      <c r="U20" s="1505"/>
      <c r="V20" s="1504"/>
      <c r="W20" s="1505"/>
      <c r="X20" s="3348"/>
      <c r="Y20" s="3775"/>
      <c r="Z20" s="3347"/>
      <c r="AA20" s="3350">
        <v>1</v>
      </c>
      <c r="AB20" s="3350">
        <v>1</v>
      </c>
      <c r="AC20" s="3350">
        <v>1</v>
      </c>
    </row>
    <row r="21" spans="1:29" ht="57">
      <c r="A21" s="524"/>
      <c r="B21" s="552" t="s">
        <v>536</v>
      </c>
      <c r="C21" s="553" t="str">
        <f>估价对象房地状况!C17</f>
        <v>卫生大厦、新浪总部大厦、百度科技园、网易大厦、腾讯北京总部大楼、联想总部等，办公集聚程度较好</v>
      </c>
      <c r="D21" s="563">
        <v>100</v>
      </c>
      <c r="E21" s="564"/>
      <c r="F21" s="557">
        <f>SUMIF(94:94,E22,95:95)-SUMIF(94:94,C22,95:95)+100</f>
        <v>100</v>
      </c>
      <c r="G21" s="562"/>
      <c r="H21" s="551">
        <f>SUMIF(94:94,G22,95:95)-SUMIF(94:94,C22,95:95)+100</f>
        <v>100</v>
      </c>
      <c r="I21" s="564"/>
      <c r="J21" s="551">
        <f>SUMIF(94:94,I22,95:95)-SUMIF(94:94,C22,95:95)+100</f>
        <v>99</v>
      </c>
      <c r="K21" s="527">
        <v>1</v>
      </c>
      <c r="L21" s="2020"/>
      <c r="M21" s="2010"/>
      <c r="N21" s="2010"/>
      <c r="O21" s="2019"/>
      <c r="P21" s="3775"/>
      <c r="Q21" s="3346" t="str">
        <f>B21</f>
        <v>办公集聚程度</v>
      </c>
      <c r="R21" s="1504" t="s">
        <v>8</v>
      </c>
      <c r="S21" s="1505">
        <f>F21</f>
        <v>100</v>
      </c>
      <c r="T21" s="1504" t="s">
        <v>8</v>
      </c>
      <c r="U21" s="1505">
        <f>H21</f>
        <v>100</v>
      </c>
      <c r="V21" s="1504" t="s">
        <v>8</v>
      </c>
      <c r="W21" s="1505">
        <f>J21</f>
        <v>99</v>
      </c>
      <c r="X21" s="3348"/>
      <c r="Y21" s="3775"/>
      <c r="Z21" s="3347" t="str">
        <f>Q21</f>
        <v>办公集聚程度</v>
      </c>
      <c r="AA21" s="3350">
        <f t="shared" si="3"/>
        <v>1</v>
      </c>
      <c r="AB21" s="3350">
        <f t="shared" si="4"/>
        <v>1</v>
      </c>
      <c r="AC21" s="3350">
        <f t="shared" si="5"/>
        <v>1.0101010101010102</v>
      </c>
    </row>
    <row r="22" spans="1:29" ht="20.25">
      <c r="A22" s="524"/>
      <c r="B22" s="558"/>
      <c r="C22" s="546" t="s">
        <v>3042</v>
      </c>
      <c r="D22" s="549"/>
      <c r="E22" s="550" t="s">
        <v>3042</v>
      </c>
      <c r="F22" s="547"/>
      <c r="G22" s="548" t="s">
        <v>3042</v>
      </c>
      <c r="H22" s="547"/>
      <c r="I22" s="550" t="s">
        <v>3040</v>
      </c>
      <c r="J22" s="547"/>
      <c r="K22" s="523"/>
      <c r="L22" s="2020"/>
      <c r="M22" s="2010"/>
      <c r="N22" s="2010"/>
      <c r="O22" s="2019"/>
      <c r="P22" s="3775"/>
      <c r="Q22" s="3346"/>
      <c r="R22" s="1504"/>
      <c r="S22" s="1505"/>
      <c r="T22" s="1504"/>
      <c r="U22" s="1505"/>
      <c r="V22" s="1504"/>
      <c r="W22" s="1505"/>
      <c r="X22" s="3348"/>
      <c r="Y22" s="3775"/>
      <c r="Z22" s="3347"/>
      <c r="AA22" s="3350">
        <v>1</v>
      </c>
      <c r="AB22" s="3350">
        <v>1</v>
      </c>
      <c r="AC22" s="3350">
        <v>1</v>
      </c>
    </row>
    <row r="23" spans="1:29" ht="99.75">
      <c r="A23" s="524"/>
      <c r="B23" s="552" t="s">
        <v>537</v>
      </c>
      <c r="C23" s="565" t="str">
        <f>估价对象房地状况!C18</f>
        <v>紧邻地铁16号线（西北旺站），周边有333路、384路、438路、570路、575路、623路、902路、908路、909路、快速直达专线152路、专143路等多条公交线路，交通便捷度好</v>
      </c>
      <c r="D23" s="555">
        <v>100</v>
      </c>
      <c r="E23" s="556"/>
      <c r="F23" s="557">
        <f>SUMIF(96:96,E24,97:97)-SUMIF(96:96,C24,97:97)+100</f>
        <v>100</v>
      </c>
      <c r="G23" s="554"/>
      <c r="H23" s="551">
        <f>SUMIF(96:96,G24,97:97)-SUMIF(96:96,C24,97:97)+100</f>
        <v>100</v>
      </c>
      <c r="I23" s="556"/>
      <c r="J23" s="551">
        <f>SUMIF(96:96,I24,97:97)-SUMIF(96:96,C24,97:97)+100</f>
        <v>100</v>
      </c>
      <c r="K23" s="527">
        <v>2</v>
      </c>
      <c r="L23" s="2020"/>
      <c r="M23" s="2010"/>
      <c r="N23" s="2010"/>
      <c r="O23" s="2019"/>
      <c r="P23" s="3775"/>
      <c r="Q23" s="3346" t="str">
        <f>B23</f>
        <v>交通便捷度</v>
      </c>
      <c r="R23" s="1504" t="s">
        <v>8</v>
      </c>
      <c r="S23" s="1505">
        <f>F23</f>
        <v>100</v>
      </c>
      <c r="T23" s="1504" t="s">
        <v>8</v>
      </c>
      <c r="U23" s="1505">
        <f>H23</f>
        <v>100</v>
      </c>
      <c r="V23" s="1504" t="s">
        <v>8</v>
      </c>
      <c r="W23" s="1505">
        <f>J23</f>
        <v>100</v>
      </c>
      <c r="X23" s="3348"/>
      <c r="Y23" s="3775"/>
      <c r="Z23" s="3347" t="str">
        <f>Q23</f>
        <v>交通便捷度</v>
      </c>
      <c r="AA23" s="3350">
        <f t="shared" si="3"/>
        <v>1</v>
      </c>
      <c r="AB23" s="3350">
        <f t="shared" si="4"/>
        <v>1</v>
      </c>
      <c r="AC23" s="3350">
        <f t="shared" si="5"/>
        <v>1</v>
      </c>
    </row>
    <row r="24" spans="1:29" ht="20.25">
      <c r="A24" s="524"/>
      <c r="B24" s="570"/>
      <c r="C24" s="546" t="s">
        <v>3042</v>
      </c>
      <c r="D24" s="549"/>
      <c r="E24" s="550" t="s">
        <v>3042</v>
      </c>
      <c r="F24" s="547"/>
      <c r="G24" s="548" t="s">
        <v>3042</v>
      </c>
      <c r="H24" s="547"/>
      <c r="I24" s="550" t="s">
        <v>3042</v>
      </c>
      <c r="J24" s="547"/>
      <c r="K24" s="523"/>
      <c r="L24" s="2020"/>
      <c r="M24" s="2010"/>
      <c r="N24" s="2010"/>
      <c r="O24" s="2019"/>
      <c r="P24" s="3775"/>
      <c r="Q24" s="3346"/>
      <c r="R24" s="1504"/>
      <c r="S24" s="1505"/>
      <c r="T24" s="1504"/>
      <c r="U24" s="1505"/>
      <c r="V24" s="1504"/>
      <c r="W24" s="1505"/>
      <c r="X24" s="3348"/>
      <c r="Y24" s="3775"/>
      <c r="Z24" s="3347"/>
      <c r="AA24" s="3350">
        <v>1</v>
      </c>
      <c r="AB24" s="3350">
        <v>1</v>
      </c>
      <c r="AC24" s="3350">
        <v>1</v>
      </c>
    </row>
    <row r="25" spans="1:29" ht="27">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0"/>
      <c r="M25" s="2010"/>
      <c r="N25" s="2010"/>
      <c r="O25" s="2019"/>
      <c r="P25" s="3775"/>
      <c r="Q25" s="3346" t="str">
        <f t="shared" ref="Q25:Q39" si="8">B25</f>
        <v>区域土地利用方向</v>
      </c>
      <c r="R25" s="1504" t="s">
        <v>8</v>
      </c>
      <c r="S25" s="1505">
        <f>F25</f>
        <v>100</v>
      </c>
      <c r="T25" s="1504" t="s">
        <v>8</v>
      </c>
      <c r="U25" s="1505">
        <f>H25</f>
        <v>100</v>
      </c>
      <c r="V25" s="1504" t="s">
        <v>8</v>
      </c>
      <c r="W25" s="1505">
        <f>J25</f>
        <v>100</v>
      </c>
      <c r="X25" s="3348"/>
      <c r="Y25" s="3775"/>
      <c r="Z25" s="3347" t="str">
        <f>Q25</f>
        <v>区域土地利用方向</v>
      </c>
      <c r="AA25" s="3350">
        <f t="shared" si="3"/>
        <v>1</v>
      </c>
      <c r="AB25" s="3350">
        <f t="shared" si="4"/>
        <v>1</v>
      </c>
      <c r="AC25" s="3350">
        <f t="shared" si="5"/>
        <v>1</v>
      </c>
    </row>
    <row r="26" spans="1:29" ht="20.25">
      <c r="A26" s="507"/>
      <c r="B26" s="992"/>
      <c r="C26" s="546" t="s">
        <v>3042</v>
      </c>
      <c r="D26" s="549"/>
      <c r="E26" s="550" t="s">
        <v>3042</v>
      </c>
      <c r="F26" s="547"/>
      <c r="G26" s="548" t="s">
        <v>3042</v>
      </c>
      <c r="H26" s="547"/>
      <c r="I26" s="550" t="s">
        <v>3042</v>
      </c>
      <c r="J26" s="547"/>
      <c r="K26" s="523"/>
      <c r="L26" s="2020"/>
      <c r="M26" s="2010"/>
      <c r="N26" s="2010"/>
      <c r="O26" s="2019"/>
      <c r="P26" s="3775"/>
      <c r="Q26" s="3346"/>
      <c r="R26" s="1504"/>
      <c r="S26" s="1505"/>
      <c r="T26" s="1504"/>
      <c r="U26" s="1505"/>
      <c r="V26" s="1504"/>
      <c r="W26" s="1505"/>
      <c r="X26" s="3348"/>
      <c r="Y26" s="3775"/>
      <c r="Z26" s="3347"/>
      <c r="AA26" s="3350"/>
      <c r="AB26" s="3350"/>
      <c r="AC26" s="3350"/>
    </row>
    <row r="27" spans="1:29" ht="99.75">
      <c r="A27" s="507"/>
      <c r="B27" s="570" t="s">
        <v>539</v>
      </c>
      <c r="C27" s="553" t="str">
        <f>估价对象房地状况!C20</f>
        <v>区域自然环境：百望山、药用植物园、百旺公园、首师大附中口袋公园、中关村公园、小关村公园、京密引水渠等；人文环境：西北旺镇政府；综合评价环境状况较好</v>
      </c>
      <c r="D27" s="555">
        <v>100</v>
      </c>
      <c r="E27" s="556"/>
      <c r="F27" s="551">
        <f>SUMIF(100:100,E28,101:101)-SUMIF(100:100,C28,101:101)+100</f>
        <v>100</v>
      </c>
      <c r="G27" s="554"/>
      <c r="H27" s="551">
        <f>SUMIF(100:100,G28,101:101)-SUMIF(100:100,C28,101:101)+100</f>
        <v>100</v>
      </c>
      <c r="I27" s="556"/>
      <c r="J27" s="551">
        <f>SUMIF(100:100,I28,101:101)-SUMIF(100:100,C28,101:101)+100</f>
        <v>98</v>
      </c>
      <c r="K27" s="527">
        <v>2</v>
      </c>
      <c r="L27" s="2020"/>
      <c r="M27" s="2010"/>
      <c r="N27" s="2010"/>
      <c r="O27" s="2019"/>
      <c r="P27" s="3775"/>
      <c r="Q27" s="3346" t="str">
        <f t="shared" si="8"/>
        <v>自然及人文环境状况</v>
      </c>
      <c r="R27" s="1504" t="s">
        <v>8</v>
      </c>
      <c r="S27" s="1505">
        <f>F27</f>
        <v>100</v>
      </c>
      <c r="T27" s="1504" t="s">
        <v>8</v>
      </c>
      <c r="U27" s="1505">
        <f>H27</f>
        <v>100</v>
      </c>
      <c r="V27" s="1504" t="s">
        <v>8</v>
      </c>
      <c r="W27" s="1505">
        <f>J27</f>
        <v>98</v>
      </c>
      <c r="X27" s="3348"/>
      <c r="Y27" s="3775"/>
      <c r="Z27" s="3347" t="str">
        <f>Q27</f>
        <v>自然及人文环境状况</v>
      </c>
      <c r="AA27" s="3350">
        <f t="shared" si="3"/>
        <v>1</v>
      </c>
      <c r="AB27" s="3350">
        <f t="shared" si="4"/>
        <v>1</v>
      </c>
      <c r="AC27" s="3350">
        <f t="shared" si="5"/>
        <v>1.0204081632653061</v>
      </c>
    </row>
    <row r="28" spans="1:29" ht="20.25">
      <c r="A28" s="507"/>
      <c r="B28" s="558"/>
      <c r="C28" s="546" t="s">
        <v>3041</v>
      </c>
      <c r="D28" s="549"/>
      <c r="E28" s="568" t="s">
        <v>3041</v>
      </c>
      <c r="F28" s="547"/>
      <c r="G28" s="546" t="s">
        <v>3041</v>
      </c>
      <c r="H28" s="547"/>
      <c r="I28" s="568" t="s">
        <v>3042</v>
      </c>
      <c r="J28" s="547"/>
      <c r="K28" s="523"/>
      <c r="L28" s="2020"/>
      <c r="M28" s="2010"/>
      <c r="N28" s="2010"/>
      <c r="O28" s="2019"/>
      <c r="P28" s="3775"/>
      <c r="Q28" s="3346"/>
      <c r="R28" s="1504"/>
      <c r="S28" s="1505"/>
      <c r="T28" s="1504"/>
      <c r="U28" s="1505"/>
      <c r="V28" s="1504"/>
      <c r="W28" s="1505"/>
      <c r="X28" s="3348"/>
      <c r="Y28" s="3775"/>
      <c r="Z28" s="3347"/>
      <c r="AA28" s="3350">
        <v>1</v>
      </c>
      <c r="AB28" s="3350">
        <v>1</v>
      </c>
      <c r="AC28" s="3350">
        <v>1</v>
      </c>
    </row>
    <row r="29" spans="1:29" s="1201" customFormat="1" ht="171">
      <c r="A29" s="569"/>
      <c r="B29" s="2431" t="s">
        <v>2529</v>
      </c>
      <c r="C29" s="565"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3"/>
      <c r="M29" s="2010"/>
      <c r="N29" s="2010"/>
      <c r="O29" s="2015"/>
      <c r="P29" s="3775"/>
      <c r="Q29" s="3345" t="str">
        <f t="shared" si="8"/>
        <v>公共配套设施</v>
      </c>
      <c r="R29" s="1499" t="s">
        <v>8</v>
      </c>
      <c r="S29" s="1500">
        <f>F29</f>
        <v>100</v>
      </c>
      <c r="T29" s="1499" t="s">
        <v>8</v>
      </c>
      <c r="U29" s="1500">
        <f>H29</f>
        <v>100</v>
      </c>
      <c r="V29" s="1499" t="s">
        <v>8</v>
      </c>
      <c r="W29" s="1500">
        <f>J29</f>
        <v>100</v>
      </c>
      <c r="X29" s="1501"/>
      <c r="Y29" s="3775"/>
      <c r="Z29" s="3342" t="str">
        <f>Q29</f>
        <v>公共配套设施</v>
      </c>
      <c r="AA29" s="3350">
        <f>D29/F29</f>
        <v>1</v>
      </c>
      <c r="AB29" s="3350">
        <f>D29/H29</f>
        <v>1</v>
      </c>
      <c r="AC29" s="3350">
        <f>D29/J29</f>
        <v>1</v>
      </c>
    </row>
    <row r="30" spans="1:29" s="1201" customFormat="1" ht="20.25">
      <c r="A30" s="569"/>
      <c r="B30" s="558"/>
      <c r="C30" s="571" t="s">
        <v>3042</v>
      </c>
      <c r="D30" s="549"/>
      <c r="E30" s="568" t="s">
        <v>3042</v>
      </c>
      <c r="F30" s="547"/>
      <c r="G30" s="546" t="s">
        <v>3042</v>
      </c>
      <c r="H30" s="547"/>
      <c r="I30" s="568" t="s">
        <v>3042</v>
      </c>
      <c r="J30" s="547"/>
      <c r="K30" s="523"/>
      <c r="L30" s="2013"/>
      <c r="M30" s="2010"/>
      <c r="N30" s="2010"/>
      <c r="O30" s="2015"/>
      <c r="P30" s="3775"/>
      <c r="Q30" s="3345"/>
      <c r="R30" s="1499"/>
      <c r="S30" s="1500"/>
      <c r="T30" s="1499"/>
      <c r="U30" s="1500"/>
      <c r="V30" s="1499"/>
      <c r="W30" s="1500"/>
      <c r="X30" s="1501"/>
      <c r="Y30" s="3775"/>
      <c r="Z30" s="3342"/>
      <c r="AA30" s="3350">
        <v>1</v>
      </c>
      <c r="AB30" s="3350">
        <v>1</v>
      </c>
      <c r="AC30" s="3350">
        <v>1</v>
      </c>
    </row>
    <row r="31" spans="1:29" s="1201" customFormat="1" ht="20.25">
      <c r="A31" s="569"/>
      <c r="B31" s="2431" t="s">
        <v>2530</v>
      </c>
      <c r="C31" s="565" t="str">
        <f>估价对象房地状况!C22</f>
        <v>七通</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3"/>
      <c r="M31" s="2010"/>
      <c r="N31" s="2010"/>
      <c r="O31" s="2015"/>
      <c r="P31" s="3775"/>
      <c r="Q31" s="3345" t="str">
        <f t="shared" ref="Q31" si="9">B31</f>
        <v>基础设施水平</v>
      </c>
      <c r="R31" s="1499" t="s">
        <v>8</v>
      </c>
      <c r="S31" s="1500">
        <f>F31</f>
        <v>100</v>
      </c>
      <c r="T31" s="1499" t="s">
        <v>8</v>
      </c>
      <c r="U31" s="1500">
        <f>H31</f>
        <v>100</v>
      </c>
      <c r="V31" s="1499" t="s">
        <v>8</v>
      </c>
      <c r="W31" s="1500">
        <f>J31</f>
        <v>100</v>
      </c>
      <c r="X31" s="1501"/>
      <c r="Y31" s="3775"/>
      <c r="Z31" s="3342" t="str">
        <f>Q31</f>
        <v>基础设施水平</v>
      </c>
      <c r="AA31" s="3350">
        <f>D31/F31</f>
        <v>1</v>
      </c>
      <c r="AB31" s="3350">
        <f>D31/H31</f>
        <v>1</v>
      </c>
      <c r="AC31" s="3350">
        <f>D31/J31</f>
        <v>1</v>
      </c>
    </row>
    <row r="32" spans="1:29" s="1201" customFormat="1" ht="20.25">
      <c r="A32" s="569"/>
      <c r="B32" s="558"/>
      <c r="C32" s="571" t="s">
        <v>3027</v>
      </c>
      <c r="D32" s="549"/>
      <c r="E32" s="2432" t="s">
        <v>3027</v>
      </c>
      <c r="F32" s="547"/>
      <c r="G32" s="571" t="s">
        <v>3027</v>
      </c>
      <c r="H32" s="547"/>
      <c r="I32" s="571" t="s">
        <v>3027</v>
      </c>
      <c r="J32" s="547"/>
      <c r="K32" s="523"/>
      <c r="L32" s="2013"/>
      <c r="M32" s="2010"/>
      <c r="N32" s="2010"/>
      <c r="O32" s="2015"/>
      <c r="P32" s="3775"/>
      <c r="Q32" s="3345"/>
      <c r="R32" s="1499"/>
      <c r="S32" s="1500"/>
      <c r="T32" s="1499"/>
      <c r="U32" s="1500"/>
      <c r="V32" s="1499"/>
      <c r="W32" s="1500"/>
      <c r="X32" s="1501"/>
      <c r="Y32" s="3775"/>
      <c r="Z32" s="3342"/>
      <c r="AA32" s="3350">
        <v>1</v>
      </c>
      <c r="AB32" s="3350">
        <v>1</v>
      </c>
      <c r="AC32" s="3350">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0"/>
      <c r="M33" s="2010"/>
      <c r="N33" s="2010"/>
      <c r="O33" s="2019"/>
      <c r="P33" s="3775"/>
      <c r="Q33" s="3346" t="str">
        <f t="shared" si="8"/>
        <v>临街状况</v>
      </c>
      <c r="R33" s="1504" t="s">
        <v>8</v>
      </c>
      <c r="S33" s="1505">
        <f t="shared" ref="S33:S47" si="10">F33</f>
        <v>100</v>
      </c>
      <c r="T33" s="1504" t="s">
        <v>8</v>
      </c>
      <c r="U33" s="1505">
        <f t="shared" ref="U33:U47" si="11">H33</f>
        <v>100</v>
      </c>
      <c r="V33" s="1504" t="s">
        <v>8</v>
      </c>
      <c r="W33" s="1505">
        <f t="shared" ref="W33:W47" si="12">J33</f>
        <v>100</v>
      </c>
      <c r="X33" s="3348"/>
      <c r="Y33" s="3775"/>
      <c r="Z33" s="3347" t="str">
        <f t="shared" ref="Z33:Z47" si="13">Q33</f>
        <v>临街状况</v>
      </c>
      <c r="AA33" s="3350">
        <f t="shared" si="3"/>
        <v>1</v>
      </c>
      <c r="AB33" s="3350">
        <f t="shared" si="4"/>
        <v>1</v>
      </c>
      <c r="AC33" s="3350">
        <f t="shared" si="5"/>
        <v>1</v>
      </c>
    </row>
    <row r="34" spans="1:29" ht="27">
      <c r="A34" s="524"/>
      <c r="B34" s="570" t="s">
        <v>542</v>
      </c>
      <c r="C34" s="554"/>
      <c r="D34" s="555">
        <v>100</v>
      </c>
      <c r="E34" s="556"/>
      <c r="F34" s="551">
        <f>SUMIF(108:108,E35,109:109)-SUMIF(108:108,C35,109:109)+100</f>
        <v>100</v>
      </c>
      <c r="G34" s="554"/>
      <c r="H34" s="551">
        <f>SUMIF(108:108,G35,109:109)-SUMIF(108:108,C35,109:109)+100</f>
        <v>100</v>
      </c>
      <c r="I34" s="3390"/>
      <c r="J34" s="551">
        <f>SUMIF(108:108,I35,109:109)-SUMIF(108:108,C35,109:109)+100</f>
        <v>100</v>
      </c>
      <c r="K34" s="527">
        <v>2</v>
      </c>
      <c r="L34" s="2020"/>
      <c r="M34" s="2010"/>
      <c r="N34" s="2010"/>
      <c r="O34" s="2019"/>
      <c r="P34" s="3775"/>
      <c r="Q34" s="3346" t="str">
        <f t="shared" si="8"/>
        <v>毗邻道路的类型与等级</v>
      </c>
      <c r="R34" s="1504" t="s">
        <v>8</v>
      </c>
      <c r="S34" s="1505">
        <f t="shared" si="10"/>
        <v>100</v>
      </c>
      <c r="T34" s="1504" t="s">
        <v>8</v>
      </c>
      <c r="U34" s="1505">
        <f t="shared" si="11"/>
        <v>100</v>
      </c>
      <c r="V34" s="1504" t="s">
        <v>8</v>
      </c>
      <c r="W34" s="1505">
        <f t="shared" si="12"/>
        <v>100</v>
      </c>
      <c r="X34" s="3348"/>
      <c r="Y34" s="3775"/>
      <c r="Z34" s="3347" t="str">
        <f t="shared" si="13"/>
        <v>毗邻道路的类型与等级</v>
      </c>
      <c r="AA34" s="3350">
        <f t="shared" si="3"/>
        <v>1</v>
      </c>
      <c r="AB34" s="3350">
        <f t="shared" si="4"/>
        <v>1</v>
      </c>
      <c r="AC34" s="3350">
        <f t="shared" si="5"/>
        <v>1</v>
      </c>
    </row>
    <row r="35" spans="1:29" ht="20.25">
      <c r="A35" s="524"/>
      <c r="B35" s="558"/>
      <c r="C35" s="546" t="s">
        <v>3257</v>
      </c>
      <c r="D35" s="549"/>
      <c r="E35" s="568" t="s">
        <v>3257</v>
      </c>
      <c r="F35" s="547"/>
      <c r="G35" s="546" t="s">
        <v>3257</v>
      </c>
      <c r="H35" s="547"/>
      <c r="I35" s="568" t="s">
        <v>3257</v>
      </c>
      <c r="J35" s="547"/>
      <c r="K35" s="573"/>
      <c r="L35" s="2020"/>
      <c r="M35" s="2010"/>
      <c r="N35" s="2010"/>
      <c r="O35" s="2019"/>
      <c r="P35" s="3775"/>
      <c r="Q35" s="3346"/>
      <c r="R35" s="1504"/>
      <c r="S35" s="1505"/>
      <c r="T35" s="1504"/>
      <c r="U35" s="1505"/>
      <c r="V35" s="1504"/>
      <c r="W35" s="1505"/>
      <c r="X35" s="3348"/>
      <c r="Y35" s="3775"/>
      <c r="Z35" s="3347"/>
      <c r="AA35" s="3350">
        <v>1</v>
      </c>
      <c r="AB35" s="3350">
        <v>1</v>
      </c>
      <c r="AC35" s="3350">
        <v>1</v>
      </c>
    </row>
    <row r="36" spans="1:29" ht="20.25">
      <c r="A36" s="524"/>
      <c r="B36" s="574" t="s">
        <v>543</v>
      </c>
      <c r="C36" s="572" t="s">
        <v>1398</v>
      </c>
      <c r="D36" s="567">
        <v>100</v>
      </c>
      <c r="E36" s="575" t="s">
        <v>1398</v>
      </c>
      <c r="F36" s="532">
        <f>SUMIF(110:110,E36,111:111)-SUMIF(110:110,C36,111:111)+100</f>
        <v>100</v>
      </c>
      <c r="G36" s="572" t="s">
        <v>1398</v>
      </c>
      <c r="H36" s="532">
        <f>SUMIF(110:110,G36,111:111)-SUMIF(110:110,C36,111:111)+100</f>
        <v>100</v>
      </c>
      <c r="I36" s="575" t="s">
        <v>1398</v>
      </c>
      <c r="J36" s="532">
        <f>SUMIF(110:110,I36,111:111)-SUMIF(110:110,C36,111:111)+100</f>
        <v>100</v>
      </c>
      <c r="K36" s="576">
        <v>2</v>
      </c>
      <c r="L36" s="2020"/>
      <c r="M36" s="2010"/>
      <c r="N36" s="2010"/>
      <c r="O36" s="2019"/>
      <c r="P36" s="3775"/>
      <c r="Q36" s="3346" t="str">
        <f t="shared" si="8"/>
        <v>土地级别</v>
      </c>
      <c r="R36" s="1504" t="s">
        <v>8</v>
      </c>
      <c r="S36" s="1505">
        <f t="shared" si="10"/>
        <v>100</v>
      </c>
      <c r="T36" s="1504" t="s">
        <v>8</v>
      </c>
      <c r="U36" s="1505">
        <f t="shared" si="11"/>
        <v>100</v>
      </c>
      <c r="V36" s="1504" t="s">
        <v>8</v>
      </c>
      <c r="W36" s="1505">
        <f t="shared" si="12"/>
        <v>100</v>
      </c>
      <c r="X36" s="3348"/>
      <c r="Y36" s="3775"/>
      <c r="Z36" s="3347" t="str">
        <f t="shared" si="13"/>
        <v>土地级别</v>
      </c>
      <c r="AA36" s="3350">
        <f t="shared" si="3"/>
        <v>1</v>
      </c>
      <c r="AB36" s="3350">
        <f t="shared" si="4"/>
        <v>1</v>
      </c>
      <c r="AC36" s="3350">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0"/>
      <c r="M37" s="2010"/>
      <c r="N37" s="2010"/>
      <c r="O37" s="2019"/>
      <c r="P37" s="3775"/>
      <c r="Q37" s="3346">
        <f t="shared" si="8"/>
        <v>111</v>
      </c>
      <c r="R37" s="1504" t="s">
        <v>8</v>
      </c>
      <c r="S37" s="1505">
        <f t="shared" si="10"/>
        <v>100</v>
      </c>
      <c r="T37" s="1504" t="s">
        <v>8</v>
      </c>
      <c r="U37" s="1505">
        <f t="shared" si="11"/>
        <v>100</v>
      </c>
      <c r="V37" s="1504" t="s">
        <v>8</v>
      </c>
      <c r="W37" s="1505">
        <f t="shared" si="12"/>
        <v>100</v>
      </c>
      <c r="X37" s="3348"/>
      <c r="Y37" s="3775"/>
      <c r="Z37" s="3347">
        <f t="shared" si="13"/>
        <v>111</v>
      </c>
      <c r="AA37" s="3350">
        <f t="shared" si="3"/>
        <v>1</v>
      </c>
      <c r="AB37" s="3350">
        <f t="shared" si="4"/>
        <v>1</v>
      </c>
      <c r="AC37" s="3350">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0"/>
      <c r="M38" s="2010"/>
      <c r="N38" s="2010"/>
      <c r="O38" s="2019"/>
      <c r="P38" s="3776" t="s">
        <v>544</v>
      </c>
      <c r="Q38" s="3346">
        <f t="shared" si="8"/>
        <v>111</v>
      </c>
      <c r="R38" s="1504" t="s">
        <v>8</v>
      </c>
      <c r="S38" s="1505">
        <f t="shared" si="10"/>
        <v>100</v>
      </c>
      <c r="T38" s="1504" t="s">
        <v>8</v>
      </c>
      <c r="U38" s="1505">
        <f t="shared" si="11"/>
        <v>100</v>
      </c>
      <c r="V38" s="1504" t="s">
        <v>8</v>
      </c>
      <c r="W38" s="1505">
        <f t="shared" si="12"/>
        <v>100</v>
      </c>
      <c r="X38" s="3348"/>
      <c r="Y38" s="3777" t="s">
        <v>544</v>
      </c>
      <c r="Z38" s="3347">
        <f t="shared" si="13"/>
        <v>111</v>
      </c>
      <c r="AA38" s="3350">
        <f t="shared" si="3"/>
        <v>1</v>
      </c>
      <c r="AB38" s="3350">
        <f t="shared" si="4"/>
        <v>1</v>
      </c>
      <c r="AC38" s="3350">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8"/>
      <c r="M39" s="2010"/>
      <c r="N39" s="2010"/>
      <c r="O39" s="2021"/>
      <c r="P39" s="3777"/>
      <c r="Q39" s="3346">
        <f t="shared" si="8"/>
        <v>111</v>
      </c>
      <c r="R39" s="1508" t="s">
        <v>8</v>
      </c>
      <c r="S39" s="1509">
        <f t="shared" si="10"/>
        <v>100</v>
      </c>
      <c r="T39" s="1508" t="s">
        <v>8</v>
      </c>
      <c r="U39" s="1509">
        <f t="shared" si="11"/>
        <v>100</v>
      </c>
      <c r="V39" s="1508" t="s">
        <v>8</v>
      </c>
      <c r="W39" s="1509">
        <f t="shared" si="12"/>
        <v>100</v>
      </c>
      <c r="X39" s="1510"/>
      <c r="Y39" s="3777"/>
      <c r="Z39" s="1511">
        <f t="shared" si="13"/>
        <v>111</v>
      </c>
      <c r="AA39" s="3350">
        <f t="shared" si="3"/>
        <v>1</v>
      </c>
      <c r="AB39" s="3350">
        <f t="shared" si="4"/>
        <v>1</v>
      </c>
      <c r="AC39" s="3350">
        <f t="shared" si="5"/>
        <v>1</v>
      </c>
    </row>
    <row r="40" spans="1:29" ht="20.25">
      <c r="A40" s="2620" t="s">
        <v>2734</v>
      </c>
      <c r="B40" s="587" t="s">
        <v>546</v>
      </c>
      <c r="C40" s="588">
        <f>'数据-基础表'!A3</f>
        <v>60461.7</v>
      </c>
      <c r="D40" s="589">
        <v>100</v>
      </c>
      <c r="E40" s="588">
        <f>'比较法-商业'!E40</f>
        <v>11822</v>
      </c>
      <c r="F40" s="589">
        <f>LOOKUP(E40,119:119,120:120)-LOOKUP(C40,119:119,120:120)+100</f>
        <v>98.5</v>
      </c>
      <c r="G40" s="588">
        <v>14849.34</v>
      </c>
      <c r="H40" s="589">
        <f>LOOKUP(G40,119:119,120:120)-LOOKUP(C40,119:119,120:120)+100</f>
        <v>98.5</v>
      </c>
      <c r="I40" s="590">
        <f>'比较法-商业'!G40</f>
        <v>2118.1559999999999</v>
      </c>
      <c r="J40" s="589">
        <f>LOOKUP(I40,119:119,120:120)-LOOKUP(C40,119:119,120:120)+100</f>
        <v>98.5</v>
      </c>
      <c r="K40" s="573"/>
      <c r="L40" s="2020"/>
      <c r="M40" s="2010"/>
      <c r="N40" s="2010"/>
      <c r="O40" s="2019"/>
      <c r="P40" s="3777"/>
      <c r="Q40" s="3346" t="str">
        <f>B40</f>
        <v>宗地面积</v>
      </c>
      <c r="R40" s="1504" t="s">
        <v>8</v>
      </c>
      <c r="S40" s="1505">
        <f t="shared" si="10"/>
        <v>98.5</v>
      </c>
      <c r="T40" s="1504" t="s">
        <v>8</v>
      </c>
      <c r="U40" s="1505">
        <f t="shared" si="11"/>
        <v>98.5</v>
      </c>
      <c r="V40" s="1504" t="s">
        <v>8</v>
      </c>
      <c r="W40" s="1505">
        <f t="shared" si="12"/>
        <v>98.5</v>
      </c>
      <c r="X40" s="3348"/>
      <c r="Y40" s="3777"/>
      <c r="Z40" s="3347" t="str">
        <f t="shared" si="13"/>
        <v>宗地面积</v>
      </c>
      <c r="AA40" s="3350">
        <f t="shared" si="3"/>
        <v>1.015228426395939</v>
      </c>
      <c r="AB40" s="3350">
        <f t="shared" si="4"/>
        <v>1.015228426395939</v>
      </c>
      <c r="AC40" s="3350">
        <f t="shared" si="5"/>
        <v>1.015228426395939</v>
      </c>
    </row>
    <row r="41" spans="1:29" ht="20.25">
      <c r="A41" s="586"/>
      <c r="B41" s="519" t="s">
        <v>547</v>
      </c>
      <c r="C41" s="591" t="s">
        <v>3281</v>
      </c>
      <c r="D41" s="532">
        <v>100</v>
      </c>
      <c r="E41" s="591" t="s">
        <v>3281</v>
      </c>
      <c r="F41" s="532">
        <f>SUMIF(121:121,E41,122:122)-SUMIF(121:121,C41,122:122)+100</f>
        <v>100</v>
      </c>
      <c r="G41" s="591" t="s">
        <v>3281</v>
      </c>
      <c r="H41" s="532">
        <f>SUMIF(121:121,G41,122:122)-SUMIF(121:121,C41,122:122)+100</f>
        <v>100</v>
      </c>
      <c r="I41" s="591" t="s">
        <v>3281</v>
      </c>
      <c r="J41" s="532">
        <f>SUMIF(121:121,I41,122:122)-SUMIF(121:121,C41,122:122)+100</f>
        <v>100</v>
      </c>
      <c r="K41" s="576"/>
      <c r="L41" s="2020"/>
      <c r="M41" s="2010"/>
      <c r="N41" s="2010"/>
      <c r="O41" s="2019"/>
      <c r="P41" s="3777"/>
      <c r="Q41" s="3346" t="str">
        <f t="shared" ref="Q41:Q47" si="14">B41</f>
        <v>宗地形状</v>
      </c>
      <c r="R41" s="1504" t="s">
        <v>8</v>
      </c>
      <c r="S41" s="1505">
        <f t="shared" si="10"/>
        <v>100</v>
      </c>
      <c r="T41" s="1504" t="s">
        <v>8</v>
      </c>
      <c r="U41" s="1505">
        <f t="shared" si="11"/>
        <v>100</v>
      </c>
      <c r="V41" s="1504" t="s">
        <v>8</v>
      </c>
      <c r="W41" s="1505">
        <f t="shared" si="12"/>
        <v>100</v>
      </c>
      <c r="X41" s="3348"/>
      <c r="Y41" s="3777"/>
      <c r="Z41" s="3347" t="str">
        <f t="shared" si="13"/>
        <v>宗地形状</v>
      </c>
      <c r="AA41" s="3350">
        <f t="shared" si="3"/>
        <v>1</v>
      </c>
      <c r="AB41" s="3350">
        <f t="shared" si="4"/>
        <v>1</v>
      </c>
      <c r="AC41" s="3350">
        <f t="shared" si="5"/>
        <v>1</v>
      </c>
    </row>
    <row r="42" spans="1:29" ht="20.25">
      <c r="A42" s="586"/>
      <c r="B42" s="519" t="s">
        <v>548</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0"/>
      <c r="M42" s="2010"/>
      <c r="N42" s="2010"/>
      <c r="O42" s="2019"/>
      <c r="P42" s="3777"/>
      <c r="Q42" s="3346" t="str">
        <f t="shared" si="14"/>
        <v>临街宽度及深度</v>
      </c>
      <c r="R42" s="1504" t="s">
        <v>8</v>
      </c>
      <c r="S42" s="1505">
        <f t="shared" si="10"/>
        <v>100</v>
      </c>
      <c r="T42" s="1504" t="s">
        <v>8</v>
      </c>
      <c r="U42" s="1505">
        <f t="shared" si="11"/>
        <v>100</v>
      </c>
      <c r="V42" s="1504" t="s">
        <v>8</v>
      </c>
      <c r="W42" s="1505">
        <f t="shared" si="12"/>
        <v>100</v>
      </c>
      <c r="X42" s="3348"/>
      <c r="Y42" s="3777"/>
      <c r="Z42" s="3347" t="str">
        <f t="shared" si="13"/>
        <v>临街宽度及深度</v>
      </c>
      <c r="AA42" s="3350">
        <f t="shared" si="3"/>
        <v>1</v>
      </c>
      <c r="AB42" s="3350">
        <f t="shared" si="4"/>
        <v>1</v>
      </c>
      <c r="AC42" s="3350">
        <f t="shared" si="5"/>
        <v>1</v>
      </c>
    </row>
    <row r="43" spans="1:29" s="1201" customFormat="1" ht="20.25">
      <c r="A43" s="592"/>
      <c r="B43" s="1805" t="s">
        <v>2408</v>
      </c>
      <c r="C43" s="593" t="s">
        <v>3027</v>
      </c>
      <c r="D43" s="251">
        <v>100</v>
      </c>
      <c r="E43" s="593" t="s">
        <v>3027</v>
      </c>
      <c r="F43" s="532">
        <f>SUMIF(125:125,E43,126:126)-SUMIF(125:125,C43,126:126)+100</f>
        <v>100</v>
      </c>
      <c r="G43" s="593" t="s">
        <v>3027</v>
      </c>
      <c r="H43" s="532">
        <f>SUMIF(125:125,G43,126:126)-SUMIF(125:125,C43,126:126)+100</f>
        <v>100</v>
      </c>
      <c r="I43" s="593" t="s">
        <v>3027</v>
      </c>
      <c r="J43" s="532">
        <f>SUMIF(125:125,I43,126:126)-SUMIF(125:125,C43,126:126)+100</f>
        <v>100</v>
      </c>
      <c r="K43" s="576"/>
      <c r="L43" s="2013"/>
      <c r="M43" s="2010"/>
      <c r="N43" s="2010"/>
      <c r="O43" s="2015"/>
      <c r="P43" s="3777"/>
      <c r="Q43" s="3346" t="str">
        <f t="shared" si="14"/>
        <v>宗地开发程度</v>
      </c>
      <c r="R43" s="1499" t="s">
        <v>8</v>
      </c>
      <c r="S43" s="1500">
        <f t="shared" si="10"/>
        <v>100</v>
      </c>
      <c r="T43" s="1499" t="s">
        <v>8</v>
      </c>
      <c r="U43" s="1500">
        <f t="shared" si="11"/>
        <v>100</v>
      </c>
      <c r="V43" s="1499" t="s">
        <v>8</v>
      </c>
      <c r="W43" s="1500">
        <f t="shared" si="12"/>
        <v>100</v>
      </c>
      <c r="X43" s="1501"/>
      <c r="Y43" s="3777"/>
      <c r="Z43" s="3342" t="str">
        <f t="shared" si="13"/>
        <v>宗地开发程度</v>
      </c>
      <c r="AA43" s="1502">
        <f t="shared" si="3"/>
        <v>1</v>
      </c>
      <c r="AB43" s="1502">
        <f t="shared" si="4"/>
        <v>1</v>
      </c>
      <c r="AC43" s="1502">
        <f t="shared" si="5"/>
        <v>1</v>
      </c>
    </row>
    <row r="44" spans="1:29" ht="20.25">
      <c r="A44" s="586"/>
      <c r="B44" s="519" t="s">
        <v>549</v>
      </c>
      <c r="C44" s="591" t="s">
        <v>3042</v>
      </c>
      <c r="D44" s="532">
        <v>100</v>
      </c>
      <c r="E44" s="591" t="s">
        <v>3042</v>
      </c>
      <c r="F44" s="532">
        <f>SUMIF(127:127,E44,128:128)-SUMIF(127:127,C44,128:128)+100</f>
        <v>100</v>
      </c>
      <c r="G44" s="591" t="s">
        <v>3042</v>
      </c>
      <c r="H44" s="532">
        <f>SUMIF(127:127,G44,128:128)-SUMIF(127:127,C44,128:128)+100</f>
        <v>100</v>
      </c>
      <c r="I44" s="591" t="s">
        <v>3042</v>
      </c>
      <c r="J44" s="532">
        <f>SUMIF(127:127,I44,128:128)-SUMIF(127:127,C44,128:128)+100</f>
        <v>100</v>
      </c>
      <c r="K44" s="576"/>
      <c r="L44" s="2020"/>
      <c r="M44" s="2010"/>
      <c r="N44" s="2010"/>
      <c r="O44" s="2019"/>
      <c r="P44" s="3777" t="s">
        <v>544</v>
      </c>
      <c r="Q44" s="3346" t="str">
        <f t="shared" si="14"/>
        <v>工程地质条件</v>
      </c>
      <c r="R44" s="1504" t="s">
        <v>8</v>
      </c>
      <c r="S44" s="1505">
        <f t="shared" si="10"/>
        <v>100</v>
      </c>
      <c r="T44" s="1504" t="s">
        <v>8</v>
      </c>
      <c r="U44" s="1505">
        <f t="shared" si="11"/>
        <v>100</v>
      </c>
      <c r="V44" s="1504" t="s">
        <v>8</v>
      </c>
      <c r="W44" s="1505">
        <f t="shared" si="12"/>
        <v>100</v>
      </c>
      <c r="X44" s="3348"/>
      <c r="Y44" s="3777" t="s">
        <v>544</v>
      </c>
      <c r="Z44" s="3347" t="str">
        <f t="shared" si="13"/>
        <v>工程地质条件</v>
      </c>
      <c r="AA44" s="3350">
        <f t="shared" si="3"/>
        <v>1</v>
      </c>
      <c r="AB44" s="3350">
        <f t="shared" si="4"/>
        <v>1</v>
      </c>
      <c r="AC44" s="3350">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0"/>
      <c r="M45" s="2010"/>
      <c r="N45" s="2010"/>
      <c r="O45" s="2019"/>
      <c r="P45" s="3777"/>
      <c r="Q45" s="3346">
        <f t="shared" si="14"/>
        <v>111</v>
      </c>
      <c r="R45" s="1504" t="s">
        <v>8</v>
      </c>
      <c r="S45" s="1505">
        <f t="shared" si="10"/>
        <v>100</v>
      </c>
      <c r="T45" s="1504" t="s">
        <v>8</v>
      </c>
      <c r="U45" s="1505">
        <f t="shared" si="11"/>
        <v>100</v>
      </c>
      <c r="V45" s="1504" t="s">
        <v>8</v>
      </c>
      <c r="W45" s="1505">
        <f t="shared" si="12"/>
        <v>100</v>
      </c>
      <c r="X45" s="3348"/>
      <c r="Y45" s="3777"/>
      <c r="Z45" s="3347">
        <f t="shared" si="13"/>
        <v>111</v>
      </c>
      <c r="AA45" s="3350">
        <f t="shared" si="3"/>
        <v>1</v>
      </c>
      <c r="AB45" s="3350">
        <f t="shared" si="4"/>
        <v>1</v>
      </c>
      <c r="AC45" s="3350">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0"/>
      <c r="M46" s="2010"/>
      <c r="N46" s="2010"/>
      <c r="O46" s="2019"/>
      <c r="P46" s="3777"/>
      <c r="Q46" s="3346">
        <f t="shared" si="14"/>
        <v>111</v>
      </c>
      <c r="R46" s="1504" t="s">
        <v>8</v>
      </c>
      <c r="S46" s="1505">
        <f t="shared" si="10"/>
        <v>100</v>
      </c>
      <c r="T46" s="1504" t="s">
        <v>8</v>
      </c>
      <c r="U46" s="1505">
        <f t="shared" si="11"/>
        <v>100</v>
      </c>
      <c r="V46" s="1504" t="s">
        <v>8</v>
      </c>
      <c r="W46" s="1505">
        <f t="shared" si="12"/>
        <v>100</v>
      </c>
      <c r="X46" s="3348"/>
      <c r="Y46" s="3777"/>
      <c r="Z46" s="3347">
        <f t="shared" si="13"/>
        <v>111</v>
      </c>
      <c r="AA46" s="3350">
        <f t="shared" si="3"/>
        <v>1</v>
      </c>
      <c r="AB46" s="3350">
        <f t="shared" si="4"/>
        <v>1</v>
      </c>
      <c r="AC46" s="3350">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8"/>
      <c r="M47" s="2010"/>
      <c r="N47" s="2010"/>
      <c r="O47" s="2021"/>
      <c r="P47" s="3777"/>
      <c r="Q47" s="3346">
        <f t="shared" si="14"/>
        <v>111</v>
      </c>
      <c r="R47" s="1508" t="s">
        <v>8</v>
      </c>
      <c r="S47" s="1509">
        <f t="shared" si="10"/>
        <v>100</v>
      </c>
      <c r="T47" s="1508" t="s">
        <v>8</v>
      </c>
      <c r="U47" s="1509">
        <f t="shared" si="11"/>
        <v>100</v>
      </c>
      <c r="V47" s="1508" t="s">
        <v>8</v>
      </c>
      <c r="W47" s="1509">
        <f t="shared" si="12"/>
        <v>100</v>
      </c>
      <c r="X47" s="1510"/>
      <c r="Y47" s="3777"/>
      <c r="Z47" s="1511">
        <f t="shared" si="13"/>
        <v>111</v>
      </c>
      <c r="AA47" s="3350">
        <f t="shared" si="3"/>
        <v>1</v>
      </c>
      <c r="AB47" s="3350">
        <f t="shared" si="4"/>
        <v>1</v>
      </c>
      <c r="AC47" s="3350">
        <f t="shared" si="5"/>
        <v>1</v>
      </c>
    </row>
    <row r="48" spans="1:29" ht="20.25">
      <c r="A48" s="599" t="s">
        <v>550</v>
      </c>
      <c r="B48" s="600" t="s">
        <v>3284</v>
      </c>
      <c r="C48" s="601" t="s">
        <v>1</v>
      </c>
      <c r="D48" s="602"/>
      <c r="E48" s="603">
        <v>19207</v>
      </c>
      <c r="F48" s="604"/>
      <c r="G48" s="605">
        <v>19239</v>
      </c>
      <c r="H48" s="606"/>
      <c r="I48" s="603">
        <v>18550</v>
      </c>
      <c r="J48" s="606"/>
      <c r="K48" s="1292"/>
      <c r="L48" s="2022"/>
      <c r="M48" s="2010"/>
      <c r="N48" s="2010"/>
      <c r="O48" s="2023"/>
      <c r="P48" s="3772" t="str">
        <f>A48</f>
        <v>成交单价</v>
      </c>
      <c r="Q48" s="3772"/>
      <c r="R48" s="3798">
        <f>E48</f>
        <v>19207</v>
      </c>
      <c r="S48" s="3798"/>
      <c r="T48" s="3798">
        <f>G48</f>
        <v>19239</v>
      </c>
      <c r="U48" s="3798"/>
      <c r="V48" s="3798">
        <f>I48</f>
        <v>18550</v>
      </c>
      <c r="W48" s="3798"/>
      <c r="X48" s="1493"/>
      <c r="Y48" s="1512"/>
      <c r="Z48" s="1493"/>
      <c r="AA48" s="1493"/>
      <c r="AB48" s="1493"/>
      <c r="AC48" s="1493"/>
    </row>
    <row r="49" spans="1:29" ht="21" thickBot="1">
      <c r="A49" s="607" t="s">
        <v>2672</v>
      </c>
      <c r="B49" s="608"/>
      <c r="C49" s="609">
        <f>R50</f>
        <v>20020</v>
      </c>
      <c r="D49" s="3008" t="s">
        <v>2964</v>
      </c>
      <c r="E49" s="609">
        <f>R49</f>
        <v>20039</v>
      </c>
      <c r="F49" s="3009"/>
      <c r="G49" s="610">
        <f>T49</f>
        <v>20072</v>
      </c>
      <c r="H49" s="3009"/>
      <c r="I49" s="609">
        <f>V49</f>
        <v>19948</v>
      </c>
      <c r="J49" s="3009"/>
      <c r="K49" s="3010">
        <f>F49+H49+J49</f>
        <v>0</v>
      </c>
      <c r="L49" s="2022"/>
      <c r="M49" s="2010"/>
      <c r="N49" s="2010"/>
      <c r="O49" s="2023"/>
      <c r="P49" s="3772" t="str">
        <f>A49</f>
        <v>比较价格（元/平方米）</v>
      </c>
      <c r="Q49" s="3772"/>
      <c r="R49" s="3819">
        <f>ROUND(PRODUCT(R48,AA9:AA47),0)</f>
        <v>20039</v>
      </c>
      <c r="S49" s="3819"/>
      <c r="T49" s="3819">
        <f>ROUND(PRODUCT(T48,AB9:AB47),0)</f>
        <v>20072</v>
      </c>
      <c r="U49" s="3819"/>
      <c r="V49" s="3819">
        <f>ROUND(PRODUCT(V48,AC9:AC47),0)</f>
        <v>19948</v>
      </c>
      <c r="W49" s="3819"/>
      <c r="X49" s="1493"/>
      <c r="Y49" s="1493"/>
      <c r="Z49" s="1493"/>
      <c r="AA49" s="1493"/>
      <c r="AB49" s="1493"/>
      <c r="AC49" s="1493"/>
    </row>
    <row r="50" spans="1:29" ht="21" thickBot="1">
      <c r="A50" s="611" t="s">
        <v>2899</v>
      </c>
      <c r="B50" s="612"/>
      <c r="C50" s="613">
        <f>R50</f>
        <v>20020</v>
      </c>
      <c r="D50" s="613"/>
      <c r="E50" s="613"/>
      <c r="F50" s="613"/>
      <c r="G50" s="613"/>
      <c r="H50" s="613"/>
      <c r="I50" s="613"/>
      <c r="J50" s="613"/>
      <c r="K50" s="1293"/>
      <c r="L50" s="2022"/>
      <c r="M50" s="2010"/>
      <c r="N50" s="2010"/>
      <c r="O50" s="2023"/>
      <c r="P50" s="3769" t="str">
        <f>A50</f>
        <v>估价对象XX用房的比较价格（楼面单价，元/平方米）</v>
      </c>
      <c r="Q50" s="3770"/>
      <c r="R50" s="3822">
        <f>ROUND(IF(D49="简单平均",AVERAGE(R49:W49),R49*F49+T49*H49+V49*J49),0)</f>
        <v>20020</v>
      </c>
      <c r="S50" s="3822"/>
      <c r="T50" s="3822"/>
      <c r="U50" s="3822"/>
      <c r="V50" s="3822"/>
      <c r="W50" s="3822"/>
      <c r="X50" s="1493"/>
      <c r="Y50" s="1493"/>
      <c r="Z50" s="1493"/>
      <c r="AA50" s="1493"/>
      <c r="AB50" s="1493"/>
      <c r="AC50" s="1493"/>
    </row>
    <row r="51" spans="1:29" ht="20.25">
      <c r="A51" s="3207"/>
      <c r="B51" s="3207"/>
      <c r="C51" s="3207"/>
      <c r="D51" s="3207"/>
      <c r="E51" s="3207"/>
      <c r="F51" s="3207"/>
      <c r="G51" s="3209"/>
      <c r="H51" s="3207"/>
      <c r="I51" s="3207"/>
      <c r="J51" s="3207"/>
      <c r="K51" s="3210"/>
      <c r="L51" s="2027"/>
      <c r="M51" s="2010"/>
      <c r="N51" s="2010"/>
      <c r="O51" s="2023"/>
      <c r="P51" s="2023"/>
      <c r="Q51" s="2023"/>
      <c r="R51" s="2023"/>
      <c r="S51" s="2023"/>
      <c r="T51" s="2023"/>
      <c r="U51" s="2023"/>
      <c r="V51" s="2023"/>
      <c r="W51" s="2023"/>
      <c r="X51" s="2023"/>
      <c r="Y51" s="2023"/>
      <c r="Z51" s="2023"/>
      <c r="AA51" s="2023"/>
      <c r="AB51" s="2023"/>
      <c r="AC51" s="2023"/>
    </row>
    <row r="52" spans="1:29" ht="20.25">
      <c r="A52" s="3207"/>
      <c r="B52" s="3207"/>
      <c r="C52" s="3207"/>
      <c r="D52" s="3207"/>
      <c r="E52" s="3207"/>
      <c r="F52" s="3207"/>
      <c r="G52" s="3207"/>
      <c r="H52" s="3207"/>
      <c r="I52" s="3207"/>
      <c r="J52" s="3207"/>
      <c r="K52" s="3210"/>
      <c r="L52" s="2027"/>
      <c r="M52" s="2010"/>
      <c r="N52" s="2010"/>
      <c r="O52" s="2023"/>
      <c r="P52" s="2023"/>
      <c r="Q52" s="2023"/>
      <c r="R52" s="2023"/>
      <c r="S52" s="2023"/>
      <c r="T52" s="2023"/>
      <c r="U52" s="2023"/>
      <c r="V52" s="2023"/>
      <c r="W52" s="2023"/>
      <c r="X52" s="2023"/>
      <c r="Y52" s="2023"/>
      <c r="Z52" s="2023"/>
      <c r="AA52" s="2023"/>
      <c r="AB52" s="2023"/>
      <c r="AC52" s="2023"/>
    </row>
    <row r="53" spans="1:29" ht="20.25">
      <c r="A53" s="3207"/>
      <c r="B53" s="3207"/>
      <c r="C53" s="614" t="s">
        <v>551</v>
      </c>
      <c r="D53" s="615"/>
      <c r="E53" s="616">
        <f>IF(E48&lt;E49,E49/E48-1,E48/E49-1)</f>
        <v>4.3317540480033223E-2</v>
      </c>
      <c r="F53" s="617" t="str">
        <f>IF(OR(E53&gt;=0.3,E53&lt;=-0.3),"超过30%","")</f>
        <v/>
      </c>
      <c r="G53" s="616">
        <f>IF(G48&lt;G49,G49/G48-1,G48/G49-1)</f>
        <v>4.3297468683403562E-2</v>
      </c>
      <c r="H53" s="617" t="str">
        <f>IF(OR(G53&gt;=0.3,G53&lt;=-0.3),"超过30%","")</f>
        <v/>
      </c>
      <c r="I53" s="616">
        <f>IF(I48&lt;I49,I49/I48-1,I48/I49-1)</f>
        <v>7.5363881401617316E-2</v>
      </c>
      <c r="J53" s="617" t="str">
        <f>IF(OR(I53&gt;=0.3,I53&lt;=-0.3),"超过30%","")</f>
        <v/>
      </c>
      <c r="K53" s="3210"/>
      <c r="L53" s="2027"/>
      <c r="M53" s="2010"/>
      <c r="N53" s="2010"/>
      <c r="O53" s="2023"/>
      <c r="P53" s="2023"/>
      <c r="Q53" s="2023"/>
      <c r="R53" s="2023"/>
      <c r="S53" s="2023"/>
      <c r="T53" s="2023"/>
      <c r="U53" s="2023"/>
      <c r="V53" s="2023"/>
      <c r="W53" s="2023"/>
      <c r="X53" s="2023"/>
      <c r="Y53" s="2023"/>
      <c r="Z53" s="2023"/>
      <c r="AA53" s="2023"/>
      <c r="AB53" s="2023"/>
      <c r="AC53" s="2023"/>
    </row>
    <row r="54" spans="1:29" ht="20.25">
      <c r="A54" s="3207"/>
      <c r="B54" s="3207"/>
      <c r="C54" s="614" t="s">
        <v>552</v>
      </c>
      <c r="D54" s="618"/>
      <c r="E54" s="616">
        <f>IF(E49&lt;G49,G49/E49-1,E49/G49-1)</f>
        <v>1.646788761914264E-3</v>
      </c>
      <c r="F54" s="617" t="str">
        <f>IF(OR(E54&gt;=0.2,E54&lt;=-0.2),"超过20%","")</f>
        <v/>
      </c>
      <c r="G54" s="616">
        <f>IF(G49&lt;I49,I49/G49-1,G49/I49-1)</f>
        <v>6.2161620212553004E-3</v>
      </c>
      <c r="H54" s="617" t="str">
        <f>IF(OR(G54&gt;=0.2,G54&lt;=-0.2),"超过20%","")</f>
        <v/>
      </c>
      <c r="I54" s="616">
        <f>IF(I49&lt;E49,E49/I49-1,I49/E49-1)</f>
        <v>4.5618608381792214E-3</v>
      </c>
      <c r="J54" s="617" t="str">
        <f>IF(OR(I54&gt;=0.2,I54&lt;=-0.2),"超过20%","")</f>
        <v/>
      </c>
      <c r="K54" s="3210"/>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20.25">
      <c r="A55" s="3208"/>
      <c r="B55" s="3208"/>
      <c r="C55" s="614" t="s">
        <v>553</v>
      </c>
      <c r="D55" s="618"/>
      <c r="E55" s="616">
        <f>IF(E48&lt;G48,G48/E48-1,E48/G48-1)</f>
        <v>1.6660592492321324E-3</v>
      </c>
      <c r="F55" s="617" t="str">
        <f>IF(OR(E55&gt;=0.3,E55&lt;=-0.3),"超过30%","")</f>
        <v/>
      </c>
      <c r="G55" s="616">
        <f>IF(G48&lt;I48,I48/G48-1,G48/I48-1)</f>
        <v>3.7142857142857144E-2</v>
      </c>
      <c r="H55" s="617" t="str">
        <f>IF(OR(G55&gt;=0.3,G55&lt;=-0.3),"超过30%","")</f>
        <v/>
      </c>
      <c r="I55" s="616">
        <f>IF(I48&lt;E48,E48/I48-1,I48/E48-1)</f>
        <v>3.5417789757412388E-2</v>
      </c>
      <c r="J55" s="617" t="str">
        <f>IF(OR(I55&gt;=0.3,I55&lt;=-0.3),"超过30%","")</f>
        <v/>
      </c>
      <c r="K55" s="3211"/>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11"/>
      <c r="L56" s="2030"/>
      <c r="M56" s="2010"/>
      <c r="N56" s="2010"/>
      <c r="O56" s="2024"/>
      <c r="P56" s="2024"/>
      <c r="Q56" s="2024"/>
      <c r="R56" s="2024"/>
      <c r="S56" s="2024"/>
      <c r="T56" s="2024"/>
      <c r="U56" s="2024"/>
      <c r="V56" s="2024"/>
      <c r="W56" s="2024"/>
      <c r="X56" s="2024"/>
      <c r="Y56" s="2024"/>
      <c r="Z56" s="2024"/>
      <c r="AA56" s="2024"/>
      <c r="AB56" s="2024"/>
      <c r="AC56" s="2024"/>
    </row>
    <row r="57" spans="1:29" ht="27">
      <c r="A57" s="619" t="s">
        <v>554</v>
      </c>
      <c r="B57" s="620" t="s">
        <v>555</v>
      </c>
      <c r="C57" s="1494" t="s">
        <v>1714</v>
      </c>
      <c r="D57" s="2103" t="s">
        <v>2280</v>
      </c>
      <c r="E57" s="621" t="s">
        <v>556</v>
      </c>
      <c r="F57" s="622" t="s">
        <v>557</v>
      </c>
      <c r="G57" s="3827" t="s">
        <v>2268</v>
      </c>
      <c r="H57" s="3828"/>
      <c r="I57" s="1490" t="s">
        <v>1712</v>
      </c>
      <c r="J57" s="1490">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3" t="s">
        <v>558</v>
      </c>
      <c r="B58" s="624">
        <f>C50</f>
        <v>20020</v>
      </c>
      <c r="C58" s="625">
        <v>1</v>
      </c>
      <c r="D58" s="2104">
        <v>1</v>
      </c>
      <c r="E58" s="625">
        <f>'数据-汇总表'!E8+'数据-汇总表'!E9</f>
        <v>66454.38</v>
      </c>
      <c r="F58" s="626">
        <f t="shared" ref="F58:F67" si="15">ROUND(B58*E58/10000,0)</f>
        <v>133042</v>
      </c>
      <c r="G58" s="3829"/>
      <c r="H58" s="3830"/>
      <c r="I58" s="1491">
        <v>1</v>
      </c>
      <c r="J58" s="1491">
        <v>1</v>
      </c>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559</v>
      </c>
      <c r="B59" s="628">
        <f>ROUND($C$50*C59*D59,0)</f>
        <v>3504</v>
      </c>
      <c r="C59" s="370">
        <f t="shared" ref="C59:C67" si="16">IF($C$57="北京市系数",I59,J59)</f>
        <v>0.7</v>
      </c>
      <c r="D59" s="2105">
        <v>0.25</v>
      </c>
      <c r="E59" s="629">
        <v>0</v>
      </c>
      <c r="F59" s="626">
        <f t="shared" si="15"/>
        <v>0</v>
      </c>
      <c r="G59" s="3831" t="s">
        <v>2269</v>
      </c>
      <c r="H59" s="1858" t="str">
        <f>项目基本情况!B43</f>
        <v>五级</v>
      </c>
      <c r="I59" s="1491">
        <f>SUMIF(修正!$A$45:$A$56,H59,修正!B45:B56)</f>
        <v>0.7</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560</v>
      </c>
      <c r="B60" s="628">
        <f t="shared" ref="B60:B67" si="17">ROUND($C$50*C60*D60,0)</f>
        <v>2002</v>
      </c>
      <c r="C60" s="370">
        <f t="shared" si="16"/>
        <v>0.4</v>
      </c>
      <c r="D60" s="2105">
        <v>0.25</v>
      </c>
      <c r="E60" s="629">
        <v>0</v>
      </c>
      <c r="F60" s="626">
        <f t="shared" si="15"/>
        <v>0</v>
      </c>
      <c r="G60" s="3831"/>
      <c r="H60" s="1858" t="str">
        <f>项目基本情况!B43</f>
        <v>五级</v>
      </c>
      <c r="I60" s="1491">
        <f>SUMIF(修正!$A$45:$A$56,H60,修正!C45:C56)</f>
        <v>0.4</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561</v>
      </c>
      <c r="B61" s="628">
        <f t="shared" si="17"/>
        <v>1401</v>
      </c>
      <c r="C61" s="370">
        <f t="shared" si="16"/>
        <v>0.28000000000000003</v>
      </c>
      <c r="D61" s="2105">
        <v>0.25</v>
      </c>
      <c r="E61" s="629">
        <v>0</v>
      </c>
      <c r="F61" s="626">
        <f t="shared" si="15"/>
        <v>0</v>
      </c>
      <c r="G61" s="3831"/>
      <c r="H61" s="1858" t="str">
        <f>项目基本情况!B43</f>
        <v>五级</v>
      </c>
      <c r="I61" s="1491">
        <f>SUMIF(修正!$A$45:$A$56,H61,修正!D45:D56)</f>
        <v>0.28000000000000003</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7" t="s">
        <v>562</v>
      </c>
      <c r="B62" s="628">
        <f t="shared" si="17"/>
        <v>1251</v>
      </c>
      <c r="C62" s="370">
        <f t="shared" si="16"/>
        <v>0.25</v>
      </c>
      <c r="D62" s="2105">
        <v>0.25</v>
      </c>
      <c r="E62" s="629">
        <v>0</v>
      </c>
      <c r="F62" s="626">
        <f t="shared" si="15"/>
        <v>0</v>
      </c>
      <c r="G62" s="3831"/>
      <c r="H62" s="1858" t="str">
        <f>项目基本情况!B43</f>
        <v>五级</v>
      </c>
      <c r="I62" s="1491">
        <f>SUMIF(修正!$A$45:$A$56,H62,修正!E45:E56)</f>
        <v>0.25</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28">
        <f t="shared" si="17"/>
        <v>1251</v>
      </c>
      <c r="C63" s="370">
        <f t="shared" si="16"/>
        <v>0.25</v>
      </c>
      <c r="D63" s="2105">
        <v>0.25</v>
      </c>
      <c r="E63" s="631">
        <f>'数据-汇总表'!E11</f>
        <v>50.63</v>
      </c>
      <c r="F63" s="626">
        <f t="shared" si="15"/>
        <v>6</v>
      </c>
      <c r="G63" s="3349" t="s">
        <v>2270</v>
      </c>
      <c r="H63" s="1858" t="str">
        <f>项目基本情况!C43</f>
        <v>五级</v>
      </c>
      <c r="I63" s="1491">
        <f>SUMIF(修正!$A$45:$A$56,H63,修正!F45:F56)</f>
        <v>0.25</v>
      </c>
      <c r="J63" s="1492"/>
      <c r="K63" s="3212"/>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7" t="s">
        <v>563</v>
      </c>
      <c r="B64" s="628">
        <f t="shared" si="17"/>
        <v>1251</v>
      </c>
      <c r="C64" s="370">
        <f t="shared" si="16"/>
        <v>0.25</v>
      </c>
      <c r="D64" s="2105">
        <v>0.25</v>
      </c>
      <c r="E64" s="631">
        <f>'数据-汇总表'!E12</f>
        <v>20244.13</v>
      </c>
      <c r="F64" s="626">
        <f t="shared" si="15"/>
        <v>2533</v>
      </c>
      <c r="G64" s="1856" t="s">
        <v>1667</v>
      </c>
      <c r="H64" s="1854" t="str">
        <f>IF(G64="商业",项目基本情况!B43,IF(G64="办公",项目基本情况!C43,IF(G64="住宅",项目基本情况!D43,项目基本情况!E43)))</f>
        <v>五级</v>
      </c>
      <c r="I64" s="1491">
        <f>SUMIF(修正!$A$45:$A$56,H64,修正!G45:G56)</f>
        <v>0.25</v>
      </c>
      <c r="J64" s="1492"/>
      <c r="K64" s="3212"/>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7" t="s">
        <v>564</v>
      </c>
      <c r="B65" s="628">
        <f t="shared" si="17"/>
        <v>1001</v>
      </c>
      <c r="C65" s="370">
        <f t="shared" si="16"/>
        <v>0.2</v>
      </c>
      <c r="D65" s="2105">
        <v>0.25</v>
      </c>
      <c r="E65" s="631">
        <f>'数据-汇总表'!E13</f>
        <v>23373.33</v>
      </c>
      <c r="F65" s="626">
        <f t="shared" si="15"/>
        <v>2340</v>
      </c>
      <c r="G65" s="1856" t="s">
        <v>914</v>
      </c>
      <c r="H65" s="1854" t="str">
        <f>IF(G65="商业",项目基本情况!B43,IF(G65="办公",项目基本情况!C43,IF(G65="住宅",项目基本情况!D43,项目基本情况!E43)))</f>
        <v>五级</v>
      </c>
      <c r="I65" s="1491">
        <f>SUMIF(修正!$A$45:$A$56,H65,修正!H45:H56)</f>
        <v>0.2</v>
      </c>
      <c r="J65" s="1492"/>
      <c r="K65" s="3212"/>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7" t="s">
        <v>565</v>
      </c>
      <c r="B66" s="628">
        <f t="shared" si="17"/>
        <v>1001</v>
      </c>
      <c r="C66" s="370">
        <f t="shared" si="16"/>
        <v>0.2</v>
      </c>
      <c r="D66" s="2105">
        <v>0.25</v>
      </c>
      <c r="E66" s="631">
        <f>'数据-汇总表'!E14</f>
        <v>0</v>
      </c>
      <c r="F66" s="626">
        <f t="shared" si="15"/>
        <v>0</v>
      </c>
      <c r="G66" s="3349" t="s">
        <v>2269</v>
      </c>
      <c r="H66" s="1858" t="str">
        <f>项目基本情况!B43</f>
        <v>五级</v>
      </c>
      <c r="I66" s="1491">
        <f>SUMIF(修正!$A$45:$A$56,H66,修正!H45:H56)</f>
        <v>0.2</v>
      </c>
      <c r="J66" s="1492"/>
      <c r="K66" s="3212"/>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7" t="s">
        <v>566</v>
      </c>
      <c r="B67" s="628">
        <f t="shared" si="17"/>
        <v>1001</v>
      </c>
      <c r="C67" s="370">
        <f t="shared" si="16"/>
        <v>0.2</v>
      </c>
      <c r="D67" s="2105">
        <v>0.25</v>
      </c>
      <c r="E67" s="631">
        <f>'数据-汇总表'!E15</f>
        <v>360.7</v>
      </c>
      <c r="F67" s="626">
        <f t="shared" si="15"/>
        <v>36</v>
      </c>
      <c r="G67" s="1857" t="s">
        <v>2270</v>
      </c>
      <c r="H67" s="1859" t="str">
        <f>项目基本情况!C43</f>
        <v>五级</v>
      </c>
      <c r="I67" s="1491">
        <f>SUMIF(修正!$A$45:$A$56,H67,修正!H45:H56)</f>
        <v>0.2</v>
      </c>
      <c r="J67" s="1492"/>
      <c r="K67" s="3212"/>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2" t="s">
        <v>567</v>
      </c>
      <c r="B68" s="633" t="s">
        <v>17</v>
      </c>
      <c r="C68" s="633" t="s">
        <v>18</v>
      </c>
      <c r="D68" s="633" t="s">
        <v>2281</v>
      </c>
      <c r="E68" s="633">
        <f>IF(B48="楼面地价",SUM(E58:E67),'数据-汇总表'!D3)</f>
        <v>110483.17000000001</v>
      </c>
      <c r="F68" s="634">
        <f>IF(B48="楼面地价",SUM(F58:F67),ROUND(C50*E68/10000,0))</f>
        <v>137957</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2021-8-1</v>
      </c>
      <c r="D70" s="2512">
        <f>EDATE(C70,-3)</f>
        <v>44317</v>
      </c>
      <c r="E70" s="2512">
        <f t="shared" ref="E70:N70" si="18">EDATE(D70,-3)</f>
        <v>44228</v>
      </c>
      <c r="F70" s="2512">
        <f t="shared" si="18"/>
        <v>44136</v>
      </c>
      <c r="G70" s="2512">
        <f t="shared" si="18"/>
        <v>44044</v>
      </c>
      <c r="H70" s="2512">
        <f t="shared" si="18"/>
        <v>43952</v>
      </c>
      <c r="I70" s="2512">
        <f t="shared" si="18"/>
        <v>43862</v>
      </c>
      <c r="J70" s="2512">
        <f t="shared" si="18"/>
        <v>43770</v>
      </c>
      <c r="K70" s="2512">
        <f t="shared" si="18"/>
        <v>43678</v>
      </c>
      <c r="L70" s="2512">
        <f t="shared" si="18"/>
        <v>43586</v>
      </c>
      <c r="M70" s="2512">
        <f t="shared" si="18"/>
        <v>43497</v>
      </c>
      <c r="N70" s="2512">
        <f t="shared" si="18"/>
        <v>43405</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8" customFormat="1" ht="15">
      <c r="A72" s="2417" t="s">
        <v>2513</v>
      </c>
      <c r="B72" s="2418"/>
      <c r="C72" s="2514"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30">
      <c r="A73" s="2519" t="s">
        <v>2998</v>
      </c>
      <c r="B73" s="471" t="str">
        <f>"北京市平均增长率"&amp;TEXT(SUMIF('基准地价（商业）'!N21:N25,A73,'基准地价（商业）'!P21:P25),"0.00%")</f>
        <v>北京市平均增长率0.00%</v>
      </c>
      <c r="C73" s="881">
        <v>100</v>
      </c>
      <c r="D73" s="3387">
        <f>C73/(1+1.12%)</f>
        <v>98.892405063291136</v>
      </c>
      <c r="E73" s="3387">
        <f t="shared" ref="E73:N73" si="20">D73/(1+1.12%)</f>
        <v>97.797077792020502</v>
      </c>
      <c r="F73" s="3387">
        <f t="shared" si="20"/>
        <v>96.713882310146843</v>
      </c>
      <c r="G73" s="3387">
        <f t="shared" si="20"/>
        <v>95.642684246585077</v>
      </c>
      <c r="H73" s="3387">
        <f t="shared" si="20"/>
        <v>94.583350718537446</v>
      </c>
      <c r="I73" s="3387">
        <f>H73/(1+1.12%)</f>
        <v>93.535750315009338</v>
      </c>
      <c r="J73" s="3387">
        <f t="shared" si="20"/>
        <v>92.499753080507645</v>
      </c>
      <c r="K73" s="3387">
        <f t="shared" si="20"/>
        <v>91.475230498919728</v>
      </c>
      <c r="L73" s="3387">
        <f t="shared" si="20"/>
        <v>90.462055477570928</v>
      </c>
      <c r="M73" s="3387">
        <f t="shared" si="20"/>
        <v>89.460102331458586</v>
      </c>
      <c r="N73" s="3387">
        <f t="shared" si="20"/>
        <v>88.469246767660778</v>
      </c>
      <c r="O73" s="2039"/>
      <c r="P73" s="2035"/>
      <c r="Q73" s="1901"/>
      <c r="R73" s="1901"/>
      <c r="S73" s="1901"/>
      <c r="T73" s="1901"/>
      <c r="U73" s="1901"/>
      <c r="V73" s="1901"/>
      <c r="W73" s="1901"/>
      <c r="X73" s="1901"/>
      <c r="Y73" s="1901"/>
      <c r="Z73" s="1901"/>
      <c r="AA73" s="1901"/>
      <c r="AB73" s="1901"/>
      <c r="AC73" s="1901"/>
    </row>
    <row r="74" spans="1:29" s="1201" customFormat="1" ht="15.75"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49" t="s">
        <v>525</v>
      </c>
      <c r="B75" s="638"/>
      <c r="C75" s="650" t="s">
        <v>570</v>
      </c>
      <c r="D75" s="651"/>
      <c r="E75" s="651"/>
      <c r="F75" s="651"/>
      <c r="G75" s="651"/>
      <c r="H75" s="651"/>
      <c r="I75" s="651"/>
      <c r="J75" s="651"/>
      <c r="K75" s="651"/>
      <c r="L75" s="652"/>
      <c r="M75" s="653"/>
      <c r="N75" s="2039"/>
      <c r="O75" s="2039"/>
      <c r="P75" s="2040"/>
      <c r="Q75" s="2035"/>
      <c r="R75" s="1901"/>
      <c r="S75" s="1901"/>
      <c r="T75" s="1901"/>
      <c r="U75" s="1901"/>
      <c r="V75" s="1901"/>
      <c r="W75" s="1901"/>
      <c r="X75" s="1901"/>
      <c r="Y75" s="1901"/>
      <c r="Z75" s="1901"/>
      <c r="AA75" s="1901"/>
      <c r="AB75" s="1901"/>
      <c r="AC75" s="1901"/>
    </row>
    <row r="76" spans="1:29" s="1201" customFormat="1" ht="15.75" thickBot="1">
      <c r="A76" s="649"/>
      <c r="B76" s="638"/>
      <c r="C76" s="639">
        <v>100</v>
      </c>
      <c r="D76" s="640"/>
      <c r="E76" s="640"/>
      <c r="F76" s="640"/>
      <c r="G76" s="640"/>
      <c r="H76" s="640"/>
      <c r="I76" s="640"/>
      <c r="J76" s="640"/>
      <c r="K76" s="640"/>
      <c r="L76" s="640"/>
      <c r="M76" s="642"/>
      <c r="N76" s="2039"/>
      <c r="O76" s="2039"/>
      <c r="P76" s="2035"/>
      <c r="Q76" s="2035"/>
      <c r="R76" s="1901"/>
      <c r="S76" s="1901"/>
      <c r="T76" s="1901"/>
      <c r="U76" s="1901"/>
      <c r="V76" s="1901"/>
      <c r="W76" s="1901"/>
      <c r="X76" s="1901"/>
      <c r="Y76" s="1901"/>
      <c r="Z76" s="1901"/>
      <c r="AA76" s="1901"/>
      <c r="AB76" s="1901"/>
      <c r="AC76" s="1901"/>
    </row>
    <row r="77" spans="1:29">
      <c r="A77" s="654" t="s">
        <v>571</v>
      </c>
      <c r="B77" s="655" t="s">
        <v>528</v>
      </c>
      <c r="C77" s="3374" t="s">
        <v>3272</v>
      </c>
      <c r="D77" s="3374" t="s">
        <v>3288</v>
      </c>
      <c r="E77" s="590"/>
      <c r="F77" s="590"/>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0"/>
      <c r="C78" s="661"/>
      <c r="D78" s="661"/>
      <c r="E78" s="661"/>
      <c r="F78" s="661"/>
      <c r="G78" s="661"/>
      <c r="H78" s="661"/>
      <c r="I78" s="661"/>
      <c r="J78" s="661"/>
      <c r="K78" s="661"/>
      <c r="L78" s="661"/>
      <c r="M78" s="662"/>
      <c r="N78" s="2043"/>
      <c r="O78" s="2043"/>
      <c r="P78" s="2042"/>
      <c r="Q78" s="2035"/>
      <c r="R78" s="2023"/>
      <c r="S78" s="2023"/>
      <c r="T78" s="2023"/>
      <c r="U78" s="2023"/>
      <c r="V78" s="2023"/>
      <c r="W78" s="2023"/>
      <c r="X78" s="2023"/>
      <c r="Y78" s="2023"/>
      <c r="Z78" s="2023"/>
      <c r="AA78" s="2023"/>
      <c r="AB78" s="2023"/>
      <c r="AC78" s="2023"/>
    </row>
    <row r="79" spans="1:29" ht="27.75" thickTop="1">
      <c r="A79" s="659"/>
      <c r="B79" s="663" t="s">
        <v>531</v>
      </c>
      <c r="C79" s="664"/>
      <c r="D79" s="664"/>
      <c r="E79" s="664"/>
      <c r="F79" s="664"/>
      <c r="G79" s="664"/>
      <c r="H79" s="664"/>
      <c r="I79" s="664"/>
      <c r="J79" s="664"/>
      <c r="K79" s="665"/>
      <c r="L79" s="666"/>
      <c r="M79" s="667"/>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c r="D80" s="669"/>
      <c r="E80" s="669"/>
      <c r="F80" s="669"/>
      <c r="G80" s="669"/>
      <c r="H80" s="669"/>
      <c r="I80" s="669"/>
      <c r="J80" s="669"/>
      <c r="K80" s="669"/>
      <c r="L80" s="669"/>
      <c r="M80" s="670"/>
      <c r="N80" s="2043"/>
      <c r="O80" s="2043"/>
      <c r="P80" s="2042"/>
      <c r="Q80" s="2035"/>
      <c r="R80" s="2023"/>
      <c r="S80" s="2023"/>
      <c r="T80" s="2023"/>
      <c r="U80" s="2023"/>
      <c r="V80" s="2023"/>
      <c r="W80" s="2023"/>
      <c r="X80" s="2023"/>
      <c r="Y80" s="2023"/>
      <c r="Z80" s="2023"/>
      <c r="AA80" s="2023"/>
      <c r="AB80" s="2023"/>
      <c r="AC80" s="2023"/>
    </row>
    <row r="81" spans="1:29" ht="15.75" thickTop="1">
      <c r="A81" s="659"/>
      <c r="B81" s="671" t="s">
        <v>532</v>
      </c>
      <c r="C81" s="672" t="str">
        <f>C82&amp;"（含）"&amp;"-"&amp;D82</f>
        <v>0（含）-1</v>
      </c>
      <c r="D81" s="672" t="str">
        <f t="shared" ref="D81:L81" si="21">D82&amp;"（含）"&amp;"-"&amp;E82</f>
        <v>1（含）-2</v>
      </c>
      <c r="E81" s="672" t="str">
        <f t="shared" si="21"/>
        <v>2（含）-3</v>
      </c>
      <c r="F81" s="672" t="str">
        <f t="shared" si="21"/>
        <v>3（含）-</v>
      </c>
      <c r="G81" s="672" t="str">
        <f t="shared" si="21"/>
        <v>（含）-</v>
      </c>
      <c r="H81" s="672" t="str">
        <f t="shared" si="21"/>
        <v>（含）-</v>
      </c>
      <c r="I81" s="672" t="str">
        <f t="shared" si="21"/>
        <v>（含）-</v>
      </c>
      <c r="J81" s="672" t="str">
        <f t="shared" si="21"/>
        <v>（含）-</v>
      </c>
      <c r="K81" s="672" t="str">
        <f t="shared" si="21"/>
        <v>（含）-</v>
      </c>
      <c r="L81" s="672" t="str">
        <f t="shared" si="21"/>
        <v>（含）-</v>
      </c>
      <c r="M81" s="547"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9"/>
      <c r="B82" s="673"/>
      <c r="C82" s="533">
        <v>0</v>
      </c>
      <c r="D82" s="533">
        <v>1</v>
      </c>
      <c r="E82" s="533">
        <v>2</v>
      </c>
      <c r="F82" s="533">
        <v>3</v>
      </c>
      <c r="G82" s="533"/>
      <c r="H82" s="533"/>
      <c r="I82" s="533"/>
      <c r="J82" s="533"/>
      <c r="K82" s="674"/>
      <c r="L82" s="675"/>
      <c r="M82" s="676"/>
      <c r="N82" s="2041"/>
      <c r="O82" s="2041"/>
      <c r="P82" s="2042"/>
      <c r="Q82" s="2035"/>
      <c r="R82" s="2023"/>
      <c r="S82" s="2023"/>
      <c r="T82" s="2023"/>
      <c r="U82" s="2023"/>
      <c r="V82" s="2023"/>
      <c r="W82" s="2023"/>
      <c r="X82" s="2023"/>
      <c r="Y82" s="2023"/>
      <c r="Z82" s="2023"/>
      <c r="AA82" s="2023"/>
      <c r="AB82" s="2023"/>
      <c r="AC82" s="2023"/>
    </row>
    <row r="83" spans="1:29" ht="15.75" thickBot="1">
      <c r="A83" s="659"/>
      <c r="B83" s="660"/>
      <c r="C83" s="669">
        <v>100</v>
      </c>
      <c r="D83" s="669">
        <f>IF($B$48="单位面积地价",C83+$K13,C83-$K13)</f>
        <v>99.5</v>
      </c>
      <c r="E83" s="669">
        <f t="shared" ref="E83:M83" si="22">IF($B$48="单位面积地价",D83+$K13,D83-$K13)</f>
        <v>99</v>
      </c>
      <c r="F83" s="669">
        <f t="shared" si="22"/>
        <v>98.5</v>
      </c>
      <c r="G83" s="669">
        <f t="shared" si="22"/>
        <v>98</v>
      </c>
      <c r="H83" s="669">
        <f t="shared" si="22"/>
        <v>97.5</v>
      </c>
      <c r="I83" s="669">
        <f t="shared" si="22"/>
        <v>97</v>
      </c>
      <c r="J83" s="669">
        <f t="shared" si="22"/>
        <v>96.5</v>
      </c>
      <c r="K83" s="669">
        <f t="shared" si="22"/>
        <v>96</v>
      </c>
      <c r="L83" s="669">
        <f t="shared" si="22"/>
        <v>95.5</v>
      </c>
      <c r="M83" s="669">
        <f t="shared" si="22"/>
        <v>95</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7"/>
      <c r="B84" s="663" t="str">
        <f>B14</f>
        <v>配建</v>
      </c>
      <c r="C84" s="678"/>
      <c r="D84" s="1324"/>
      <c r="E84" s="1325"/>
      <c r="F84" s="678"/>
      <c r="G84" s="678"/>
      <c r="H84" s="679"/>
      <c r="I84" s="679"/>
      <c r="J84" s="679"/>
      <c r="K84" s="679"/>
      <c r="L84" s="680"/>
      <c r="M84" s="681"/>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7"/>
      <c r="B86" s="663">
        <f>B15</f>
        <v>111</v>
      </c>
      <c r="C86" s="678"/>
      <c r="D86" s="678"/>
      <c r="E86" s="678"/>
      <c r="F86" s="678"/>
      <c r="G86" s="678"/>
      <c r="H86" s="679"/>
      <c r="I86" s="679"/>
      <c r="J86" s="679"/>
      <c r="K86" s="679"/>
      <c r="L86" s="680"/>
      <c r="M86" s="681"/>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7"/>
      <c r="B87" s="668"/>
      <c r="C87" s="682"/>
      <c r="D87" s="682"/>
      <c r="E87" s="682"/>
      <c r="F87" s="682"/>
      <c r="G87" s="682"/>
      <c r="H87" s="683"/>
      <c r="I87" s="683"/>
      <c r="J87" s="683"/>
      <c r="K87" s="683"/>
      <c r="L87" s="683"/>
      <c r="M87" s="684"/>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7"/>
      <c r="B88" s="671">
        <f>B16</f>
        <v>111</v>
      </c>
      <c r="C88" s="651"/>
      <c r="D88" s="651"/>
      <c r="E88" s="651"/>
      <c r="F88" s="651"/>
      <c r="G88" s="651"/>
      <c r="H88" s="685"/>
      <c r="I88" s="685"/>
      <c r="J88" s="685"/>
      <c r="K88" s="685"/>
      <c r="L88" s="686"/>
      <c r="M88" s="687"/>
      <c r="N88" s="2044"/>
      <c r="O88" s="2044"/>
      <c r="P88" s="2050"/>
      <c r="Q88" s="2046"/>
      <c r="R88" s="2047"/>
      <c r="S88" s="2047"/>
      <c r="T88" s="2047"/>
      <c r="U88" s="2047"/>
      <c r="V88" s="2047"/>
      <c r="W88" s="2047"/>
      <c r="X88" s="2047"/>
      <c r="Y88" s="2047"/>
      <c r="Z88" s="2047"/>
      <c r="AA88" s="2047"/>
      <c r="AB88" s="2047"/>
      <c r="AC88" s="2047"/>
    </row>
    <row r="89" spans="1:29" s="1291" customFormat="1" ht="15.75" thickBot="1">
      <c r="A89" s="688"/>
      <c r="B89" s="689"/>
      <c r="C89" s="690"/>
      <c r="D89" s="690"/>
      <c r="E89" s="690"/>
      <c r="F89" s="690"/>
      <c r="G89" s="690"/>
      <c r="H89" s="691"/>
      <c r="I89" s="691"/>
      <c r="J89" s="691"/>
      <c r="K89" s="691"/>
      <c r="L89" s="691"/>
      <c r="M89" s="692"/>
      <c r="N89" s="2044"/>
      <c r="O89" s="2044"/>
      <c r="P89" s="2045"/>
      <c r="Q89" s="2046"/>
      <c r="R89" s="2047"/>
      <c r="S89" s="2047"/>
      <c r="T89" s="2047"/>
      <c r="U89" s="2047"/>
      <c r="V89" s="2047"/>
      <c r="W89" s="2047"/>
      <c r="X89" s="2047"/>
      <c r="Y89" s="2047"/>
      <c r="Z89" s="2047"/>
      <c r="AA89" s="2047"/>
      <c r="AB89" s="2047"/>
      <c r="AC89" s="2047"/>
    </row>
    <row r="90" spans="1:29">
      <c r="A90" s="654" t="s">
        <v>533</v>
      </c>
      <c r="B90" s="655" t="s">
        <v>572</v>
      </c>
      <c r="C90" s="693" t="s">
        <v>573</v>
      </c>
      <c r="D90" s="693" t="s">
        <v>574</v>
      </c>
      <c r="E90" s="693" t="s">
        <v>575</v>
      </c>
      <c r="F90" s="693" t="s">
        <v>576</v>
      </c>
      <c r="G90" s="693" t="s">
        <v>577</v>
      </c>
      <c r="H90" s="694"/>
      <c r="I90" s="694"/>
      <c r="J90" s="694"/>
      <c r="K90" s="695"/>
      <c r="L90" s="696"/>
      <c r="M90" s="697"/>
      <c r="N90" s="2041"/>
      <c r="O90" s="2041"/>
      <c r="P90" s="2051"/>
      <c r="Q90" s="2035"/>
      <c r="R90" s="2023"/>
      <c r="S90" s="2023"/>
      <c r="T90" s="2023"/>
      <c r="U90" s="2023"/>
      <c r="V90" s="2023"/>
      <c r="W90" s="2023"/>
      <c r="X90" s="2023"/>
      <c r="Y90" s="2023"/>
      <c r="Z90" s="2023"/>
      <c r="AA90" s="2023"/>
      <c r="AB90" s="2023"/>
      <c r="AC90" s="2023"/>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3"/>
      <c r="O91" s="2043"/>
      <c r="P91" s="2042"/>
      <c r="Q91" s="2035"/>
      <c r="R91" s="2023"/>
      <c r="S91" s="2023"/>
      <c r="T91" s="2023"/>
      <c r="U91" s="2023"/>
      <c r="V91" s="2023"/>
      <c r="W91" s="2023"/>
      <c r="X91" s="2023"/>
      <c r="Y91" s="2023"/>
      <c r="Z91" s="2023"/>
      <c r="AA91" s="2023"/>
      <c r="AB91" s="2023"/>
      <c r="AC91" s="2023"/>
    </row>
    <row r="92" spans="1:29" ht="15.75" thickTop="1">
      <c r="A92" s="659"/>
      <c r="B92" s="663" t="s">
        <v>578</v>
      </c>
      <c r="C92" s="698" t="s">
        <v>573</v>
      </c>
      <c r="D92" s="698" t="s">
        <v>574</v>
      </c>
      <c r="E92" s="698" t="s">
        <v>575</v>
      </c>
      <c r="F92" s="698" t="s">
        <v>576</v>
      </c>
      <c r="G92" s="698" t="s">
        <v>577</v>
      </c>
      <c r="H92" s="664"/>
      <c r="I92" s="664"/>
      <c r="J92" s="664"/>
      <c r="K92" s="665"/>
      <c r="L92" s="666"/>
      <c r="M92" s="667"/>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3"/>
      <c r="O93" s="2043"/>
      <c r="P93" s="2042"/>
      <c r="Q93" s="2035"/>
      <c r="R93" s="2023"/>
      <c r="S93" s="2023"/>
      <c r="T93" s="2023"/>
      <c r="U93" s="2023"/>
      <c r="V93" s="2023"/>
      <c r="W93" s="2023"/>
      <c r="X93" s="2023"/>
      <c r="Y93" s="2023"/>
      <c r="Z93" s="2023"/>
      <c r="AA93" s="2023"/>
      <c r="AB93" s="2023"/>
      <c r="AC93" s="2023"/>
    </row>
    <row r="94" spans="1:29" ht="15.75" thickTop="1">
      <c r="A94" s="659"/>
      <c r="B94" s="663" t="s">
        <v>579</v>
      </c>
      <c r="C94" s="698" t="s">
        <v>573</v>
      </c>
      <c r="D94" s="698" t="s">
        <v>574</v>
      </c>
      <c r="E94" s="698" t="s">
        <v>575</v>
      </c>
      <c r="F94" s="698" t="s">
        <v>576</v>
      </c>
      <c r="G94" s="698" t="s">
        <v>577</v>
      </c>
      <c r="H94" s="664"/>
      <c r="I94" s="664"/>
      <c r="J94" s="664"/>
      <c r="K94" s="665"/>
      <c r="L94" s="666"/>
      <c r="M94" s="667"/>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69">
        <v>100</v>
      </c>
      <c r="D95" s="669">
        <f>C95-$K21</f>
        <v>99</v>
      </c>
      <c r="E95" s="669">
        <f>D95-$K21</f>
        <v>98</v>
      </c>
      <c r="F95" s="669">
        <f>E95-$K21</f>
        <v>97</v>
      </c>
      <c r="G95" s="669">
        <f>F95-$K21</f>
        <v>96</v>
      </c>
      <c r="H95" s="669"/>
      <c r="I95" s="669"/>
      <c r="J95" s="669"/>
      <c r="K95" s="669"/>
      <c r="L95" s="669"/>
      <c r="M95" s="670"/>
      <c r="N95" s="2043"/>
      <c r="O95" s="2043"/>
      <c r="P95" s="2042"/>
      <c r="Q95" s="2035"/>
      <c r="R95" s="2023"/>
      <c r="S95" s="2023"/>
      <c r="T95" s="2023"/>
      <c r="U95" s="2023"/>
      <c r="V95" s="2023"/>
      <c r="W95" s="2023"/>
      <c r="X95" s="2023"/>
      <c r="Y95" s="2023"/>
      <c r="Z95" s="2023"/>
      <c r="AA95" s="2023"/>
      <c r="AB95" s="2023"/>
      <c r="AC95" s="2023"/>
    </row>
    <row r="96" spans="1:29" ht="15.75" thickTop="1">
      <c r="A96" s="659"/>
      <c r="B96" s="663" t="s">
        <v>580</v>
      </c>
      <c r="C96" s="698" t="s">
        <v>573</v>
      </c>
      <c r="D96" s="698" t="s">
        <v>574</v>
      </c>
      <c r="E96" s="698" t="s">
        <v>575</v>
      </c>
      <c r="F96" s="698" t="s">
        <v>576</v>
      </c>
      <c r="G96" s="698" t="s">
        <v>577</v>
      </c>
      <c r="H96" s="664"/>
      <c r="I96" s="664"/>
      <c r="J96" s="664"/>
      <c r="K96" s="665"/>
      <c r="L96" s="666"/>
      <c r="M96" s="667"/>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69">
        <v>100</v>
      </c>
      <c r="D97" s="669">
        <f>C97-$K23</f>
        <v>98</v>
      </c>
      <c r="E97" s="669">
        <f>D97-$K23</f>
        <v>96</v>
      </c>
      <c r="F97" s="669">
        <f>E97-$K23</f>
        <v>94</v>
      </c>
      <c r="G97" s="669">
        <f>F97-$K23</f>
        <v>92</v>
      </c>
      <c r="H97" s="669"/>
      <c r="I97" s="669"/>
      <c r="J97" s="669"/>
      <c r="K97" s="669"/>
      <c r="L97" s="669"/>
      <c r="M97" s="670"/>
      <c r="N97" s="2043"/>
      <c r="O97" s="2043"/>
      <c r="P97" s="2042"/>
      <c r="Q97" s="2035"/>
      <c r="R97" s="2023"/>
      <c r="S97" s="2023"/>
      <c r="T97" s="2023"/>
      <c r="U97" s="2023"/>
      <c r="V97" s="2023"/>
      <c r="W97" s="2023"/>
      <c r="X97" s="2023"/>
      <c r="Y97" s="2023"/>
      <c r="Z97" s="2023"/>
      <c r="AA97" s="2023"/>
      <c r="AB97" s="2023"/>
      <c r="AC97" s="2023"/>
    </row>
    <row r="98" spans="1:29" s="1201" customFormat="1" ht="27.75" thickTop="1">
      <c r="A98" s="699"/>
      <c r="B98" s="663" t="s">
        <v>581</v>
      </c>
      <c r="C98" s="698" t="s">
        <v>573</v>
      </c>
      <c r="D98" s="698" t="s">
        <v>574</v>
      </c>
      <c r="E98" s="698" t="s">
        <v>575</v>
      </c>
      <c r="F98" s="698" t="s">
        <v>576</v>
      </c>
      <c r="G98" s="698" t="s">
        <v>577</v>
      </c>
      <c r="H98" s="698"/>
      <c r="I98" s="698"/>
      <c r="J98" s="698"/>
      <c r="K98" s="698"/>
      <c r="L98" s="700"/>
      <c r="M98" s="701"/>
      <c r="N98" s="2039"/>
      <c r="O98" s="2039"/>
      <c r="P98" s="2042"/>
      <c r="Q98" s="2035"/>
      <c r="R98" s="1901"/>
      <c r="S98" s="1901"/>
      <c r="T98" s="1901"/>
      <c r="U98" s="1901"/>
      <c r="V98" s="1901"/>
      <c r="W98" s="1901"/>
      <c r="X98" s="1901"/>
      <c r="Y98" s="1901"/>
      <c r="Z98" s="1901"/>
      <c r="AA98" s="1901"/>
      <c r="AB98" s="1901"/>
      <c r="AC98" s="1901"/>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699"/>
      <c r="B100" s="663" t="s">
        <v>582</v>
      </c>
      <c r="C100" s="693" t="s">
        <v>573</v>
      </c>
      <c r="D100" s="693" t="s">
        <v>574</v>
      </c>
      <c r="E100" s="693" t="s">
        <v>575</v>
      </c>
      <c r="F100" s="693" t="s">
        <v>576</v>
      </c>
      <c r="G100" s="693" t="s">
        <v>577</v>
      </c>
      <c r="H100" s="698"/>
      <c r="I100" s="698"/>
      <c r="J100" s="698"/>
      <c r="K100" s="698"/>
      <c r="L100" s="698"/>
      <c r="M100" s="701"/>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7"/>
      <c r="B102" s="1806" t="s">
        <v>2529</v>
      </c>
      <c r="C102" s="693" t="s">
        <v>573</v>
      </c>
      <c r="D102" s="693" t="s">
        <v>574</v>
      </c>
      <c r="E102" s="693" t="s">
        <v>575</v>
      </c>
      <c r="F102" s="693" t="s">
        <v>576</v>
      </c>
      <c r="G102" s="693" t="s">
        <v>577</v>
      </c>
      <c r="H102" s="703"/>
      <c r="I102" s="703"/>
      <c r="J102" s="703"/>
      <c r="K102" s="703"/>
      <c r="L102" s="704"/>
      <c r="M102" s="705"/>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7"/>
      <c r="B104" s="2437" t="s">
        <v>2531</v>
      </c>
      <c r="C104" s="2438" t="s">
        <v>2532</v>
      </c>
      <c r="D104" s="2438" t="s">
        <v>2533</v>
      </c>
      <c r="E104" s="2438" t="s">
        <v>2534</v>
      </c>
      <c r="F104" s="2438" t="s">
        <v>2535</v>
      </c>
      <c r="G104" s="2438" t="s">
        <v>2536</v>
      </c>
      <c r="H104" s="703"/>
      <c r="I104" s="703"/>
      <c r="J104" s="703"/>
      <c r="K104" s="703"/>
      <c r="L104" s="703"/>
      <c r="M104" s="705"/>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1"/>
      <c r="O106" s="2041"/>
      <c r="P106" s="2042"/>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9"/>
      <c r="B108" s="663" t="s">
        <v>542</v>
      </c>
      <c r="C108" s="3328" t="s">
        <v>3256</v>
      </c>
      <c r="D108" s="3372" t="s">
        <v>3261</v>
      </c>
      <c r="E108" s="3328" t="s">
        <v>3258</v>
      </c>
      <c r="F108" s="3328" t="s">
        <v>3259</v>
      </c>
      <c r="G108" s="3328" t="s">
        <v>3260</v>
      </c>
      <c r="H108" s="708"/>
      <c r="I108" s="708"/>
      <c r="J108" s="708"/>
      <c r="K108" s="709"/>
      <c r="L108" s="710"/>
      <c r="M108" s="711"/>
      <c r="N108" s="2041"/>
      <c r="O108" s="2041"/>
      <c r="P108" s="2042"/>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C109-$K34</f>
        <v>98</v>
      </c>
      <c r="E109" s="669">
        <f t="shared" ref="E109:M109" si="24">D109-$K34</f>
        <v>96</v>
      </c>
      <c r="F109" s="669">
        <f t="shared" si="24"/>
        <v>94</v>
      </c>
      <c r="G109" s="669">
        <f t="shared" si="24"/>
        <v>92</v>
      </c>
      <c r="H109" s="669">
        <f t="shared" si="24"/>
        <v>90</v>
      </c>
      <c r="I109" s="669">
        <f t="shared" si="24"/>
        <v>88</v>
      </c>
      <c r="J109" s="669">
        <f t="shared" si="24"/>
        <v>86</v>
      </c>
      <c r="K109" s="669">
        <f t="shared" si="24"/>
        <v>84</v>
      </c>
      <c r="L109" s="669">
        <f t="shared" si="24"/>
        <v>82</v>
      </c>
      <c r="M109" s="669">
        <f t="shared" si="24"/>
        <v>80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9"/>
      <c r="B110" s="663" t="s">
        <v>543</v>
      </c>
      <c r="C110" s="3373" t="s">
        <v>3263</v>
      </c>
      <c r="D110" s="3373" t="s">
        <v>3264</v>
      </c>
      <c r="E110" s="3373" t="s">
        <v>3265</v>
      </c>
      <c r="F110" s="3373" t="s">
        <v>3262</v>
      </c>
      <c r="G110" s="3373" t="s">
        <v>3266</v>
      </c>
      <c r="H110" s="708"/>
      <c r="I110" s="708"/>
      <c r="J110" s="708"/>
      <c r="K110" s="709"/>
      <c r="L110" s="710"/>
      <c r="M110" s="71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69">
        <v>100</v>
      </c>
      <c r="D111" s="669">
        <f>C111-$K36</f>
        <v>98</v>
      </c>
      <c r="E111" s="669">
        <f t="shared" ref="E111:M111" si="25">D111-$K36</f>
        <v>96</v>
      </c>
      <c r="F111" s="669">
        <f t="shared" si="25"/>
        <v>94</v>
      </c>
      <c r="G111" s="669">
        <f t="shared" si="25"/>
        <v>92</v>
      </c>
      <c r="H111" s="669">
        <f t="shared" si="25"/>
        <v>90</v>
      </c>
      <c r="I111" s="669">
        <f t="shared" si="25"/>
        <v>88</v>
      </c>
      <c r="J111" s="669">
        <f t="shared" si="25"/>
        <v>86</v>
      </c>
      <c r="K111" s="669">
        <f t="shared" si="25"/>
        <v>84</v>
      </c>
      <c r="L111" s="669">
        <f t="shared" si="25"/>
        <v>82</v>
      </c>
      <c r="M111" s="669">
        <f t="shared" si="25"/>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9"/>
      <c r="B112" s="671">
        <f>B37</f>
        <v>111</v>
      </c>
      <c r="C112" s="678"/>
      <c r="D112" s="678"/>
      <c r="E112" s="678"/>
      <c r="F112" s="678"/>
      <c r="G112" s="712"/>
      <c r="H112" s="712"/>
      <c r="I112" s="712"/>
      <c r="J112" s="712"/>
      <c r="K112" s="713"/>
      <c r="L112" s="714"/>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659"/>
      <c r="B113" s="689"/>
      <c r="C113" s="682"/>
      <c r="D113" s="682"/>
      <c r="E113" s="682"/>
      <c r="F113" s="682"/>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ht="15" thickTop="1">
      <c r="A114" s="579"/>
      <c r="B114" s="663">
        <f>B38</f>
        <v>111</v>
      </c>
      <c r="C114" s="651"/>
      <c r="D114" s="651"/>
      <c r="E114" s="651"/>
      <c r="F114" s="651"/>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90"/>
      <c r="D115" s="690"/>
      <c r="E115" s="690"/>
      <c r="F115" s="690"/>
      <c r="G115" s="661"/>
      <c r="H115" s="661"/>
      <c r="I115" s="661"/>
      <c r="J115" s="661"/>
      <c r="K115" s="661"/>
      <c r="L115" s="661"/>
      <c r="M115" s="662"/>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18"/>
      <c r="B116" s="719">
        <f>B39</f>
        <v>111</v>
      </c>
      <c r="C116" s="720"/>
      <c r="D116" s="720"/>
      <c r="E116" s="720"/>
      <c r="F116" s="720"/>
      <c r="G116" s="720"/>
      <c r="H116" s="720"/>
      <c r="I116" s="720"/>
      <c r="J116" s="721"/>
      <c r="K116" s="721"/>
      <c r="L116" s="722"/>
      <c r="M116" s="723"/>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7"/>
      <c r="B117" s="671"/>
      <c r="C117" s="640"/>
      <c r="D117" s="584"/>
      <c r="E117" s="584"/>
      <c r="F117" s="584"/>
      <c r="G117" s="584"/>
      <c r="H117" s="584"/>
      <c r="I117" s="584"/>
      <c r="J117" s="584"/>
      <c r="K117" s="584"/>
      <c r="L117" s="584"/>
      <c r="M117" s="724"/>
      <c r="N117" s="2043"/>
      <c r="O117" s="2043"/>
      <c r="P117" s="2045"/>
      <c r="Q117" s="2046"/>
      <c r="R117" s="2047"/>
      <c r="S117" s="2047"/>
      <c r="T117" s="2047"/>
      <c r="U117" s="2047"/>
      <c r="V117" s="2047"/>
      <c r="W117" s="2047"/>
      <c r="X117" s="2047"/>
      <c r="Y117" s="2047"/>
      <c r="Z117" s="2047"/>
      <c r="AA117" s="2047"/>
      <c r="AB117" s="2047"/>
      <c r="AC117" s="2047"/>
    </row>
    <row r="118" spans="1:29" ht="28.5">
      <c r="A118" s="654" t="s">
        <v>545</v>
      </c>
      <c r="B118" s="655" t="s">
        <v>587</v>
      </c>
      <c r="C118" s="694" t="str">
        <f t="shared" ref="C118:L118" si="26">C119&amp;"(含)"&amp;"-"&amp;D119</f>
        <v>0(含)-20000</v>
      </c>
      <c r="D118" s="694" t="str">
        <f t="shared" si="26"/>
        <v>20000(含)-40000</v>
      </c>
      <c r="E118" s="694" t="str">
        <f t="shared" si="26"/>
        <v>40000(含)-60000</v>
      </c>
      <c r="F118" s="694" t="str">
        <f t="shared" si="26"/>
        <v>60000(含)-80000</v>
      </c>
      <c r="G118" s="694" t="str">
        <f t="shared" si="26"/>
        <v>80000(含)-</v>
      </c>
      <c r="H118" s="694" t="str">
        <f t="shared" si="26"/>
        <v>(含)-</v>
      </c>
      <c r="I118" s="694" t="str">
        <f t="shared" si="26"/>
        <v>(含)-</v>
      </c>
      <c r="J118" s="2774" t="str">
        <f t="shared" si="26"/>
        <v>(含)-</v>
      </c>
      <c r="K118" s="2774" t="str">
        <f t="shared" si="26"/>
        <v>(含)-</v>
      </c>
      <c r="L118" s="2775" t="str">
        <f t="shared" si="26"/>
        <v>(含)-</v>
      </c>
      <c r="M118" s="2776"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9"/>
      <c r="B119" s="671"/>
      <c r="C119" s="720">
        <v>0</v>
      </c>
      <c r="D119" s="720">
        <v>20000</v>
      </c>
      <c r="E119" s="720">
        <v>40000</v>
      </c>
      <c r="F119" s="720">
        <v>60000</v>
      </c>
      <c r="G119" s="720">
        <v>80000</v>
      </c>
      <c r="H119" s="720"/>
      <c r="I119" s="720"/>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9"/>
      <c r="B120" s="668"/>
      <c r="C120" s="690">
        <v>100</v>
      </c>
      <c r="D120" s="690">
        <v>100.5</v>
      </c>
      <c r="E120" s="690">
        <v>101</v>
      </c>
      <c r="F120" s="690">
        <v>101.5</v>
      </c>
      <c r="G120" s="690">
        <v>102</v>
      </c>
      <c r="H120" s="716"/>
      <c r="I120" s="716"/>
      <c r="J120" s="716"/>
      <c r="K120" s="716"/>
      <c r="L120" s="716"/>
      <c r="M120" s="717"/>
      <c r="N120" s="2043"/>
      <c r="O120" s="2043"/>
      <c r="P120" s="2042"/>
      <c r="Q120" s="2035"/>
      <c r="R120" s="2023"/>
      <c r="S120" s="2023"/>
      <c r="T120" s="2023"/>
      <c r="U120" s="2023"/>
      <c r="V120" s="2023"/>
      <c r="W120" s="2023"/>
      <c r="X120" s="2023"/>
      <c r="Y120" s="2023"/>
      <c r="Z120" s="2023"/>
      <c r="AA120" s="2023"/>
      <c r="AB120" s="2023"/>
      <c r="AC120" s="2023"/>
    </row>
    <row r="121" spans="1:29" ht="15" thickTop="1">
      <c r="A121" s="725"/>
      <c r="B121" s="663" t="s">
        <v>588</v>
      </c>
      <c r="C121" s="3373" t="s">
        <v>3289</v>
      </c>
      <c r="D121" s="708"/>
      <c r="E121" s="708"/>
      <c r="F121" s="708"/>
      <c r="G121" s="708"/>
      <c r="H121" s="708"/>
      <c r="I121" s="708"/>
      <c r="J121" s="708"/>
      <c r="K121" s="709"/>
      <c r="L121" s="710"/>
      <c r="M121" s="711"/>
      <c r="N121" s="2041"/>
      <c r="O121" s="2041"/>
      <c r="P121" s="2042"/>
      <c r="Q121" s="2035"/>
      <c r="R121" s="2023"/>
      <c r="S121" s="2023"/>
      <c r="T121" s="2023"/>
      <c r="U121" s="2023"/>
      <c r="V121" s="2023"/>
      <c r="W121" s="2023"/>
      <c r="X121" s="2023"/>
      <c r="Y121" s="2023"/>
      <c r="Z121" s="2023"/>
      <c r="AA121" s="2023"/>
      <c r="AB121" s="2023"/>
      <c r="AC121" s="2023"/>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5"/>
      <c r="B123" s="663" t="s">
        <v>589</v>
      </c>
      <c r="C123" s="678"/>
      <c r="D123" s="678"/>
      <c r="E123" s="678"/>
      <c r="F123" s="708"/>
      <c r="G123" s="708"/>
      <c r="H123" s="708"/>
      <c r="I123" s="708"/>
      <c r="J123" s="708"/>
      <c r="K123" s="709"/>
      <c r="L123" s="710"/>
      <c r="M123" s="711"/>
      <c r="N123" s="2041"/>
      <c r="O123" s="2041"/>
      <c r="P123" s="2042"/>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18"/>
      <c r="B125" s="1806" t="s">
        <v>2409</v>
      </c>
      <c r="C125" s="1324" t="s">
        <v>3290</v>
      </c>
      <c r="D125" s="1324"/>
      <c r="E125" s="1324"/>
      <c r="F125" s="1324"/>
      <c r="G125" s="1324"/>
      <c r="H125" s="708"/>
      <c r="I125" s="708"/>
      <c r="J125" s="708"/>
      <c r="K125" s="709"/>
      <c r="L125" s="710"/>
      <c r="M125" s="711"/>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5"/>
      <c r="B127" s="663" t="s">
        <v>590</v>
      </c>
      <c r="C127" s="3328" t="s">
        <v>3267</v>
      </c>
      <c r="D127" s="3328" t="s">
        <v>3268</v>
      </c>
      <c r="E127" s="3373" t="s">
        <v>3269</v>
      </c>
      <c r="F127" s="3373" t="s">
        <v>3270</v>
      </c>
      <c r="G127" s="3373" t="s">
        <v>3271</v>
      </c>
      <c r="H127" s="708"/>
      <c r="I127" s="708"/>
      <c r="J127" s="708"/>
      <c r="K127" s="709"/>
      <c r="L127" s="710"/>
      <c r="M127" s="711"/>
      <c r="N127" s="2041"/>
      <c r="O127" s="2041"/>
      <c r="P127" s="2042"/>
      <c r="Q127" s="2035"/>
      <c r="R127" s="2023"/>
      <c r="S127" s="2023"/>
      <c r="T127" s="2023"/>
      <c r="U127" s="2023"/>
      <c r="V127" s="2023"/>
      <c r="W127" s="2023"/>
      <c r="X127" s="2023"/>
      <c r="Y127" s="2023"/>
      <c r="Z127" s="2023"/>
      <c r="AA127" s="2023"/>
      <c r="AB127" s="2023"/>
      <c r="AC127" s="2023"/>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5"/>
      <c r="B129" s="663">
        <f>B45</f>
        <v>111</v>
      </c>
      <c r="C129" s="678"/>
      <c r="D129" s="678"/>
      <c r="E129" s="678"/>
      <c r="F129" s="678"/>
      <c r="G129" s="678"/>
      <c r="H129" s="708"/>
      <c r="I129" s="708"/>
      <c r="J129" s="708"/>
      <c r="K129" s="709"/>
      <c r="L129" s="710"/>
      <c r="M129" s="711"/>
      <c r="N129" s="2041"/>
      <c r="O129" s="2041"/>
      <c r="P129" s="2042"/>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42"/>
      <c r="Q130" s="2035"/>
      <c r="R130" s="2023"/>
      <c r="S130" s="2023"/>
      <c r="T130" s="2023"/>
      <c r="U130" s="2023"/>
      <c r="V130" s="2023"/>
      <c r="W130" s="2023"/>
      <c r="X130" s="2023"/>
      <c r="Y130" s="2023"/>
      <c r="Z130" s="2023"/>
      <c r="AA130" s="2023"/>
      <c r="AB130" s="2023"/>
      <c r="AC130" s="2023"/>
    </row>
    <row r="131" spans="1:29" ht="15" thickTop="1">
      <c r="A131" s="725"/>
      <c r="B131" s="663">
        <f>B46</f>
        <v>111</v>
      </c>
      <c r="C131" s="651"/>
      <c r="D131" s="651"/>
      <c r="E131" s="651"/>
      <c r="F131" s="651"/>
      <c r="G131" s="708"/>
      <c r="H131" s="708"/>
      <c r="I131" s="708"/>
      <c r="J131" s="708"/>
      <c r="K131" s="709"/>
      <c r="L131" s="710"/>
      <c r="M131" s="711"/>
      <c r="N131" s="2041"/>
      <c r="O131" s="2041"/>
      <c r="P131" s="2042"/>
      <c r="Q131" s="2035"/>
      <c r="R131" s="2023"/>
      <c r="S131" s="2023"/>
      <c r="T131" s="2023"/>
      <c r="U131" s="2023"/>
      <c r="V131" s="2023"/>
      <c r="W131" s="2023"/>
      <c r="X131" s="2023"/>
      <c r="Y131" s="2023"/>
      <c r="Z131" s="2023"/>
      <c r="AA131" s="2023"/>
      <c r="AB131" s="2023"/>
      <c r="AC131" s="2023"/>
    </row>
    <row r="132" spans="1:29" ht="15.75" thickBot="1">
      <c r="A132" s="659"/>
      <c r="B132" s="668"/>
      <c r="C132" s="690"/>
      <c r="D132" s="690"/>
      <c r="E132" s="690"/>
      <c r="F132" s="690"/>
      <c r="G132" s="661"/>
      <c r="H132" s="661"/>
      <c r="I132" s="661"/>
      <c r="J132" s="661"/>
      <c r="K132" s="661"/>
      <c r="L132" s="661"/>
      <c r="M132" s="662"/>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18"/>
      <c r="B133" s="663">
        <f>B47</f>
        <v>111</v>
      </c>
      <c r="C133" s="651"/>
      <c r="D133" s="651"/>
      <c r="E133" s="651"/>
      <c r="F133" s="651"/>
      <c r="G133" s="679"/>
      <c r="H133" s="679"/>
      <c r="I133" s="679"/>
      <c r="J133" s="679"/>
      <c r="K133" s="679"/>
      <c r="L133" s="680"/>
      <c r="M133" s="681"/>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88"/>
      <c r="B134" s="726"/>
      <c r="C134" s="690"/>
      <c r="D134" s="690"/>
      <c r="E134" s="690"/>
      <c r="F134" s="690"/>
      <c r="G134" s="716"/>
      <c r="H134" s="716"/>
      <c r="I134" s="716"/>
      <c r="J134" s="716"/>
      <c r="K134" s="716"/>
      <c r="L134" s="716"/>
      <c r="M134" s="717"/>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sheetPr>
    <tabColor rgb="FFFFC000"/>
  </sheetPr>
  <dimension ref="A1:AR118"/>
  <sheetViews>
    <sheetView view="pageBreakPreview" topLeftCell="A19" zoomScale="80" zoomScaleNormal="60" zoomScaleSheetLayoutView="80" workbookViewId="0">
      <selection activeCell="E59" sqref="E59"/>
    </sheetView>
  </sheetViews>
  <sheetFormatPr defaultColWidth="12" defaultRowHeight="12"/>
  <cols>
    <col min="1" max="1" width="9.875" style="1350" customWidth="1"/>
    <col min="2" max="2" width="20.875" style="1464" customWidth="1"/>
    <col min="3" max="3" width="12" style="1351"/>
    <col min="4" max="4" width="12.375" style="1351" bestFit="1" customWidth="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982</v>
      </c>
      <c r="D1" s="1457">
        <f>SUM(D29:D30,D33:D39)</f>
        <v>10000</v>
      </c>
      <c r="E1" s="1352" t="s">
        <v>2411</v>
      </c>
      <c r="F1" s="2303">
        <f>'数据-基础表'!E14</f>
        <v>4174.28</v>
      </c>
      <c r="G1" s="1347"/>
      <c r="H1" s="1347"/>
      <c r="I1" s="1347"/>
      <c r="J1" s="1347"/>
      <c r="K1" s="2066"/>
      <c r="L1" s="1792" t="s">
        <v>2226</v>
      </c>
      <c r="M1" s="1793">
        <f>SUMPRODUCT((区片价!B5:B9=I2)*(区片价!C3:F3=E2)*(区片价!C5:F9))</f>
        <v>0</v>
      </c>
      <c r="N1" s="1794">
        <f>SUMPRODUCT((因素修正幅度!B5:B9=I2)*(因素修正幅度!C3:F3=E2)*(因素修正幅度!C5:F9))</f>
        <v>0</v>
      </c>
      <c r="O1" s="2066"/>
      <c r="P1" s="2066"/>
      <c r="Q1" s="2066"/>
      <c r="R1" s="2649" t="s">
        <v>2740</v>
      </c>
      <c r="S1" s="2649" t="s">
        <v>1626</v>
      </c>
      <c r="T1" s="2649" t="s">
        <v>2762</v>
      </c>
      <c r="U1" s="2649" t="s">
        <v>2763</v>
      </c>
      <c r="V1" s="2649" t="s">
        <v>983</v>
      </c>
      <c r="W1" s="2066"/>
      <c r="X1" s="2066"/>
      <c r="Y1" s="2066"/>
      <c r="Z1" s="2066"/>
      <c r="AA1" s="2066"/>
      <c r="AB1" s="2066"/>
      <c r="AC1" s="2067"/>
    </row>
    <row r="2" spans="1:39" ht="15.75">
      <c r="A2" s="1352" t="s">
        <v>911</v>
      </c>
      <c r="B2" s="1023">
        <f ca="1">C26</f>
        <v>22796</v>
      </c>
      <c r="C2" s="1353" t="s">
        <v>912</v>
      </c>
      <c r="D2" s="1354" t="s">
        <v>889</v>
      </c>
      <c r="E2" s="1355" t="s">
        <v>1667</v>
      </c>
      <c r="F2" s="1354" t="s">
        <v>890</v>
      </c>
      <c r="G2" s="1577" t="str">
        <f>IF(E2="商业",项目基本情况!B43,IF(E2="办公",项目基本情况!C43,IF(E2="住宅",项目基本情况!D43,项目基本情况!E43)))</f>
        <v>五级</v>
      </c>
      <c r="H2" s="1354" t="s">
        <v>917</v>
      </c>
      <c r="I2" s="1578" t="str">
        <f>IF(E2="商业",项目基本情况!B44,IF(E2="办公",项目基本情况!C44,IF(E2="住宅",项目基本情况!D44,项目基本情况!E44)))</f>
        <v>Ⅴ-05</v>
      </c>
      <c r="J2" s="1356"/>
      <c r="K2" s="3225"/>
      <c r="L2" s="1795" t="s">
        <v>2227</v>
      </c>
      <c r="M2" s="1796">
        <f>SUMPRODUCT((区片价!B10:B28=I2)*(区片价!C3:F3=E2)*(区片价!C10:F28))</f>
        <v>0</v>
      </c>
      <c r="N2" s="1797">
        <f>SUMPRODUCT((因素修正幅度!B10:B28=I2)*(因素修正幅度!C3:F3=E2)*(因素修正幅度!C10:F28))</f>
        <v>0</v>
      </c>
      <c r="O2" s="3225"/>
      <c r="P2" s="2066"/>
      <c r="Q2" s="2066"/>
      <c r="R2" s="2650">
        <v>1</v>
      </c>
      <c r="S2" s="2650">
        <f>ROUND(IF(G3&gt;1,IF(R2&lt;7,SUMPRODUCT((B93:B98=R2)*(C92:N92=G2)*(C93:N98)),SUMIF(C92:N92,G2,C100:N100)),IF(R2&lt;7,SUMPRODUCT((B102:B107=R2)*(C92:N92=G2)*(C102:N107)),SUMIF(C92:N92,G2,C109:N109))),4)</f>
        <v>1.8629</v>
      </c>
      <c r="T2" s="2650">
        <f ca="1">ROUND($C$5*$C$18*$C$19*$C$20*S2*$C$24,0)</f>
        <v>33859</v>
      </c>
      <c r="U2" s="2639"/>
      <c r="V2" s="2650">
        <f ca="1">ROUND(T2*U2/10000,0)</f>
        <v>0</v>
      </c>
      <c r="W2" s="2066"/>
      <c r="X2" s="2066"/>
      <c r="Y2" s="2066"/>
      <c r="Z2" s="2066"/>
      <c r="AA2" s="2066"/>
      <c r="AB2" s="2066"/>
      <c r="AC2" s="2067"/>
    </row>
    <row r="3" spans="1:39" ht="24">
      <c r="A3" s="1357" t="s">
        <v>1677</v>
      </c>
      <c r="B3" s="1023">
        <f ca="1">ROUND(B2*10000/D1,0)</f>
        <v>22796</v>
      </c>
      <c r="C3" s="1353" t="s">
        <v>918</v>
      </c>
      <c r="D3" s="1354" t="s">
        <v>919</v>
      </c>
      <c r="E3" s="1358" t="s">
        <v>3024</v>
      </c>
      <c r="F3" s="1359" t="s">
        <v>3702</v>
      </c>
      <c r="G3" s="1024">
        <f>IF(F3="宗地容积率",'数据-汇总表'!I4,IF(F3="估价对象容积率",'数据-汇总表'!I6,'数据-汇总表'!I7))</f>
        <v>1.1000000000000001</v>
      </c>
      <c r="H3" s="1360" t="s">
        <v>920</v>
      </c>
      <c r="I3" s="1025"/>
      <c r="J3" s="1356" t="s">
        <v>921</v>
      </c>
      <c r="K3" s="3225"/>
      <c r="L3" s="1795" t="s">
        <v>2228</v>
      </c>
      <c r="M3" s="1796">
        <f>SUMPRODUCT((区片价!B29:B48=I2)*(区片价!C3:F3=E2)*(区片价!C29:F48))</f>
        <v>0</v>
      </c>
      <c r="N3" s="1797">
        <f>SUMPRODUCT((因素修正幅度!B29:B48=I2)*(因素修正幅度!C3:F3=E2)*(因素修正幅度!C29:F48))</f>
        <v>0</v>
      </c>
      <c r="O3" s="3225"/>
      <c r="P3" s="2066"/>
      <c r="Q3" s="2066"/>
      <c r="R3" s="2650">
        <v>2</v>
      </c>
      <c r="S3" s="2650">
        <f>ROUND(IF(G3&gt;1,IF(R3&lt;7,SUMPRODUCT((B93:B98=R3)*(C92:N92=G2)*(C93:N98)),SUMIF(C92:N92,G2,C100:N100)),IF(R3&lt;7,SUMPRODUCT((B102:B107=R3)*(C92:N92=G2)*(C102:N107)),SUMIF(C92:N92,G2,C109:N109))),4)</f>
        <v>1.3371999999999999</v>
      </c>
      <c r="T3" s="2650">
        <f t="shared" ref="T3:T16" ca="1" si="0">ROUND($C$5*$C$18*$C$19*$C$20*S3*$C$24,0)</f>
        <v>24304</v>
      </c>
      <c r="U3" s="2639"/>
      <c r="V3" s="2650">
        <f t="shared" ref="V3:V16" ca="1" si="1">ROUND(T3*U3/10000,0)</f>
        <v>0</v>
      </c>
      <c r="W3" s="2066"/>
      <c r="X3" s="2066"/>
      <c r="Y3" s="2066"/>
      <c r="Z3" s="2066"/>
      <c r="AA3" s="2066"/>
      <c r="AB3" s="2066"/>
      <c r="AC3" s="2067"/>
    </row>
    <row r="4" spans="1:39" ht="28.5">
      <c r="A4" s="1801" t="s">
        <v>2267</v>
      </c>
      <c r="B4" s="2304">
        <f ca="1">ROUND(B2*10000/F1,0)</f>
        <v>54611</v>
      </c>
      <c r="C4" s="1804" t="s">
        <v>2242</v>
      </c>
      <c r="D4" s="1804">
        <f ca="1">ROUND(B2/(F1/666.67),0)</f>
        <v>3641</v>
      </c>
      <c r="E4" s="1804" t="s">
        <v>2243</v>
      </c>
      <c r="F4" s="1802"/>
      <c r="G4" s="1802"/>
      <c r="H4" s="1802"/>
      <c r="I4" s="1802"/>
      <c r="J4" s="1803"/>
      <c r="K4" s="3226"/>
      <c r="L4" s="1795" t="s">
        <v>2229</v>
      </c>
      <c r="M4" s="1796">
        <f>SUMPRODUCT((区片价!B49:B75=I2)*(区片价!C3:F3=E2)*(区片价!C49:F75))</f>
        <v>0</v>
      </c>
      <c r="N4" s="1797">
        <f>SUMPRODUCT((因素修正幅度!B49:B75=I2)*(因素修正幅度!C3:F3=E2)*(因素修正幅度!C49:F75))</f>
        <v>0</v>
      </c>
      <c r="O4" s="3226"/>
      <c r="P4" s="2066"/>
      <c r="Q4" s="2066"/>
      <c r="R4" s="2650">
        <v>3</v>
      </c>
      <c r="S4" s="2650">
        <f>ROUND(IF(G3&gt;1,IF(R4&lt;7,SUMPRODUCT((B93:B98=R4)*(C92:N92=G2)*(C93:N98)),SUMIF(C92:N92,G2,C100:N100)),IF(R4&lt;7,SUMPRODUCT((B102:B107=R4)*(C92:N92=G2)*(C102:N107)),SUMIF(C92:N92,G2,C109:N109))),4)</f>
        <v>1.0788</v>
      </c>
      <c r="T4" s="2650">
        <f t="shared" ca="1" si="0"/>
        <v>19608</v>
      </c>
      <c r="U4" s="2639"/>
      <c r="V4" s="2650">
        <f t="shared" ca="1" si="1"/>
        <v>0</v>
      </c>
      <c r="W4" s="2066"/>
      <c r="X4" s="2066"/>
      <c r="Y4" s="2066"/>
      <c r="Z4" s="2066"/>
      <c r="AA4" s="2066"/>
      <c r="AB4" s="2066"/>
      <c r="AC4" s="2067"/>
    </row>
    <row r="5" spans="1:39" s="1367" customFormat="1" ht="15.75" thickBot="1">
      <c r="A5" s="1563" t="s">
        <v>1813</v>
      </c>
      <c r="B5" s="1361" t="s">
        <v>922</v>
      </c>
      <c r="C5" s="1026">
        <f>ROUND(IF(E2="商业",C6*C7+C16,(IF(E2="住宅",C6*C12+C16,C6+C16))),0)</f>
        <v>12370</v>
      </c>
      <c r="D5" s="2787">
        <f>ROUND(C6+C16,0)</f>
        <v>12370</v>
      </c>
      <c r="E5" s="2787"/>
      <c r="F5" s="1362"/>
      <c r="G5" s="1363"/>
      <c r="H5" s="1363"/>
      <c r="I5" s="1363"/>
      <c r="J5" s="1364"/>
      <c r="K5" s="3227"/>
      <c r="L5" s="1795" t="s">
        <v>2230</v>
      </c>
      <c r="M5" s="1796">
        <f>SUMPRODUCT((区片价!B76:B109=I2)*(区片价!C3:F3=E2)*(区片价!C76:F109))</f>
        <v>12370</v>
      </c>
      <c r="N5" s="1797">
        <f>SUMPRODUCT((因素修正幅度!B76:B109=I2)*(因素修正幅度!C3:F3=E2)*(因素修正幅度!C76:F109))</f>
        <v>9.6000000000000002E-2</v>
      </c>
      <c r="O5" s="3227"/>
      <c r="P5" s="3230"/>
      <c r="Q5" s="2066"/>
      <c r="R5" s="2650">
        <v>4</v>
      </c>
      <c r="S5" s="2650">
        <f>ROUND(IF(G3&gt;1,IF(R5&lt;7,SUMPRODUCT((B93:B98=R5)*(C92:N92=G2)*(C93:N98)),SUMIF(C92:N92,G2,C100:N100)),IF(R5&lt;7,SUMPRODUCT((B102:B107=R5)*(C92:N92=G2)*(C102:N107)),SUMIF(C92:N92,G2,C109:N109))),4)</f>
        <v>0.86560000000000004</v>
      </c>
      <c r="T5" s="2650">
        <f t="shared" ca="1" si="0"/>
        <v>15733</v>
      </c>
      <c r="U5" s="2639"/>
      <c r="V5" s="2650">
        <f t="shared" ca="1" si="1"/>
        <v>0</v>
      </c>
      <c r="W5" s="2066"/>
      <c r="X5" s="2066"/>
      <c r="Y5" s="2066"/>
      <c r="Z5" s="2066"/>
      <c r="AA5" s="2066"/>
      <c r="AB5" s="2066"/>
      <c r="AC5" s="2068"/>
      <c r="AD5" s="1365"/>
      <c r="AE5" s="1365"/>
      <c r="AF5" s="1365"/>
      <c r="AG5" s="1365"/>
      <c r="AH5" s="1365"/>
      <c r="AI5" s="1365"/>
      <c r="AJ5" s="1366"/>
      <c r="AK5" s="1366"/>
      <c r="AL5" s="1366"/>
      <c r="AM5" s="1366"/>
    </row>
    <row r="6" spans="1:39" ht="15.75" thickBot="1">
      <c r="A6" s="1564" t="s">
        <v>1860</v>
      </c>
      <c r="B6" s="1368" t="s">
        <v>922</v>
      </c>
      <c r="C6" s="1027">
        <f>SUMIF(L1:L12,'基准地价 (办公)'!G2,M1:M12)</f>
        <v>12370</v>
      </c>
      <c r="D6" s="1369" t="s">
        <v>1685</v>
      </c>
      <c r="E6" s="1370"/>
      <c r="F6" s="1370"/>
      <c r="G6" s="1371"/>
      <c r="H6" s="1371"/>
      <c r="I6" s="1371"/>
      <c r="J6" s="1372"/>
      <c r="K6" s="3228"/>
      <c r="L6" s="1795" t="s">
        <v>2231</v>
      </c>
      <c r="M6" s="1796">
        <f>SUMPRODUCT((区片价!B110:B157=I2)*(区片价!C3:F3=E2)*(区片价!C110:F157))</f>
        <v>0</v>
      </c>
      <c r="N6" s="1797">
        <f>SUMPRODUCT((因素修正幅度!B110:B157=I2)*(因素修正幅度!C3:F3=E2)*(因素修正幅度!C110:F157))</f>
        <v>0</v>
      </c>
      <c r="O6" s="3228"/>
      <c r="P6" s="3231"/>
      <c r="Q6" s="2066"/>
      <c r="R6" s="2650">
        <v>5</v>
      </c>
      <c r="S6" s="2650">
        <f>ROUND(IF(G3&gt;1,IF(R6&lt;7,SUMPRODUCT((B93:B98=R6)*(C92:N92=G2)*(C93:N98)),SUMIF(C92:N92,G2,C100:N100)),IF(R6&lt;7,SUMPRODUCT((B102:B107=R6)*(C92:N92=G2)*(C102:N107)),SUMIF(C92:N92,G2,C109:N109))),4)</f>
        <v>0.73709999999999998</v>
      </c>
      <c r="T6" s="2650">
        <f t="shared" ca="1" si="0"/>
        <v>13397</v>
      </c>
      <c r="U6" s="2639"/>
      <c r="V6" s="2650">
        <f t="shared" ca="1" si="1"/>
        <v>0</v>
      </c>
      <c r="W6" s="2066"/>
      <c r="X6" s="2066"/>
      <c r="Y6" s="2066"/>
      <c r="Z6" s="2066"/>
      <c r="AA6" s="2066"/>
      <c r="AB6" s="2066"/>
      <c r="AC6" s="2068"/>
      <c r="AD6" s="1365"/>
      <c r="AE6" s="1365"/>
      <c r="AF6" s="1365"/>
      <c r="AG6" s="1365"/>
      <c r="AH6" s="1365"/>
      <c r="AI6" s="1365"/>
      <c r="AJ6" s="1366"/>
    </row>
    <row r="7" spans="1:39" ht="24">
      <c r="A7" s="3748" t="str">
        <f>IF(E2="商业",IF(C8="不临58条商业街","",2),"")</f>
        <v/>
      </c>
      <c r="B7" s="1373" t="s">
        <v>923</v>
      </c>
      <c r="C7" s="1028" t="e">
        <f>IF(C8="不临58条商业街",1,ROUND(1+(1.6*E8+1.2*E9+0.8*E10+0.4*E11)*C9,4))</f>
        <v>#DIV/0!</v>
      </c>
      <c r="D7" s="1374" t="s">
        <v>924</v>
      </c>
      <c r="E7" s="1029"/>
      <c r="F7" s="1375"/>
      <c r="G7" s="1376"/>
      <c r="H7" s="1376"/>
      <c r="I7" s="1376"/>
      <c r="J7" s="1377"/>
      <c r="K7" s="3228"/>
      <c r="L7" s="1795" t="s">
        <v>2232</v>
      </c>
      <c r="M7" s="1796">
        <f>SUMPRODUCT((区片价!B158:B205=I2)*(区片价!C3:F3=E2)*(区片价!C158:F205))</f>
        <v>0</v>
      </c>
      <c r="N7" s="1797">
        <f>SUMPRODUCT((因素修正幅度!B158:B205=I2)*(因素修正幅度!C3:F3=E2)*(因素修正幅度!C158:F205))</f>
        <v>0</v>
      </c>
      <c r="O7" s="3228"/>
      <c r="P7" s="3231"/>
      <c r="Q7" s="2066"/>
      <c r="R7" s="2650">
        <v>6</v>
      </c>
      <c r="S7" s="2650">
        <f>ROUND(IF(G3&gt;1,IF(R7&lt;7,SUMPRODUCT((B93:B98=R7)*(C92:N92=G2)*(C93:N98)),SUMIF(C92:N92,G2,C100:N100)),IF(R7&lt;7,SUMPRODUCT((B102:B107=R7)*(C92:N92=G2)*(C102:N107)),SUMIF(C92:N92,G2,C109:N109))),4)</f>
        <v>0.6482</v>
      </c>
      <c r="T7" s="2650">
        <f t="shared" ca="1" si="0"/>
        <v>11781</v>
      </c>
      <c r="U7" s="2639"/>
      <c r="V7" s="2650">
        <f t="shared" ca="1" si="1"/>
        <v>0</v>
      </c>
      <c r="W7" s="3288" t="s">
        <v>2743</v>
      </c>
      <c r="X7" s="2640" t="str">
        <f>G2</f>
        <v>五级</v>
      </c>
      <c r="Y7" s="2640" t="s">
        <v>2744</v>
      </c>
      <c r="Z7" s="2641">
        <f>G3</f>
        <v>1.1000000000000001</v>
      </c>
      <c r="AA7" s="2069"/>
      <c r="AB7" s="2069"/>
      <c r="AC7" s="2070"/>
      <c r="AD7" s="2642"/>
      <c r="AE7" s="2642"/>
      <c r="AF7" s="2642"/>
      <c r="AG7" s="2642"/>
      <c r="AH7" s="2642"/>
      <c r="AI7" s="2642"/>
      <c r="AJ7" s="2643"/>
    </row>
    <row r="8" spans="1:39" ht="15">
      <c r="A8" s="3752"/>
      <c r="B8" s="1360" t="s">
        <v>925</v>
      </c>
      <c r="C8" s="1465"/>
      <c r="D8" s="1030" t="s">
        <v>926</v>
      </c>
      <c r="E8" s="1031" t="e">
        <f>ROUND(C11/E7,4)</f>
        <v>#DIV/0!</v>
      </c>
      <c r="F8" s="1378" t="s">
        <v>927</v>
      </c>
      <c r="G8" s="1379"/>
      <c r="H8" s="1379"/>
      <c r="I8" s="1379"/>
      <c r="J8" s="1380"/>
      <c r="K8" s="3228"/>
      <c r="L8" s="1795" t="s">
        <v>2233</v>
      </c>
      <c r="M8" s="1796">
        <f>SUMPRODUCT((区片价!B206:B244=I2)*(区片价!C3:F3=E2)*(区片价!C206:F244))</f>
        <v>0</v>
      </c>
      <c r="N8" s="1797">
        <f>SUMPRODUCT((因素修正幅度!B206:B244=I2)*(因素修正幅度!C3:F3=E2)*(因素修正幅度!C206:F244))</f>
        <v>0</v>
      </c>
      <c r="O8" s="3228"/>
      <c r="P8" s="2066"/>
      <c r="Q8" s="2066"/>
      <c r="R8" s="2650">
        <v>7</v>
      </c>
      <c r="S8" s="2639"/>
      <c r="T8" s="2650">
        <f t="shared" ca="1" si="0"/>
        <v>0</v>
      </c>
      <c r="U8" s="2639"/>
      <c r="V8" s="2650">
        <f t="shared" ca="1" si="1"/>
        <v>0</v>
      </c>
      <c r="W8" s="3753" t="s">
        <v>2761</v>
      </c>
      <c r="X8" s="3754"/>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752"/>
      <c r="B9" s="1360" t="s">
        <v>928</v>
      </c>
      <c r="C9" s="1032">
        <f>SUMIF(修正!C59:C119,C8,修正!E59:E119)</f>
        <v>0</v>
      </c>
      <c r="D9" s="1033" t="s">
        <v>929</v>
      </c>
      <c r="E9" s="1033" t="e">
        <f>ROUND(C11/E7,4)</f>
        <v>#DIV/0!</v>
      </c>
      <c r="F9" s="1378" t="s">
        <v>930</v>
      </c>
      <c r="G9" s="1379"/>
      <c r="H9" s="1379"/>
      <c r="I9" s="1379"/>
      <c r="J9" s="1380"/>
      <c r="K9" s="3228"/>
      <c r="L9" s="1795" t="s">
        <v>2234</v>
      </c>
      <c r="M9" s="1796">
        <f>SUMPRODUCT((区片价!B245:B289=I2)*(区片价!C3:F3=E2)*(区片价!C245:F289))</f>
        <v>0</v>
      </c>
      <c r="N9" s="1797">
        <f>SUMPRODUCT((因素修正幅度!B245:B289=I2)*(因素修正幅度!C3:F3=E2)*(因素修正幅度!C245:F289))</f>
        <v>0</v>
      </c>
      <c r="O9" s="3228"/>
      <c r="P9" s="2066"/>
      <c r="Q9" s="2066"/>
      <c r="R9" s="2650">
        <v>8</v>
      </c>
      <c r="S9" s="2639"/>
      <c r="T9" s="2650">
        <f t="shared" ca="1" si="0"/>
        <v>0</v>
      </c>
      <c r="U9" s="2639"/>
      <c r="V9" s="2650">
        <f t="shared" ca="1" si="1"/>
        <v>0</v>
      </c>
      <c r="W9" s="3755" t="s">
        <v>2757</v>
      </c>
      <c r="X9" s="2644" t="s">
        <v>2758</v>
      </c>
      <c r="Y9" s="2780"/>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752"/>
      <c r="B10" s="1360" t="s">
        <v>931</v>
      </c>
      <c r="C10" s="1033">
        <f>SUMIF(修正!C59:C119,C8,修正!F59:F119)</f>
        <v>0</v>
      </c>
      <c r="D10" s="1033" t="s">
        <v>932</v>
      </c>
      <c r="E10" s="1033" t="e">
        <f>ROUND(C11/E7,4)</f>
        <v>#DIV/0!</v>
      </c>
      <c r="F10" s="1378" t="s">
        <v>933</v>
      </c>
      <c r="G10" s="1379"/>
      <c r="H10" s="1379"/>
      <c r="I10" s="1379"/>
      <c r="J10" s="1380"/>
      <c r="K10" s="3228"/>
      <c r="L10" s="1795" t="s">
        <v>2235</v>
      </c>
      <c r="M10" s="1796">
        <f>SUMPRODUCT((区片价!B290:B316=I2)*(区片价!C3:F3=E2)*(区片价!C290:F316))</f>
        <v>0</v>
      </c>
      <c r="N10" s="1797">
        <f>SUMPRODUCT((因素修正幅度!B290:B316=I2)*(因素修正幅度!C3:F3=E2)*(因素修正幅度!C290:F316))</f>
        <v>0</v>
      </c>
      <c r="O10" s="3228"/>
      <c r="P10" s="2066"/>
      <c r="Q10" s="2066"/>
      <c r="R10" s="2650">
        <v>9</v>
      </c>
      <c r="S10" s="2639"/>
      <c r="T10" s="2650">
        <f t="shared" ca="1" si="0"/>
        <v>0</v>
      </c>
      <c r="U10" s="2639"/>
      <c r="V10" s="2650">
        <f t="shared" ca="1" si="1"/>
        <v>0</v>
      </c>
      <c r="W10" s="3755"/>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752"/>
      <c r="B11" s="1381" t="s">
        <v>934</v>
      </c>
      <c r="C11" s="1034">
        <f>C10/4</f>
        <v>0</v>
      </c>
      <c r="D11" s="1034" t="s">
        <v>935</v>
      </c>
      <c r="E11" s="1034" t="e">
        <f>ROUND(C11/E7,4)</f>
        <v>#DIV/0!</v>
      </c>
      <c r="F11" s="1382" t="s">
        <v>936</v>
      </c>
      <c r="G11" s="1383"/>
      <c r="H11" s="1383"/>
      <c r="I11" s="1383"/>
      <c r="J11" s="1384"/>
      <c r="K11" s="3228"/>
      <c r="L11" s="1795" t="s">
        <v>2236</v>
      </c>
      <c r="M11" s="1796">
        <f>SUMPRODUCT((区片价!B317:B337=I2)*(区片价!C3:F3=E2)*(区片价!C317:F337))</f>
        <v>0</v>
      </c>
      <c r="N11" s="1797">
        <f>SUMPRODUCT((因素修正幅度!B317:B337=I2)*(因素修正幅度!C3:F3=E2)*(因素修正幅度!C317:F337))</f>
        <v>0</v>
      </c>
      <c r="O11" s="3228"/>
      <c r="P11" s="2066"/>
      <c r="Q11" s="2066"/>
      <c r="R11" s="2650">
        <v>10</v>
      </c>
      <c r="S11" s="2639"/>
      <c r="T11" s="2650">
        <f t="shared" ca="1" si="0"/>
        <v>0</v>
      </c>
      <c r="U11" s="2639"/>
      <c r="V11" s="2650">
        <f t="shared" ca="1" si="1"/>
        <v>0</v>
      </c>
      <c r="W11" s="3755" t="s">
        <v>2759</v>
      </c>
      <c r="X11" s="1033" t="s">
        <v>2744</v>
      </c>
      <c r="Y11" s="1578">
        <f>$G$3</f>
        <v>1.1000000000000001</v>
      </c>
      <c r="Z11" s="1578">
        <f t="shared" ref="Z11:AJ11" si="3">$G$3</f>
        <v>1.1000000000000001</v>
      </c>
      <c r="AA11" s="1578">
        <f t="shared" si="3"/>
        <v>1.1000000000000001</v>
      </c>
      <c r="AB11" s="1578">
        <f t="shared" si="3"/>
        <v>1.1000000000000001</v>
      </c>
      <c r="AC11" s="1578">
        <f t="shared" si="3"/>
        <v>1.1000000000000001</v>
      </c>
      <c r="AD11" s="1578">
        <f t="shared" si="3"/>
        <v>1.1000000000000001</v>
      </c>
      <c r="AE11" s="1578">
        <f t="shared" si="3"/>
        <v>1.1000000000000001</v>
      </c>
      <c r="AF11" s="1578">
        <f t="shared" si="3"/>
        <v>1.1000000000000001</v>
      </c>
      <c r="AG11" s="1578">
        <f t="shared" si="3"/>
        <v>1.1000000000000001</v>
      </c>
      <c r="AH11" s="1578">
        <f t="shared" si="3"/>
        <v>1.1000000000000001</v>
      </c>
      <c r="AI11" s="1578">
        <f t="shared" si="3"/>
        <v>1.1000000000000001</v>
      </c>
      <c r="AJ11" s="1578">
        <f t="shared" si="3"/>
        <v>1.1000000000000001</v>
      </c>
    </row>
    <row r="12" spans="1:39" ht="25.5" thickBot="1">
      <c r="A12" s="3748" t="s">
        <v>1861</v>
      </c>
      <c r="B12" s="1385" t="s">
        <v>937</v>
      </c>
      <c r="C12" s="1028">
        <f>ROUND(C15*D15*E15*F15*G15*H15*I15*J15,4)</f>
        <v>1</v>
      </c>
      <c r="D12" s="1386" t="s">
        <v>938</v>
      </c>
      <c r="E12" s="1387"/>
      <c r="F12" s="1387"/>
      <c r="G12" s="1388"/>
      <c r="H12" s="1388"/>
      <c r="I12" s="1388"/>
      <c r="J12" s="1389"/>
      <c r="K12" s="3228"/>
      <c r="L12" s="1798" t="s">
        <v>2237</v>
      </c>
      <c r="M12" s="1799">
        <f>SUMPRODUCT((区片价!B338:B344=I2)*(区片价!C3:F3=E2)*(区片价!C338:F344))</f>
        <v>0</v>
      </c>
      <c r="N12" s="1800">
        <f>SUMPRODUCT((因素修正幅度!B338:B344=I2)*(因素修正幅度!C3:F3=E2)*(因素修正幅度!C338:F344))</f>
        <v>0</v>
      </c>
      <c r="O12" s="3228"/>
      <c r="P12" s="2066"/>
      <c r="Q12" s="2066"/>
      <c r="R12" s="2650">
        <v>11</v>
      </c>
      <c r="S12" s="2639"/>
      <c r="T12" s="2650">
        <f t="shared" ca="1" si="0"/>
        <v>0</v>
      </c>
      <c r="U12" s="2639"/>
      <c r="V12" s="2650">
        <f t="shared" ca="1" si="1"/>
        <v>0</v>
      </c>
      <c r="W12" s="3755"/>
      <c r="X12" s="2647" t="s">
        <v>2760</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756"/>
      <c r="B13" s="1390" t="s">
        <v>1686</v>
      </c>
      <c r="C13" s="1391" t="s">
        <v>1687</v>
      </c>
      <c r="D13" s="1070" t="s">
        <v>1688</v>
      </c>
      <c r="E13" s="1070" t="s">
        <v>1689</v>
      </c>
      <c r="F13" s="1392" t="s">
        <v>939</v>
      </c>
      <c r="G13" s="1393" t="s">
        <v>1632</v>
      </c>
      <c r="H13" s="1394" t="s">
        <v>1632</v>
      </c>
      <c r="I13" s="1395" t="s">
        <v>1632</v>
      </c>
      <c r="J13" s="1396" t="s">
        <v>1632</v>
      </c>
      <c r="K13" s="2837"/>
      <c r="L13" s="2837"/>
      <c r="M13" s="2837"/>
      <c r="N13" s="2837"/>
      <c r="O13" s="2837"/>
      <c r="P13" s="2066"/>
      <c r="Q13" s="2066"/>
      <c r="R13" s="2650">
        <v>12</v>
      </c>
      <c r="S13" s="2639"/>
      <c r="T13" s="2650">
        <f t="shared" ca="1" si="0"/>
        <v>0</v>
      </c>
      <c r="U13" s="2639"/>
      <c r="V13" s="2650">
        <f t="shared" ca="1" si="1"/>
        <v>0</v>
      </c>
      <c r="W13" s="3755"/>
      <c r="X13" s="2647"/>
      <c r="Y13" s="2646">
        <f>(-0.163*(Y12^2)-0.59*Y12+7617)*(10^(-4))/Y11</f>
        <v>0.69245454545454543</v>
      </c>
      <c r="Z13" s="2646">
        <f t="shared" ref="Z13:AJ13" si="5">(-0.163*(Z12^2)-0.59*Z12+7617)*(10^(-4))/Z11</f>
        <v>0.69245454545454543</v>
      </c>
      <c r="AA13" s="2646">
        <f t="shared" si="5"/>
        <v>0.69245454545454543</v>
      </c>
      <c r="AB13" s="2646">
        <f t="shared" si="5"/>
        <v>0.69245454545454543</v>
      </c>
      <c r="AC13" s="2646">
        <f t="shared" si="5"/>
        <v>0.69245454545454543</v>
      </c>
      <c r="AD13" s="2646">
        <f t="shared" si="5"/>
        <v>0.69245454545454543</v>
      </c>
      <c r="AE13" s="2646">
        <f t="shared" si="5"/>
        <v>0.69245454545454543</v>
      </c>
      <c r="AF13" s="2646">
        <f t="shared" si="5"/>
        <v>0.69245454545454543</v>
      </c>
      <c r="AG13" s="2646">
        <f t="shared" si="5"/>
        <v>0.69245454545454543</v>
      </c>
      <c r="AH13" s="2646">
        <f t="shared" si="5"/>
        <v>0.69245454545454543</v>
      </c>
      <c r="AI13" s="2646">
        <f t="shared" si="5"/>
        <v>0.69245454545454543</v>
      </c>
      <c r="AJ13" s="2646">
        <f t="shared" si="5"/>
        <v>0.69245454545454543</v>
      </c>
    </row>
    <row r="14" spans="1:39" ht="12.75" customHeight="1">
      <c r="A14" s="3756"/>
      <c r="B14" s="1397"/>
      <c r="C14" s="1398"/>
      <c r="D14" s="1399"/>
      <c r="E14" s="1399"/>
      <c r="F14" s="1400"/>
      <c r="G14" s="1401" t="s">
        <v>940</v>
      </c>
      <c r="H14" s="1402"/>
      <c r="I14" s="1403"/>
      <c r="J14" s="1404"/>
      <c r="K14" s="3229"/>
      <c r="L14" s="3229"/>
      <c r="M14" s="3229"/>
      <c r="N14" s="3229"/>
      <c r="O14" s="3229"/>
      <c r="P14" s="2066"/>
      <c r="Q14" s="2066"/>
      <c r="R14" s="2650">
        <v>13</v>
      </c>
      <c r="S14" s="2639"/>
      <c r="T14" s="2650">
        <f t="shared" ca="1" si="0"/>
        <v>0</v>
      </c>
      <c r="U14" s="2639"/>
      <c r="V14" s="2650">
        <f t="shared" ca="1" si="1"/>
        <v>0</v>
      </c>
      <c r="W14" s="2066"/>
      <c r="X14" s="2066"/>
      <c r="Y14" s="2066"/>
      <c r="Z14" s="2066"/>
      <c r="AA14" s="2066"/>
      <c r="AB14" s="2066"/>
      <c r="AC14" s="2067"/>
    </row>
    <row r="15" spans="1:39" ht="13.5" customHeight="1" thickBot="1">
      <c r="A15" s="3757"/>
      <c r="B15" s="2842" t="s">
        <v>1690</v>
      </c>
      <c r="C15" s="1034">
        <f>IF(C14="有",1.1,1)</f>
        <v>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6"/>
      <c r="Q15" s="2066"/>
      <c r="R15" s="2650">
        <v>14</v>
      </c>
      <c r="S15" s="2639"/>
      <c r="T15" s="2650">
        <f t="shared" ca="1" si="0"/>
        <v>0</v>
      </c>
      <c r="U15" s="2639"/>
      <c r="V15" s="2650">
        <f t="shared" ca="1" si="1"/>
        <v>0</v>
      </c>
      <c r="W15" s="2066"/>
      <c r="X15" s="2066"/>
      <c r="Y15" s="2066"/>
      <c r="Z15" s="2066"/>
      <c r="AA15" s="2066"/>
      <c r="AB15" s="2066"/>
      <c r="AC15" s="2067"/>
    </row>
    <row r="16" spans="1:39" ht="24.6" customHeight="1">
      <c r="A16" s="3748" t="s">
        <v>1828</v>
      </c>
      <c r="B16" s="1373" t="s">
        <v>941</v>
      </c>
      <c r="C16" s="1037">
        <f>ROUND(IF(F17="与级别开发程度一致",0,(G17-E17)/C17),0)</f>
        <v>0</v>
      </c>
      <c r="D16" s="3750" t="s">
        <v>945</v>
      </c>
      <c r="E16" s="3751"/>
      <c r="F16" s="3750" t="s">
        <v>942</v>
      </c>
      <c r="G16" s="3751"/>
      <c r="H16" s="1405" t="s">
        <v>3013</v>
      </c>
      <c r="I16" s="1405" t="s">
        <v>3014</v>
      </c>
      <c r="J16" s="1405" t="s">
        <v>3015</v>
      </c>
      <c r="K16" s="1405" t="s">
        <v>3016</v>
      </c>
      <c r="L16" s="1405" t="s">
        <v>3017</v>
      </c>
      <c r="M16" s="1405" t="s">
        <v>3019</v>
      </c>
      <c r="N16" s="1405" t="s">
        <v>3012</v>
      </c>
      <c r="O16" s="2847" t="s">
        <v>3018</v>
      </c>
      <c r="P16" s="2066"/>
      <c r="Q16" s="2069"/>
      <c r="R16" s="2650">
        <v>15</v>
      </c>
      <c r="S16" s="2639"/>
      <c r="T16" s="2650">
        <f t="shared" ca="1" si="0"/>
        <v>0</v>
      </c>
      <c r="U16" s="2639"/>
      <c r="V16" s="2650">
        <f t="shared" ca="1" si="1"/>
        <v>0</v>
      </c>
      <c r="W16" s="2069"/>
      <c r="X16" s="2069"/>
      <c r="Y16" s="2069"/>
      <c r="Z16" s="2069"/>
      <c r="AA16" s="2069"/>
      <c r="AB16" s="2069"/>
      <c r="AC16" s="2070"/>
    </row>
    <row r="17" spans="1:40" ht="24.75" thickBot="1">
      <c r="A17" s="3749"/>
      <c r="B17" s="2848" t="s">
        <v>944</v>
      </c>
      <c r="C17" s="2849">
        <f>SUMPRODUCT((修正!A2:A5=E2)*(修正!B1:M1=G2)*(修正!B2:M5))</f>
        <v>2.5</v>
      </c>
      <c r="D17" s="2850" t="str">
        <f>IF(OR(G2="八级",G2="九级",G2="十级",G2="十一级",G2="十二级"),"五通一平","七通一平")</f>
        <v>七通一平</v>
      </c>
      <c r="E17" s="2840">
        <f>SUMPRODUCT((修正!B1:M1=G2)*(修正!B15:M15))</f>
        <v>300</v>
      </c>
      <c r="F17" s="2841" t="s">
        <v>3276</v>
      </c>
      <c r="G17" s="2840">
        <f>SUM(H17:O17)</f>
        <v>300</v>
      </c>
      <c r="H17" s="1036">
        <f>SUMPRODUCT((七通一平=H16)*(修正!B1:M1=G2)*(修正!B6:M14))</f>
        <v>65</v>
      </c>
      <c r="I17" s="1036">
        <f>SUMPRODUCT((七通一平=I16)*(修正!B1:M1=G2)*(修正!B6:M14))</f>
        <v>55</v>
      </c>
      <c r="J17" s="1036">
        <f>SUMPRODUCT((七通一平=J16)*(修正!B1:M1=G2)*(修正!B6:M14))</f>
        <v>15</v>
      </c>
      <c r="K17" s="1036">
        <f>SUMPRODUCT((七通一平=K16)*(修正!B1:M1=G2)*(修正!B6:M14))</f>
        <v>25</v>
      </c>
      <c r="L17" s="1036">
        <f>SUMPRODUCT((七通一平=L16)*(修正!B1:M1=G2)*(修正!B6:M14))</f>
        <v>35</v>
      </c>
      <c r="M17" s="1036">
        <f>SUMPRODUCT((七通一平=M16)*(修正!B1:M1=G2)*(修正!B6:M14))</f>
        <v>40</v>
      </c>
      <c r="N17" s="1036">
        <f>SUMPRODUCT((七通一平=N16)*(修正!B1:M1=G2)*(修正!B6:M14))</f>
        <v>15</v>
      </c>
      <c r="O17" s="2851">
        <f>SUMPRODUCT((七通一平=O16)*(修正!B1:M1=G2)*(修正!B6:M14))</f>
        <v>50</v>
      </c>
      <c r="P17" s="2066"/>
      <c r="Q17" s="2069"/>
      <c r="R17" s="2070"/>
      <c r="S17" s="2070"/>
      <c r="T17" s="2070"/>
      <c r="U17" s="2070"/>
      <c r="V17" s="2070"/>
      <c r="W17" s="2069"/>
      <c r="X17" s="2069"/>
      <c r="Y17" s="2069"/>
      <c r="Z17" s="2069"/>
      <c r="AA17" s="2069"/>
      <c r="AB17" s="2069"/>
      <c r="AC17" s="2070"/>
      <c r="AH17" s="1348"/>
      <c r="AI17" s="1348"/>
      <c r="AJ17" s="1351"/>
      <c r="AK17" s="1351"/>
      <c r="AL17" s="1351"/>
      <c r="AM17" s="1351"/>
    </row>
    <row r="18" spans="1:40" s="1367" customFormat="1" ht="15.75" thickBot="1">
      <c r="A18" s="2493" t="s">
        <v>1816</v>
      </c>
      <c r="B18" s="2843" t="s">
        <v>946</v>
      </c>
      <c r="C18" s="2844">
        <f>SUMIF(修正!C18:C39,E3,修正!E18:E39)</f>
        <v>1</v>
      </c>
      <c r="D18" s="2845"/>
      <c r="E18" s="2846"/>
      <c r="F18" s="2829"/>
      <c r="G18" s="2828"/>
      <c r="H18" s="2828"/>
      <c r="I18" s="2828"/>
      <c r="J18" s="2836"/>
      <c r="K18" s="3227"/>
      <c r="L18" s="2828"/>
      <c r="M18" s="2828"/>
      <c r="N18" s="2828"/>
      <c r="O18" s="2828"/>
      <c r="P18" s="3232"/>
      <c r="Q18" s="2071"/>
      <c r="R18" s="2071"/>
      <c r="S18" s="2071"/>
      <c r="T18" s="2071"/>
      <c r="U18" s="2071"/>
      <c r="V18" s="2071"/>
      <c r="W18" s="2070"/>
      <c r="X18" s="2070"/>
      <c r="Y18" s="2070"/>
      <c r="Z18" s="2070"/>
      <c r="AA18" s="2069"/>
      <c r="AB18" s="2069"/>
      <c r="AC18" s="2072"/>
      <c r="AD18" s="1410"/>
      <c r="AE18" s="1410"/>
      <c r="AF18" s="1410"/>
      <c r="AG18" s="1410"/>
      <c r="AH18" s="1349"/>
      <c r="AI18" s="1349"/>
      <c r="AJ18" s="1350"/>
      <c r="AK18" s="1350"/>
      <c r="AL18" s="1350"/>
    </row>
    <row r="19" spans="1:40" s="1367" customFormat="1" ht="27.75" thickBot="1">
      <c r="A19" s="1565" t="s">
        <v>1817</v>
      </c>
      <c r="B19" s="1408" t="s">
        <v>947</v>
      </c>
      <c r="C19" s="1038">
        <f>'基准地价（商业）'!C19</f>
        <v>1.3906000000000001</v>
      </c>
      <c r="D19" s="1412" t="s">
        <v>948</v>
      </c>
      <c r="E19" s="1039">
        <v>41640</v>
      </c>
      <c r="F19" s="1412" t="s">
        <v>949</v>
      </c>
      <c r="G19" s="1040">
        <f>'数据-取费表'!B2</f>
        <v>44412</v>
      </c>
      <c r="H19" s="1413" t="s">
        <v>3031</v>
      </c>
      <c r="I19" s="2499" t="str">
        <f>IF(H19="季度增幅（自定义）",SUMIF(N21:N24,E2,O21:O24),"")</f>
        <v/>
      </c>
      <c r="J19" s="1409"/>
      <c r="K19" s="3227"/>
      <c r="L19" s="2747" t="s">
        <v>2819</v>
      </c>
      <c r="M19" s="2748">
        <f>ROUND(SUMIF(地价!B2:F2,E2,地价!B33:F33),0)</f>
        <v>258</v>
      </c>
      <c r="N19" s="2501" t="s">
        <v>1666</v>
      </c>
      <c r="O19" s="2500">
        <f>ROUNDDOWN(DATEDIF(E19,G19,"M")/3,0)</f>
        <v>30</v>
      </c>
      <c r="P19" s="2070"/>
      <c r="Q19" s="2638"/>
      <c r="R19" s="2072"/>
      <c r="S19" s="2072"/>
      <c r="T19" s="2072"/>
      <c r="U19" s="2072"/>
      <c r="V19" s="2072"/>
      <c r="W19" s="2072"/>
      <c r="X19" s="2072"/>
      <c r="Y19" s="1349"/>
      <c r="Z19" s="1349"/>
      <c r="AA19" s="1349"/>
      <c r="AB19" s="1349"/>
      <c r="AC19" s="1410"/>
      <c r="AD19" s="1411"/>
      <c r="AE19" s="1415"/>
      <c r="AF19" s="1350"/>
      <c r="AG19" s="1366"/>
      <c r="AH19" s="1366"/>
      <c r="AI19" s="1366"/>
    </row>
    <row r="20" spans="1:40" s="1367" customFormat="1" ht="27.75" thickBot="1">
      <c r="A20" s="2493" t="s">
        <v>1818</v>
      </c>
      <c r="B20" s="2494" t="s">
        <v>962</v>
      </c>
      <c r="C20" s="2495">
        <f ca="1">ROUND(POWER(1+G20,J20-I20)*(POWER(1+G20,I20)-1)/(POWER(1+G20,J20)-1),4)</f>
        <v>1</v>
      </c>
      <c r="D20" s="2496" t="s">
        <v>963</v>
      </c>
      <c r="E20" s="2777">
        <f ca="1">存贷款利率!I4/100</f>
        <v>4.3499999999999997E-2</v>
      </c>
      <c r="F20" s="2496" t="s">
        <v>964</v>
      </c>
      <c r="G20" s="2497">
        <f ca="1">SUMIF(M26:P26,E2,M28:P28)</f>
        <v>5.1999999999999998E-2</v>
      </c>
      <c r="H20" s="2496" t="s">
        <v>965</v>
      </c>
      <c r="I20" s="2492">
        <f>SUMIF('数据-取费表'!C6:C15,E2,'数据-取费表'!F6:F15)/COUNTIF('数据-取费表'!C6:C15,E2)</f>
        <v>50</v>
      </c>
      <c r="J20" s="2498">
        <f>IF(E2="住宅",70,IF(E2="商业",40,50))</f>
        <v>50</v>
      </c>
      <c r="K20" s="2838"/>
      <c r="L20" s="2749" t="s">
        <v>2820</v>
      </c>
      <c r="M20" s="2831">
        <f>ROUND(SUMPRODUCT((地价!A4:A33=YEAR(G19)&amp;"-"&amp;ROUNDUP(MONTH(G19)/3,0))*(地价!B2:F2=E2)*(地价!B4:F33)),0)</f>
        <v>0</v>
      </c>
      <c r="N20" s="2504" t="s">
        <v>2625</v>
      </c>
      <c r="O20" s="2502" t="s">
        <v>2624</v>
      </c>
      <c r="P20" s="2503" t="s">
        <v>2629</v>
      </c>
      <c r="Q20" s="2638"/>
      <c r="R20" s="2072"/>
      <c r="S20" s="2072"/>
      <c r="T20" s="2072"/>
      <c r="U20" s="2072"/>
      <c r="V20" s="2072"/>
      <c r="W20" s="2072"/>
      <c r="X20" s="2072"/>
      <c r="Y20" s="1410"/>
      <c r="Z20" s="1410"/>
      <c r="AA20" s="1410"/>
      <c r="AB20" s="1410"/>
      <c r="AC20" s="1410"/>
      <c r="AD20" s="1410"/>
    </row>
    <row r="21" spans="1:40" s="1367" customFormat="1" ht="14.25">
      <c r="A21" s="1567" t="s">
        <v>1827</v>
      </c>
      <c r="B21" s="1418" t="s">
        <v>3038</v>
      </c>
      <c r="C21" s="1139">
        <f>IF(B21="容积率修正",IF(G3&lt;=10,D22,J22),C23)</f>
        <v>1.2542</v>
      </c>
      <c r="D21" s="1419"/>
      <c r="E21" s="1419"/>
      <c r="F21" s="1419"/>
      <c r="G21" s="1419"/>
      <c r="H21" s="1419"/>
      <c r="I21" s="1419"/>
      <c r="J21" s="1420"/>
      <c r="K21" s="3227"/>
      <c r="L21" s="1419"/>
      <c r="M21" s="1419"/>
      <c r="N21" s="1416" t="s">
        <v>966</v>
      </c>
      <c r="O21" s="1478"/>
      <c r="P21" s="2491">
        <f>SUMPRODUCT((地价!A3:A33=YEAR(G19)&amp;"-"&amp;ROUNDUP(MONTH(G19)/3,0))*(地价!AD2:AH2=N21)*(地价!AD3:AH33))</f>
        <v>0</v>
      </c>
      <c r="Q21" s="2638"/>
      <c r="R21" s="2072"/>
      <c r="S21" s="2072"/>
      <c r="T21" s="2072"/>
      <c r="U21" s="2072"/>
      <c r="V21" s="2072"/>
      <c r="W21" s="2072"/>
      <c r="X21" s="2072"/>
      <c r="Y21" s="1349"/>
      <c r="Z21" s="1349"/>
      <c r="AA21" s="1349"/>
      <c r="AB21" s="1349"/>
      <c r="AC21" s="1410"/>
      <c r="AD21" s="1410"/>
    </row>
    <row r="22" spans="1:40" s="1367" customFormat="1" ht="14.25">
      <c r="A22" s="1568" t="s">
        <v>1860</v>
      </c>
      <c r="B22" s="1421" t="s">
        <v>967</v>
      </c>
      <c r="C22" s="1041" t="s">
        <v>1692</v>
      </c>
      <c r="D22" s="1041">
        <f>IF(E22=G22,F22,IF(G3&lt;=10,ROUND(F22+(H22-F22)*(G3-E22)/(G22-E22),4),"——"))</f>
        <v>1.2542</v>
      </c>
      <c r="E22" s="1024">
        <f>ROUNDDOWN(G3,1)</f>
        <v>1.1000000000000001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1024">
        <f>ROUNDUP(G3,1)</f>
        <v>1.1000000000000001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041" t="s">
        <v>968</v>
      </c>
      <c r="J22" s="1041" t="str">
        <f>IF(G3&gt;10,D113,"——")</f>
        <v>——</v>
      </c>
      <c r="K22" s="3233"/>
      <c r="L22" s="1419"/>
      <c r="M22" s="1419"/>
      <c r="N22" s="1416" t="s">
        <v>969</v>
      </c>
      <c r="O22" s="1478"/>
      <c r="P22" s="2491">
        <f>SUMPRODUCT((地价!A3:A33=YEAR(G19)&amp;"-"&amp;ROUNDUP(MONTH(G19)/3,0))*(地价!AD2:AH2=N22)*(地价!AD3:AH33))</f>
        <v>0</v>
      </c>
      <c r="Q22" s="2638"/>
      <c r="R22" s="2072"/>
      <c r="S22" s="2072"/>
      <c r="T22" s="2072"/>
      <c r="U22" s="2072"/>
      <c r="V22" s="2072"/>
      <c r="W22" s="2072"/>
      <c r="X22" s="2072"/>
      <c r="Y22" s="1410"/>
      <c r="Z22" s="1410"/>
      <c r="AA22" s="1410"/>
      <c r="AB22" s="1410"/>
      <c r="AC22" s="1410"/>
      <c r="AD22" s="1410"/>
    </row>
    <row r="23" spans="1:40" ht="15.75" thickBot="1">
      <c r="A23" s="1568" t="s">
        <v>1861</v>
      </c>
      <c r="B23" s="1421" t="s">
        <v>970</v>
      </c>
      <c r="C23" s="1042">
        <f>ROUND(IF(G3&gt;1,IF(I3&lt;7,SUMPRODUCT((B93:B98=I3)*(C92:N92=G2)*(C93:N98)),SUMIF(C92:N92,G2,C100:N100)),IF(I3&lt;7,SUMPRODUCT((B102:B107=I3)*(C92:N92=G2)*(C102:N107)),SUMIF(C92:N92,G2,C109:N109))),4)</f>
        <v>0</v>
      </c>
      <c r="D23" s="1466"/>
      <c r="E23" s="1466"/>
      <c r="F23" s="1467"/>
      <c r="G23" s="1468"/>
      <c r="H23" s="1469"/>
      <c r="I23" s="1470"/>
      <c r="J23" s="1470"/>
      <c r="K23" s="3234"/>
      <c r="L23" s="1347"/>
      <c r="M23" s="1347"/>
      <c r="N23" s="1416" t="s">
        <v>914</v>
      </c>
      <c r="O23" s="1478"/>
      <c r="P23" s="2491">
        <f>SUMPRODUCT((地价!A3:A33=YEAR(G19)&amp;"-"&amp;ROUNDUP(MONTH(G19)/3,0))*(地价!AD2:AH2=N23)*(地价!AD3:AH33))</f>
        <v>0</v>
      </c>
      <c r="Q23" s="2638"/>
      <c r="R23" s="2072"/>
      <c r="S23" s="2072"/>
      <c r="T23" s="2072"/>
      <c r="U23" s="2072"/>
      <c r="V23" s="2072"/>
      <c r="W23" s="2072"/>
      <c r="X23" s="2072"/>
      <c r="Y23" s="1349"/>
      <c r="Z23" s="1349"/>
      <c r="AA23" s="1349"/>
      <c r="AB23" s="1349"/>
      <c r="AC23" s="1349"/>
      <c r="AE23" s="1350"/>
      <c r="AF23" s="1350"/>
      <c r="AG23" s="1350"/>
      <c r="AH23" s="1350"/>
      <c r="AI23" s="1350"/>
      <c r="AJ23" s="1351"/>
      <c r="AK23" s="1351"/>
      <c r="AL23" s="1351"/>
      <c r="AM23" s="1351"/>
    </row>
    <row r="24" spans="1:40" s="1367" customFormat="1" ht="15.75" thickBot="1">
      <c r="A24" s="1566" t="s">
        <v>1862</v>
      </c>
      <c r="B24" s="1361" t="s">
        <v>971</v>
      </c>
      <c r="C24" s="1043">
        <f>SUMIF(A44:A87,E2,B44:B87)</f>
        <v>1.0566</v>
      </c>
      <c r="D24" s="1471"/>
      <c r="E24" s="1472"/>
      <c r="F24" s="1472"/>
      <c r="G24" s="1472"/>
      <c r="H24" s="1472"/>
      <c r="I24" s="1472"/>
      <c r="J24" s="1472"/>
      <c r="K24" s="3234"/>
      <c r="L24" s="1419"/>
      <c r="M24" s="1419"/>
      <c r="N24" s="1416" t="s">
        <v>972</v>
      </c>
      <c r="O24" s="2830"/>
      <c r="P24" s="2491">
        <f>SUMPRODUCT((地价!A3:A33=YEAR(G19)&amp;"-"&amp;ROUNDUP(MONTH(G19)/3,0))*(地价!AD2:AH2=N24)*(地价!AD3:AH33))</f>
        <v>0</v>
      </c>
      <c r="Q24" s="2638"/>
      <c r="R24" s="2072"/>
      <c r="S24" s="2072"/>
      <c r="T24" s="2072"/>
      <c r="U24" s="2072"/>
      <c r="V24" s="2072"/>
      <c r="W24" s="2072"/>
      <c r="X24" s="2072"/>
      <c r="Y24" s="1410"/>
      <c r="Z24" s="1410"/>
      <c r="AA24" s="1410"/>
      <c r="AB24" s="1410"/>
      <c r="AC24" s="1410"/>
      <c r="AD24" s="1410"/>
    </row>
    <row r="25" spans="1:40" ht="15" thickBot="1">
      <c r="A25" s="1566" t="s">
        <v>1863</v>
      </c>
      <c r="B25" s="1423" t="s">
        <v>973</v>
      </c>
      <c r="C25" s="1424"/>
      <c r="D25" s="1376"/>
      <c r="E25" s="1376"/>
      <c r="F25" s="1425"/>
      <c r="G25" s="1376"/>
      <c r="H25" s="1376"/>
      <c r="I25" s="1376"/>
      <c r="J25" s="1377"/>
      <c r="K25" s="3228"/>
      <c r="L25" s="2072"/>
      <c r="M25" s="2072"/>
      <c r="N25" s="2832" t="s">
        <v>2627</v>
      </c>
      <c r="O25" s="2833"/>
      <c r="P25" s="2298">
        <f>SUMPRODUCT((地价!A3:A33=YEAR(G19)&amp;"-"&amp;ROUNDUP(MONTH(G19)/3,0))*(地价!AD2:AH2=N25)*(地价!AD3:AH33))</f>
        <v>0</v>
      </c>
      <c r="Q25" s="2638"/>
      <c r="R25" s="2072"/>
      <c r="S25" s="2072"/>
      <c r="T25" s="2072"/>
      <c r="U25" s="2072"/>
      <c r="V25" s="2072"/>
      <c r="W25" s="2072"/>
      <c r="X25" s="2072"/>
      <c r="Y25" s="1349"/>
      <c r="Z25" s="1349"/>
      <c r="AA25" s="1349"/>
      <c r="AB25" s="1349"/>
      <c r="AC25" s="1349"/>
      <c r="AE25" s="1350"/>
      <c r="AF25" s="1350"/>
      <c r="AG25" s="1350"/>
      <c r="AH25" s="1350"/>
      <c r="AI25" s="1351"/>
      <c r="AJ25" s="1351"/>
      <c r="AK25" s="1351"/>
      <c r="AL25" s="1351"/>
      <c r="AM25" s="1351"/>
    </row>
    <row r="26" spans="1:40" ht="14.25">
      <c r="A26" s="1426"/>
      <c r="B26" s="1421" t="s">
        <v>977</v>
      </c>
      <c r="C26" s="3011">
        <f ca="1">IF(B21="容积率修正",E29+SUM(E33:E39),SUM(V2:V16)+SUM(E33:E39))</f>
        <v>22796</v>
      </c>
      <c r="D26" s="1427"/>
      <c r="E26" s="1402"/>
      <c r="F26" s="1428"/>
      <c r="G26" s="1402"/>
      <c r="H26" s="1402"/>
      <c r="I26" s="1402"/>
      <c r="J26" s="1429"/>
      <c r="K26" s="3228"/>
      <c r="L26" s="1525" t="s">
        <v>889</v>
      </c>
      <c r="M26" s="1374" t="s">
        <v>966</v>
      </c>
      <c r="N26" s="1374" t="s">
        <v>969</v>
      </c>
      <c r="O26" s="1374" t="s">
        <v>893</v>
      </c>
      <c r="P26" s="1414" t="s">
        <v>976</v>
      </c>
      <c r="Q26" s="2638"/>
      <c r="R26" s="2072"/>
      <c r="S26" s="2072"/>
      <c r="T26" s="2072"/>
      <c r="U26" s="2072"/>
      <c r="V26" s="2072"/>
      <c r="W26" s="2072"/>
      <c r="X26" s="2072"/>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f ca="1">E30+SUM(I33:I39)</f>
        <v>0</v>
      </c>
      <c r="D27" s="1431"/>
      <c r="E27" s="1432"/>
      <c r="F27" s="1433"/>
      <c r="G27" s="1432"/>
      <c r="H27" s="1432"/>
      <c r="I27" s="1432"/>
      <c r="J27" s="1434"/>
      <c r="K27" s="3228"/>
      <c r="L27" s="1406" t="s">
        <v>978</v>
      </c>
      <c r="M27" s="1032">
        <v>0.25</v>
      </c>
      <c r="N27" s="1032">
        <v>0.2</v>
      </c>
      <c r="O27" s="1032">
        <v>0.15</v>
      </c>
      <c r="P27" s="1475">
        <v>0.1</v>
      </c>
      <c r="Q27" s="2072"/>
      <c r="R27" s="2638"/>
      <c r="S27" s="2638"/>
      <c r="T27" s="2638"/>
      <c r="U27" s="2638"/>
      <c r="V27" s="2638"/>
      <c r="W27" s="2072"/>
      <c r="X27" s="2072"/>
      <c r="Y27" s="2072"/>
      <c r="Z27" s="2072"/>
      <c r="AA27" s="2072"/>
      <c r="AB27" s="2072"/>
      <c r="AC27" s="2072"/>
    </row>
    <row r="28" spans="1:40" ht="15" thickBot="1">
      <c r="A28" s="1422"/>
      <c r="B28" s="1435" t="s">
        <v>980</v>
      </c>
      <c r="C28" s="1436" t="s">
        <v>981</v>
      </c>
      <c r="D28" s="1436" t="s">
        <v>982</v>
      </c>
      <c r="E28" s="1437" t="s">
        <v>983</v>
      </c>
      <c r="F28" s="1438"/>
      <c r="G28" s="1388"/>
      <c r="H28" s="1388"/>
      <c r="I28" s="1388"/>
      <c r="J28" s="1389"/>
      <c r="K28" s="3228"/>
      <c r="L28" s="1407" t="s">
        <v>964</v>
      </c>
      <c r="M28" s="1476">
        <f ca="1">ROUND($E$20*(1+M27),3)</f>
        <v>5.3999999999999999E-2</v>
      </c>
      <c r="N28" s="1476">
        <f ca="1">ROUND($E$20*(1+N27),3)</f>
        <v>5.1999999999999998E-2</v>
      </c>
      <c r="O28" s="1476">
        <f ca="1">ROUND($E$20*(1+O27),3)</f>
        <v>0.05</v>
      </c>
      <c r="P28" s="1477">
        <f ca="1">ROUND($E$20*(1+P27),3)</f>
        <v>4.8000000000000001E-2</v>
      </c>
      <c r="Q28" s="2072"/>
      <c r="R28" s="2638"/>
      <c r="S28" s="2638"/>
      <c r="T28" s="2638"/>
      <c r="U28" s="2638"/>
      <c r="V28" s="2638"/>
      <c r="W28" s="2072"/>
      <c r="X28" s="2072"/>
      <c r="Y28" s="2072"/>
      <c r="Z28" s="2072"/>
      <c r="AA28" s="2072"/>
      <c r="AB28" s="2072"/>
      <c r="AC28" s="2072"/>
      <c r="AD28" s="1410"/>
      <c r="AE28" s="1410"/>
      <c r="AF28" s="1410"/>
      <c r="AG28" s="1410"/>
    </row>
    <row r="29" spans="1:40" ht="14.25">
      <c r="A29" s="1439"/>
      <c r="B29" s="1440" t="s">
        <v>984</v>
      </c>
      <c r="C29" s="1044">
        <f ca="1">ROUND(C5*C18*C19*C20*C21*C24,0)</f>
        <v>22796</v>
      </c>
      <c r="D29" s="3307">
        <v>10000</v>
      </c>
      <c r="E29" s="1759">
        <f ca="1">ROUND(C29*D29/10000,0)</f>
        <v>22796</v>
      </c>
      <c r="F29" s="1441" t="s">
        <v>1691</v>
      </c>
      <c r="G29" s="1442"/>
      <c r="H29" s="1442"/>
      <c r="I29" s="1442"/>
      <c r="J29" s="1443"/>
      <c r="K29" s="3235"/>
      <c r="L29" s="3235"/>
      <c r="M29" s="3235"/>
      <c r="N29" s="3235"/>
      <c r="O29" s="3235"/>
      <c r="P29" s="2066"/>
      <c r="Q29" s="2072"/>
      <c r="R29" s="2072"/>
      <c r="S29" s="2072"/>
      <c r="T29" s="2072"/>
      <c r="U29" s="2072"/>
      <c r="V29" s="2072"/>
      <c r="W29" s="2638"/>
      <c r="X29" s="2638"/>
      <c r="Y29" s="2638"/>
      <c r="Z29" s="2638"/>
      <c r="AA29" s="2638"/>
      <c r="AB29" s="2072"/>
      <c r="AC29" s="2072"/>
      <c r="AD29" s="2072"/>
      <c r="AE29" s="2072"/>
      <c r="AF29" s="2072"/>
      <c r="AG29" s="2072"/>
      <c r="AH29" s="2072"/>
      <c r="AJ29" s="1349"/>
      <c r="AK29" s="1349"/>
      <c r="AL29" s="1349"/>
      <c r="AM29" s="1348"/>
      <c r="AN29" s="1348"/>
    </row>
    <row r="30" spans="1:40" ht="24.75" thickBot="1">
      <c r="A30" s="1444"/>
      <c r="B30" s="1445" t="s">
        <v>985</v>
      </c>
      <c r="C30" s="1036">
        <f ca="1">ROUND(IF(E2="工业",C29*M39,C29*M38),0)</f>
        <v>5699</v>
      </c>
      <c r="D30" s="1446"/>
      <c r="E30" s="1759">
        <f ca="1">ROUND(C30*D30/10000,0)</f>
        <v>0</v>
      </c>
      <c r="F30" s="1447" t="s">
        <v>986</v>
      </c>
      <c r="G30" s="1448"/>
      <c r="H30" s="1448"/>
      <c r="I30" s="1448"/>
      <c r="J30" s="1449"/>
      <c r="K30" s="3228"/>
      <c r="L30" s="3228"/>
      <c r="M30" s="3228"/>
      <c r="N30" s="3228"/>
      <c r="O30" s="3228"/>
      <c r="P30" s="2066"/>
      <c r="Q30" s="2066"/>
      <c r="R30" s="2066"/>
      <c r="S30" s="2066"/>
      <c r="T30" s="2066"/>
      <c r="U30" s="2066"/>
      <c r="V30" s="2066"/>
      <c r="W30" s="2067"/>
      <c r="X30" s="2067"/>
      <c r="Y30" s="2067"/>
      <c r="Z30" s="2067"/>
      <c r="AA30" s="2067"/>
      <c r="AB30" s="2066"/>
      <c r="AC30" s="2066"/>
      <c r="AD30" s="2066"/>
      <c r="AE30" s="2066"/>
      <c r="AF30" s="2066"/>
      <c r="AG30" s="2066"/>
      <c r="AH30" s="2066"/>
      <c r="AI30" s="1410"/>
      <c r="AJ30" s="1410"/>
      <c r="AK30" s="1410"/>
      <c r="AL30" s="1410"/>
      <c r="AM30" s="1348"/>
      <c r="AN30" s="1348"/>
    </row>
    <row r="31" spans="1:40">
      <c r="A31" s="1450"/>
      <c r="B31" s="1451" t="s">
        <v>987</v>
      </c>
      <c r="C31" s="1452" t="s">
        <v>988</v>
      </c>
      <c r="D31" s="1388"/>
      <c r="E31" s="1452"/>
      <c r="F31" s="1452"/>
      <c r="G31" s="1386" t="s">
        <v>986</v>
      </c>
      <c r="H31" s="1388"/>
      <c r="I31" s="1453"/>
      <c r="J31" s="1389"/>
      <c r="K31" s="3228"/>
      <c r="L31" s="3228"/>
      <c r="M31" s="3228"/>
      <c r="N31" s="3228"/>
      <c r="O31" s="3228"/>
      <c r="P31" s="2066"/>
      <c r="Q31" s="2066"/>
      <c r="R31" s="2066"/>
      <c r="S31" s="2066"/>
      <c r="T31" s="2066"/>
      <c r="U31" s="2066"/>
      <c r="V31" s="2066"/>
      <c r="W31" s="2067"/>
      <c r="X31" s="2067"/>
      <c r="Y31" s="2067"/>
      <c r="Z31" s="2067"/>
      <c r="AA31" s="2067"/>
      <c r="AB31" s="2066"/>
      <c r="AC31" s="2066"/>
      <c r="AD31" s="2066"/>
      <c r="AE31" s="2066"/>
      <c r="AF31" s="2066"/>
      <c r="AG31" s="2066"/>
      <c r="AH31" s="2066"/>
      <c r="AJ31" s="1349"/>
      <c r="AK31" s="1349"/>
      <c r="AL31" s="1349"/>
      <c r="AM31" s="1348"/>
      <c r="AN31" s="1348"/>
    </row>
    <row r="32" spans="1:40" ht="24">
      <c r="A32" s="1439"/>
      <c r="B32" s="1454"/>
      <c r="C32" s="1455" t="s">
        <v>981</v>
      </c>
      <c r="D32" s="1456" t="s">
        <v>982</v>
      </c>
      <c r="E32" s="1456" t="s">
        <v>983</v>
      </c>
      <c r="F32" s="1457" t="s">
        <v>989</v>
      </c>
      <c r="G32" s="1417" t="s">
        <v>981</v>
      </c>
      <c r="H32" s="1417" t="s">
        <v>982</v>
      </c>
      <c r="I32" s="1417" t="s">
        <v>983</v>
      </c>
      <c r="J32" s="1458"/>
      <c r="K32" s="3236"/>
      <c r="L32" s="3236"/>
      <c r="M32" s="3236"/>
      <c r="N32" s="3236"/>
      <c r="O32" s="3236"/>
      <c r="P32" s="2066"/>
      <c r="Q32" s="2066"/>
      <c r="R32" s="2066"/>
      <c r="S32" s="2066"/>
      <c r="T32" s="2066"/>
      <c r="U32" s="2066"/>
      <c r="V32" s="2066"/>
      <c r="W32" s="2067"/>
      <c r="X32" s="2067"/>
      <c r="Y32" s="2067"/>
      <c r="Z32" s="2067"/>
      <c r="AA32" s="2067"/>
      <c r="AB32" s="2066"/>
      <c r="AC32" s="2066"/>
      <c r="AD32" s="2066"/>
      <c r="AE32" s="2066"/>
      <c r="AF32" s="2066"/>
      <c r="AG32" s="2066"/>
      <c r="AH32" s="2066"/>
      <c r="AI32" s="1348"/>
      <c r="AJ32" s="1348"/>
      <c r="AK32" s="1348"/>
      <c r="AL32" s="1348"/>
      <c r="AM32" s="1348"/>
      <c r="AN32" s="1348"/>
    </row>
    <row r="33" spans="1:44" ht="12.75">
      <c r="A33" s="3764"/>
      <c r="B33" s="1460" t="s">
        <v>990</v>
      </c>
      <c r="C33" s="1044">
        <f ca="1">ROUND(D5*C19*C20*C24*F33,0)</f>
        <v>12723</v>
      </c>
      <c r="D33" s="1473"/>
      <c r="E33" s="1033">
        <f ca="1">ROUND(C33*D33/10000,0)</f>
        <v>0</v>
      </c>
      <c r="F33" s="1033">
        <f>SUMIF(修正!A45:A56,G2,修正!B45:B56)</f>
        <v>0.7</v>
      </c>
      <c r="G33" s="1033">
        <f t="shared" ref="G33" ca="1" si="6">ROUND(IF(E2="工业",C33*$M$39,C33*$M$38),0)</f>
        <v>3181</v>
      </c>
      <c r="H33" s="1033">
        <f>D33</f>
        <v>0</v>
      </c>
      <c r="I33" s="1033">
        <f ca="1">ROUND(G33*H33/10000,0)</f>
        <v>0</v>
      </c>
      <c r="J33" s="3764" t="s">
        <v>2987</v>
      </c>
      <c r="K33" s="2837"/>
      <c r="L33" s="2837"/>
      <c r="M33" s="2837"/>
      <c r="N33" s="2837"/>
      <c r="O33" s="2837"/>
      <c r="P33" s="2066"/>
      <c r="Q33" s="2066"/>
      <c r="R33" s="2066"/>
      <c r="S33" s="2066"/>
      <c r="T33" s="2066"/>
      <c r="U33" s="2066"/>
      <c r="V33" s="2066"/>
      <c r="W33" s="2067"/>
      <c r="X33" s="2067"/>
      <c r="Y33" s="2067"/>
      <c r="Z33" s="2067"/>
      <c r="AA33" s="2067"/>
      <c r="AB33" s="2066"/>
      <c r="AC33" s="2066"/>
      <c r="AD33" s="2066"/>
      <c r="AE33" s="2066"/>
      <c r="AF33" s="2066"/>
      <c r="AG33" s="2066"/>
      <c r="AH33" s="2067"/>
      <c r="AJ33" s="1349"/>
      <c r="AK33" s="1349"/>
      <c r="AL33" s="1349"/>
      <c r="AM33" s="1349"/>
      <c r="AN33" s="1349"/>
      <c r="AO33" s="1350"/>
      <c r="AP33" s="1350"/>
      <c r="AQ33" s="1350"/>
      <c r="AR33" s="1350"/>
    </row>
    <row r="34" spans="1:44" ht="12.75">
      <c r="A34" s="3765"/>
      <c r="B34" s="1391" t="s">
        <v>991</v>
      </c>
      <c r="C34" s="1044">
        <f ca="1">ROUND(D5*C19*C20*C24*F34,0)</f>
        <v>7270</v>
      </c>
      <c r="D34" s="1473"/>
      <c r="E34" s="1033">
        <f t="shared" ref="E34:E39" ca="1" si="7">ROUND(C34*D34/10000,0)</f>
        <v>0</v>
      </c>
      <c r="F34" s="1033">
        <f>SUMIF(修正!A45:A56,G2,修正!C45:C56)</f>
        <v>0.4</v>
      </c>
      <c r="G34" s="1033">
        <f ca="1">ROUND(IF(E2="工业",C34*$M$39,C34*$M$38),0)</f>
        <v>1818</v>
      </c>
      <c r="H34" s="1033">
        <f t="shared" ref="H34:H39" si="8">D34</f>
        <v>0</v>
      </c>
      <c r="I34" s="1033">
        <f t="shared" ref="I34:I39" ca="1" si="9">ROUND(G34*H34/10000,0)</f>
        <v>0</v>
      </c>
      <c r="J34" s="3765"/>
      <c r="K34" s="2837"/>
      <c r="L34" s="2837"/>
      <c r="M34" s="2837"/>
      <c r="N34" s="2837"/>
      <c r="O34" s="2837"/>
      <c r="P34" s="2066"/>
      <c r="Q34" s="2066"/>
      <c r="R34" s="2066"/>
      <c r="S34" s="2066"/>
      <c r="T34" s="2066"/>
      <c r="U34" s="2066"/>
      <c r="V34" s="2066"/>
      <c r="W34" s="2067"/>
      <c r="X34" s="2067"/>
      <c r="Y34" s="2067"/>
      <c r="Z34" s="2067"/>
      <c r="AA34" s="2067"/>
      <c r="AB34" s="2066"/>
      <c r="AC34" s="2066"/>
      <c r="AD34" s="2066"/>
      <c r="AE34" s="2066"/>
      <c r="AF34" s="2066"/>
      <c r="AG34" s="2066"/>
      <c r="AH34" s="2067"/>
      <c r="AJ34" s="1349"/>
      <c r="AK34" s="1349"/>
      <c r="AL34" s="1349"/>
      <c r="AM34" s="1349"/>
      <c r="AN34" s="1349"/>
      <c r="AO34" s="1350"/>
      <c r="AP34" s="1350"/>
      <c r="AQ34" s="1350"/>
      <c r="AR34" s="1350"/>
    </row>
    <row r="35" spans="1:44" ht="12.75">
      <c r="A35" s="3765"/>
      <c r="B35" s="1391" t="s">
        <v>992</v>
      </c>
      <c r="C35" s="1044">
        <f ca="1">ROUND(D5*C19*C20*C24*F35,0)</f>
        <v>5089</v>
      </c>
      <c r="D35" s="1473"/>
      <c r="E35" s="1033">
        <f t="shared" ca="1" si="7"/>
        <v>0</v>
      </c>
      <c r="F35" s="1033">
        <f>SUMIF(修正!A45:A56,G2,修正!D45:D56)</f>
        <v>0.28000000000000003</v>
      </c>
      <c r="G35" s="1033">
        <f ca="1">ROUND(IF(E2="工业",C35*$M$39,C35*$M$38),0)</f>
        <v>1272</v>
      </c>
      <c r="H35" s="1033">
        <f t="shared" si="8"/>
        <v>0</v>
      </c>
      <c r="I35" s="1033">
        <f t="shared" ca="1" si="9"/>
        <v>0</v>
      </c>
      <c r="J35" s="3765"/>
      <c r="K35" s="2837"/>
      <c r="L35" s="2837"/>
      <c r="M35" s="2837"/>
      <c r="N35" s="2837"/>
      <c r="O35" s="2837"/>
      <c r="P35" s="2066"/>
      <c r="Q35" s="2066"/>
      <c r="R35" s="2066"/>
      <c r="S35" s="2066"/>
      <c r="T35" s="2066"/>
      <c r="U35" s="2066"/>
      <c r="V35" s="2066"/>
      <c r="W35" s="2067"/>
      <c r="X35" s="2067"/>
      <c r="Y35" s="2067"/>
      <c r="Z35" s="2067"/>
      <c r="AA35" s="2067"/>
      <c r="AB35" s="2066"/>
      <c r="AC35" s="2066"/>
      <c r="AD35" s="2066"/>
      <c r="AE35" s="2066"/>
      <c r="AF35" s="2066"/>
      <c r="AG35" s="2066"/>
      <c r="AH35" s="2067"/>
      <c r="AJ35" s="1349"/>
      <c r="AK35" s="1349"/>
      <c r="AL35" s="1349"/>
      <c r="AM35" s="1349"/>
      <c r="AN35" s="1349"/>
      <c r="AO35" s="1350"/>
      <c r="AP35" s="1350"/>
      <c r="AQ35" s="1350"/>
      <c r="AR35" s="1350"/>
    </row>
    <row r="36" spans="1:44" ht="13.5" thickBot="1">
      <c r="A36" s="3766"/>
      <c r="B36" s="1391" t="s">
        <v>993</v>
      </c>
      <c r="C36" s="1044">
        <f ca="1">ROUND(D5*C19*C20*C24*F36,0)</f>
        <v>4544</v>
      </c>
      <c r="D36" s="1473"/>
      <c r="E36" s="1033">
        <f t="shared" ca="1" si="7"/>
        <v>0</v>
      </c>
      <c r="F36" s="1033">
        <f>SUMIF(修正!A45:A56,G2,修正!E45:E56)</f>
        <v>0.25</v>
      </c>
      <c r="G36" s="1033">
        <f ca="1">ROUND(IF(E2="工业",C36*$M$39,C36*$M$38),0)</f>
        <v>1136</v>
      </c>
      <c r="H36" s="1033">
        <f t="shared" si="8"/>
        <v>0</v>
      </c>
      <c r="I36" s="1033">
        <f t="shared" ca="1" si="9"/>
        <v>0</v>
      </c>
      <c r="J36" s="3766"/>
      <c r="K36" s="2837"/>
      <c r="L36" s="2837"/>
      <c r="M36" s="2837"/>
      <c r="N36" s="2837"/>
      <c r="O36" s="2837"/>
      <c r="P36" s="2066"/>
      <c r="Q36" s="2066"/>
      <c r="R36" s="2066"/>
      <c r="S36" s="2066"/>
      <c r="T36" s="2066"/>
      <c r="U36" s="2066"/>
      <c r="V36" s="2066"/>
      <c r="W36" s="2067"/>
      <c r="X36" s="2067"/>
      <c r="Y36" s="2067"/>
      <c r="Z36" s="2067"/>
      <c r="AA36" s="2067"/>
      <c r="AB36" s="2066"/>
      <c r="AC36" s="2066"/>
      <c r="AD36" s="2066"/>
      <c r="AE36" s="2066"/>
      <c r="AF36" s="2066"/>
      <c r="AG36" s="2066"/>
      <c r="AH36" s="2067"/>
      <c r="AJ36" s="1349"/>
      <c r="AK36" s="1349"/>
      <c r="AL36" s="1349"/>
      <c r="AM36" s="1349"/>
      <c r="AN36" s="1349"/>
      <c r="AO36" s="1350"/>
      <c r="AP36" s="1350"/>
      <c r="AQ36" s="1350"/>
      <c r="AR36" s="1350"/>
    </row>
    <row r="37" spans="1:44" ht="12.75">
      <c r="A37" s="1459"/>
      <c r="B37" s="1391" t="s">
        <v>994</v>
      </c>
      <c r="C37" s="3476">
        <f ca="1">ROUND(D5*C19*C41*C24*F37,0)</f>
        <v>4014</v>
      </c>
      <c r="D37" s="1473"/>
      <c r="E37" s="1033">
        <f t="shared" ca="1" si="7"/>
        <v>0</v>
      </c>
      <c r="F37" s="1044">
        <f>SUMIF(修正!A45:A56,G2,修正!F45:F56)</f>
        <v>0.25</v>
      </c>
      <c r="G37" s="1033">
        <f ca="1">ROUND(IF(E2="工业",C37*$M$39,C37*$M$38),0)</f>
        <v>1004</v>
      </c>
      <c r="H37" s="1033">
        <f t="shared" si="8"/>
        <v>0</v>
      </c>
      <c r="I37" s="1033">
        <f t="shared" ca="1" si="9"/>
        <v>0</v>
      </c>
      <c r="J37" s="1461"/>
      <c r="K37" s="2066"/>
      <c r="L37" s="1479" t="s">
        <v>1693</v>
      </c>
      <c r="M37" s="1480"/>
      <c r="N37" s="2066"/>
      <c r="O37" s="2066"/>
      <c r="P37" s="2066"/>
      <c r="Q37" s="2066"/>
      <c r="R37" s="2067"/>
      <c r="S37" s="2067"/>
      <c r="T37" s="2067"/>
      <c r="U37" s="2067"/>
      <c r="V37" s="2067"/>
      <c r="W37" s="2066"/>
      <c r="X37" s="2066"/>
      <c r="Y37" s="2066"/>
      <c r="Z37" s="2066"/>
      <c r="AA37" s="2066"/>
      <c r="AB37" s="2066"/>
      <c r="AC37" s="2067"/>
    </row>
    <row r="38" spans="1:44" ht="12.75">
      <c r="A38" s="1459"/>
      <c r="B38" s="1391" t="s">
        <v>995</v>
      </c>
      <c r="C38" s="1033">
        <f ca="1">ROUND(D5*C19*C41*C24*F38,0)</f>
        <v>4014</v>
      </c>
      <c r="D38" s="1473"/>
      <c r="E38" s="1033">
        <f t="shared" ca="1" si="7"/>
        <v>0</v>
      </c>
      <c r="F38" s="1044">
        <f>SUMIF(修正!A45:A56,G2,修正!G45:G56)</f>
        <v>0.25</v>
      </c>
      <c r="G38" s="1033">
        <f ca="1">ROUND(IF(E2="工业",C38*$M$39,C38*$M$38),0)</f>
        <v>1004</v>
      </c>
      <c r="H38" s="1033">
        <f t="shared" si="8"/>
        <v>0</v>
      </c>
      <c r="I38" s="1033">
        <f t="shared" ca="1" si="9"/>
        <v>0</v>
      </c>
      <c r="J38" s="1461"/>
      <c r="K38" s="2066"/>
      <c r="L38" s="1481" t="s">
        <v>1695</v>
      </c>
      <c r="M38" s="1482">
        <v>0.25</v>
      </c>
      <c r="N38" s="2066"/>
      <c r="O38" s="2066"/>
      <c r="P38" s="2066"/>
      <c r="Q38" s="2066"/>
      <c r="R38" s="2067"/>
      <c r="S38" s="2067"/>
      <c r="T38" s="2067"/>
      <c r="U38" s="2067"/>
      <c r="V38" s="2067"/>
      <c r="W38" s="2066"/>
      <c r="X38" s="2066"/>
      <c r="Y38" s="2066"/>
      <c r="Z38" s="2066"/>
      <c r="AA38" s="2066"/>
      <c r="AB38" s="2066"/>
      <c r="AC38" s="2067"/>
    </row>
    <row r="39" spans="1:44" ht="13.5" thickBot="1">
      <c r="A39" s="1444"/>
      <c r="B39" s="1462" t="s">
        <v>996</v>
      </c>
      <c r="C39" s="1036">
        <f ca="1">ROUND(D5*C19*C41*C24*F39,0)</f>
        <v>3212</v>
      </c>
      <c r="D39" s="1474"/>
      <c r="E39" s="1036">
        <f t="shared" ca="1" si="7"/>
        <v>0</v>
      </c>
      <c r="F39" s="1046">
        <f>SUMIF(修正!A45:A56,G2,修正!H45:H56)</f>
        <v>0.2</v>
      </c>
      <c r="G39" s="1036">
        <f ca="1">ROUND(IF(E2="工业",C39*$M$39,C39*$M$38),0)</f>
        <v>803</v>
      </c>
      <c r="H39" s="1036">
        <f t="shared" si="8"/>
        <v>0</v>
      </c>
      <c r="I39" s="1036">
        <f t="shared" ca="1" si="9"/>
        <v>0</v>
      </c>
      <c r="J39" s="1463"/>
      <c r="K39" s="2066"/>
      <c r="L39" s="1483" t="s">
        <v>1694</v>
      </c>
      <c r="M39" s="1484">
        <v>0.15</v>
      </c>
      <c r="N39" s="2066"/>
      <c r="O39" s="2066"/>
      <c r="P39" s="2066"/>
      <c r="Q39" s="2066"/>
      <c r="R39" s="2067"/>
      <c r="S39" s="2067"/>
      <c r="T39" s="2067"/>
      <c r="U39" s="2067"/>
      <c r="V39" s="2067"/>
      <c r="W39" s="2066"/>
      <c r="X39" s="2066"/>
      <c r="Y39" s="2066"/>
      <c r="Z39" s="2066"/>
      <c r="AA39" s="2066"/>
      <c r="AB39" s="2066"/>
      <c r="AC39" s="2067"/>
    </row>
    <row r="40" spans="1:44" s="1348"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9"/>
      <c r="AE40" s="1349"/>
      <c r="AF40" s="1349"/>
      <c r="AG40" s="1349"/>
      <c r="AH40" s="1349"/>
      <c r="AI40" s="1349"/>
      <c r="AJ40" s="1349"/>
      <c r="AK40" s="1349"/>
      <c r="AL40" s="1349"/>
      <c r="AM40" s="1349"/>
    </row>
    <row r="41" spans="1:44" s="1348" customFormat="1" ht="12.75">
      <c r="A41" s="1349"/>
      <c r="B41" s="2827" t="s">
        <v>2945</v>
      </c>
      <c r="C41" s="826">
        <f ca="1">ROUND(POWER(1+E41,H41-G41)*(POWER(1+E41,G41)-1)/(POWER(1+E41,H41)-1),4)</f>
        <v>0.88349999999999995</v>
      </c>
      <c r="D41" s="370" t="s">
        <v>2943</v>
      </c>
      <c r="E41" s="2826">
        <f ca="1">G20</f>
        <v>5.1999999999999998E-2</v>
      </c>
      <c r="F41" s="370" t="s">
        <v>2944</v>
      </c>
      <c r="G41" s="388">
        <f>'基准地价（商业）'!G41</f>
        <v>33.119999999999997</v>
      </c>
      <c r="H41" s="370">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9"/>
      <c r="AE41" s="1349"/>
      <c r="AF41" s="1349"/>
      <c r="AG41" s="1349"/>
      <c r="AH41" s="1349"/>
      <c r="AI41" s="1349"/>
      <c r="AJ41" s="1349"/>
      <c r="AK41" s="1349"/>
      <c r="AL41" s="1349"/>
      <c r="AM41" s="1349"/>
    </row>
    <row r="42" spans="1:44" s="1348" customFormat="1">
      <c r="A42" s="1349"/>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9"/>
      <c r="AE42" s="1349"/>
      <c r="AF42" s="1349"/>
      <c r="AG42" s="1349"/>
      <c r="AH42" s="1349"/>
      <c r="AI42" s="1349"/>
      <c r="AJ42" s="1349"/>
      <c r="AK42" s="1349"/>
      <c r="AL42" s="1349"/>
      <c r="AM42" s="1349"/>
    </row>
    <row r="43" spans="1:44" s="1348" customFormat="1">
      <c r="A43" s="1349"/>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9"/>
      <c r="AE43" s="1349"/>
      <c r="AF43" s="1349"/>
      <c r="AG43" s="1349"/>
      <c r="AH43" s="1349"/>
      <c r="AI43" s="1349"/>
      <c r="AJ43" s="1349"/>
      <c r="AK43" s="1349"/>
      <c r="AL43" s="1349"/>
      <c r="AM43" s="1349"/>
    </row>
    <row r="44" spans="1:44" s="1348" customFormat="1" ht="15" thickBot="1">
      <c r="A44" s="2270" t="s">
        <v>997</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9"/>
      <c r="AE44" s="1349"/>
      <c r="AF44" s="1349"/>
      <c r="AG44" s="1349"/>
      <c r="AH44" s="1349"/>
      <c r="AI44" s="1349"/>
      <c r="AJ44" s="1349"/>
      <c r="AK44" s="1349"/>
      <c r="AL44" s="1349"/>
      <c r="AM44" s="1349"/>
    </row>
    <row r="45" spans="1:44" s="1348" customFormat="1" ht="15" hidden="1">
      <c r="A45" s="2275" t="s">
        <v>966</v>
      </c>
      <c r="B45" s="2276">
        <f>1+E47</f>
        <v>1</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9"/>
      <c r="AE45" s="1349"/>
      <c r="AF45" s="1349"/>
      <c r="AG45" s="1349"/>
      <c r="AH45" s="1349"/>
      <c r="AI45" s="1349"/>
      <c r="AJ45" s="1349"/>
      <c r="AK45" s="1349"/>
      <c r="AL45" s="1349"/>
      <c r="AM45" s="1349"/>
    </row>
    <row r="46" spans="1:44" s="1348" customFormat="1" ht="24" hidden="1">
      <c r="A46" s="1048" t="s">
        <v>999</v>
      </c>
      <c r="B46" s="2259" t="s">
        <v>1000</v>
      </c>
      <c r="C46" s="2281" t="s">
        <v>1001</v>
      </c>
      <c r="D46" s="2282" t="s">
        <v>1002</v>
      </c>
      <c r="E46" s="2283" t="s">
        <v>1004</v>
      </c>
      <c r="F46" s="2284" t="s">
        <v>2238</v>
      </c>
      <c r="G46" s="2282" t="s">
        <v>1005</v>
      </c>
      <c r="H46" s="2265" t="s">
        <v>2402</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9"/>
      <c r="AF46" s="1349"/>
      <c r="AG46" s="1349"/>
      <c r="AH46" s="1349"/>
      <c r="AI46" s="1349"/>
      <c r="AJ46" s="1349"/>
      <c r="AK46" s="1349"/>
      <c r="AL46" s="1349"/>
      <c r="AM46" s="1349"/>
      <c r="AN46" s="1349"/>
    </row>
    <row r="47" spans="1:44" s="1348" customFormat="1" ht="24" hidden="1">
      <c r="A47" s="1048" t="s">
        <v>1011</v>
      </c>
      <c r="B47" s="2262" t="str">
        <f>估价对象房地状况!C16</f>
        <v>安泰购购物中心 1.2，商业繁华度一般</v>
      </c>
      <c r="C47" s="1035"/>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9"/>
      <c r="AF47" s="1349"/>
      <c r="AG47" s="1349"/>
      <c r="AH47" s="1349"/>
      <c r="AI47" s="1349"/>
      <c r="AJ47" s="1349"/>
      <c r="AK47" s="1349"/>
      <c r="AL47" s="1349"/>
      <c r="AM47" s="1349"/>
      <c r="AN47" s="1349"/>
    </row>
    <row r="48" spans="1:44" s="1348" customFormat="1" ht="84" hidden="1">
      <c r="A48" s="1048" t="s">
        <v>1012</v>
      </c>
      <c r="B48" s="2259" t="str">
        <f>估价对象房地状况!C18</f>
        <v>紧邻地铁16号线（西北旺站），周边有333路、384路、438路、570路、575路、623路、902路、908路、909路、快速直达专线152路、专143路等多条公交线路，交通便捷度好</v>
      </c>
      <c r="C48" s="1035"/>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9"/>
      <c r="AF48" s="1349"/>
      <c r="AG48" s="1349"/>
      <c r="AH48" s="1349"/>
      <c r="AI48" s="1349"/>
      <c r="AJ48" s="1349"/>
      <c r="AK48" s="1349"/>
      <c r="AL48" s="1349"/>
      <c r="AM48" s="1349"/>
      <c r="AN48" s="1349"/>
    </row>
    <row r="49" spans="1:40" s="1348" customFormat="1" ht="24" hidden="1">
      <c r="A49" s="1048" t="s">
        <v>1013</v>
      </c>
      <c r="B49" s="2259">
        <f>估价对象房地状况!C19</f>
        <v>0</v>
      </c>
      <c r="C49" s="1035"/>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9"/>
      <c r="AF49" s="1349"/>
      <c r="AG49" s="1349"/>
      <c r="AH49" s="1349"/>
      <c r="AI49" s="1349"/>
      <c r="AJ49" s="1349"/>
      <c r="AK49" s="1349"/>
      <c r="AL49" s="1349"/>
      <c r="AM49" s="1349"/>
      <c r="AN49" s="1349"/>
    </row>
    <row r="50" spans="1:40" s="1348" customFormat="1" ht="36" hidden="1">
      <c r="A50" s="1048" t="s">
        <v>1014</v>
      </c>
      <c r="B50" s="2779" t="s">
        <v>2901</v>
      </c>
      <c r="C50" s="1035"/>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9"/>
      <c r="AF50" s="1349"/>
      <c r="AG50" s="1349"/>
      <c r="AH50" s="1349"/>
      <c r="AI50" s="1349"/>
      <c r="AJ50" s="1349"/>
      <c r="AK50" s="1349"/>
      <c r="AL50" s="1349"/>
      <c r="AM50" s="1349"/>
      <c r="AN50" s="1349"/>
    </row>
    <row r="51" spans="1:40" s="1348" customFormat="1" ht="24" hidden="1">
      <c r="A51" s="1048" t="s">
        <v>1015</v>
      </c>
      <c r="B51" s="2259">
        <f>估价对象房地状况!C24</f>
        <v>0</v>
      </c>
      <c r="C51" s="1035"/>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9"/>
      <c r="AF51" s="1349"/>
      <c r="AG51" s="1349"/>
      <c r="AH51" s="1349"/>
      <c r="AI51" s="1349"/>
      <c r="AJ51" s="1349"/>
      <c r="AK51" s="1349"/>
      <c r="AL51" s="1349"/>
      <c r="AM51" s="1349"/>
      <c r="AN51" s="1349"/>
    </row>
    <row r="52" spans="1:40" s="1348" customFormat="1" ht="24" hidden="1">
      <c r="A52" s="1048" t="s">
        <v>1016</v>
      </c>
      <c r="B52" s="2778" t="s">
        <v>2900</v>
      </c>
      <c r="C52" s="1035"/>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9"/>
      <c r="AF52" s="1349"/>
      <c r="AG52" s="1349"/>
      <c r="AH52" s="1349"/>
      <c r="AI52" s="1349"/>
      <c r="AJ52" s="1349"/>
      <c r="AK52" s="1349"/>
      <c r="AL52" s="1349"/>
      <c r="AM52" s="1349"/>
      <c r="AN52" s="1349"/>
    </row>
    <row r="53" spans="1:40" s="1348" customFormat="1" ht="144" hidden="1">
      <c r="A53" s="2291" t="s">
        <v>1017</v>
      </c>
      <c r="B5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53" s="1035"/>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9"/>
      <c r="AF53" s="1349"/>
      <c r="AG53" s="1349"/>
      <c r="AH53" s="1349"/>
      <c r="AI53" s="1349"/>
      <c r="AJ53" s="1349"/>
      <c r="AK53" s="1349"/>
      <c r="AL53" s="1349"/>
      <c r="AM53" s="1349"/>
      <c r="AN53" s="1349"/>
    </row>
    <row r="54" spans="1:40" s="1348" customFormat="1" ht="24" hidden="1">
      <c r="A54" s="2291" t="s">
        <v>1018</v>
      </c>
      <c r="B54" s="2259" t="str">
        <f>估价对象房地状况!C22</f>
        <v>七通</v>
      </c>
      <c r="C54" s="1035"/>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9"/>
      <c r="AF54" s="1349"/>
      <c r="AG54" s="1349"/>
      <c r="AH54" s="1349"/>
      <c r="AI54" s="1349"/>
      <c r="AJ54" s="1349"/>
      <c r="AK54" s="1349"/>
      <c r="AL54" s="1349"/>
      <c r="AM54" s="1349"/>
      <c r="AN54" s="1349"/>
    </row>
    <row r="55" spans="1:40" s="1348" customFormat="1" ht="84.75" hidden="1" thickBot="1">
      <c r="A55" s="2292" t="s">
        <v>1019</v>
      </c>
      <c r="B55" s="2263" t="str">
        <f>估价对象房地状况!C20</f>
        <v>区域自然环境：百望山、药用植物园、百旺公园、首师大附中口袋公园、中关村公园、小关村公园、京密引水渠等；人文环境：西北旺镇政府；综合评价环境状况较好</v>
      </c>
      <c r="C55" s="1035"/>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9"/>
      <c r="AF55" s="1349"/>
      <c r="AG55" s="1349"/>
      <c r="AH55" s="1349"/>
      <c r="AI55" s="1349"/>
      <c r="AJ55" s="1349"/>
      <c r="AK55" s="1349"/>
      <c r="AL55" s="1349"/>
      <c r="AM55" s="1349"/>
      <c r="AN55" s="1349"/>
    </row>
    <row r="56" spans="1:40" s="1348" customFormat="1" ht="15">
      <c r="A56" s="2275" t="s">
        <v>969</v>
      </c>
      <c r="B56" s="2276">
        <f>1+E58</f>
        <v>1.0566</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9"/>
      <c r="AF56" s="1349"/>
      <c r="AG56" s="1349"/>
      <c r="AH56" s="1349"/>
      <c r="AI56" s="1349"/>
      <c r="AJ56" s="1349"/>
      <c r="AK56" s="1349"/>
      <c r="AL56" s="1349"/>
      <c r="AM56" s="1349"/>
      <c r="AN56" s="1349"/>
    </row>
    <row r="57" spans="1:40" s="1348" customFormat="1" ht="24">
      <c r="A57" s="1048" t="s">
        <v>999</v>
      </c>
      <c r="B57" s="2259"/>
      <c r="C57" s="2281" t="s">
        <v>1001</v>
      </c>
      <c r="D57" s="2282" t="s">
        <v>1002</v>
      </c>
      <c r="E57" s="2283" t="s">
        <v>1004</v>
      </c>
      <c r="F57" s="2284" t="s">
        <v>2238</v>
      </c>
      <c r="G57" s="2282" t="s">
        <v>1005</v>
      </c>
      <c r="H57" s="2265" t="s">
        <v>2402</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9"/>
      <c r="AF57" s="1349"/>
      <c r="AG57" s="1349"/>
      <c r="AH57" s="1349"/>
      <c r="AI57" s="1349"/>
      <c r="AJ57" s="1349"/>
      <c r="AK57" s="1349"/>
      <c r="AL57" s="1349"/>
      <c r="AM57" s="1349"/>
      <c r="AN57" s="1349"/>
    </row>
    <row r="58" spans="1:40" s="1348" customFormat="1" ht="78.599999999999994" customHeight="1">
      <c r="A58" s="1048" t="s">
        <v>1021</v>
      </c>
      <c r="B58" s="2262" t="str">
        <f>估价对象房地状况!C17</f>
        <v>卫生大厦、新浪总部大厦、百度科技园、网易大厦、腾讯北京总部大楼、联想总部等，办公集聚程度较好</v>
      </c>
      <c r="C58" s="1035" t="s">
        <v>3042</v>
      </c>
      <c r="D58" s="3484">
        <f t="shared" ref="D58:D66" si="15">SUMIF($J$57:$N$57,C58,J58:N58)</f>
        <v>1.15E-2</v>
      </c>
      <c r="E58" s="2287">
        <f>ROUND(SUM(D58:D66),4)</f>
        <v>5.6599999999999998E-2</v>
      </c>
      <c r="F58" s="2288">
        <f>IF(E2="办公",SUMIF(L1:L12,G2,N1:N12),"——")</f>
        <v>9.6000000000000002E-2</v>
      </c>
      <c r="G58" s="2266">
        <f>H58</f>
        <v>1.15E-2</v>
      </c>
      <c r="H58" s="2311">
        <f>IFERROR(ROUNDDOWN($F$58*I58/2,4),"——")</f>
        <v>1.15E-2</v>
      </c>
      <c r="I58" s="2286">
        <v>0.24</v>
      </c>
      <c r="J58" s="3483">
        <f t="shared" ref="J58:J66" si="16">K58+$G58</f>
        <v>2.3E-2</v>
      </c>
      <c r="K58" s="3483">
        <f t="shared" ref="K58:K66" si="17">$L58+$G58</f>
        <v>1.15E-2</v>
      </c>
      <c r="L58" s="3483">
        <v>0</v>
      </c>
      <c r="M58" s="3483">
        <f t="shared" ref="M58:N66" si="18">L58-$G58</f>
        <v>-1.15E-2</v>
      </c>
      <c r="N58" s="3483">
        <f t="shared" si="18"/>
        <v>-2.3E-2</v>
      </c>
      <c r="P58" s="2073"/>
      <c r="Q58" s="2073"/>
      <c r="R58" s="2074"/>
      <c r="S58" s="2074"/>
      <c r="T58" s="2074"/>
      <c r="U58" s="2074"/>
      <c r="V58" s="2074"/>
      <c r="W58" s="2073"/>
      <c r="X58" s="2073"/>
      <c r="Y58" s="2073"/>
      <c r="Z58" s="2073"/>
      <c r="AA58" s="2073"/>
      <c r="AB58" s="2073"/>
      <c r="AC58" s="2073"/>
      <c r="AD58" s="2074"/>
      <c r="AE58" s="1349"/>
      <c r="AF58" s="1349"/>
      <c r="AG58" s="1349"/>
      <c r="AH58" s="1349"/>
      <c r="AI58" s="1349"/>
      <c r="AJ58" s="1349"/>
      <c r="AK58" s="1349"/>
      <c r="AL58" s="1349"/>
      <c r="AM58" s="1349"/>
      <c r="AN58" s="1349"/>
    </row>
    <row r="59" spans="1:40" s="1348" customFormat="1" ht="87" customHeight="1">
      <c r="A59" s="1048" t="s">
        <v>1012</v>
      </c>
      <c r="B59" s="2259" t="str">
        <f>估价对象房地状况!C18</f>
        <v>紧邻地铁16号线（西北旺站），周边有333路、384路、438路、570路、575路、623路、902路、908路、909路、快速直达专线152路、专143路等多条公交线路，交通便捷度好</v>
      </c>
      <c r="C59" s="1035" t="s">
        <v>3042</v>
      </c>
      <c r="D59" s="3484">
        <f t="shared" si="15"/>
        <v>1.44E-2</v>
      </c>
      <c r="E59" s="2290"/>
      <c r="F59" s="2288"/>
      <c r="G59" s="2266">
        <f t="shared" ref="G59:G66" si="19">H59</f>
        <v>1.44E-2</v>
      </c>
      <c r="H59" s="2267">
        <f t="shared" ref="H59:H66" si="20">IFERROR($F$58*I59/2,"——")</f>
        <v>1.44E-2</v>
      </c>
      <c r="I59" s="2286">
        <v>0.3</v>
      </c>
      <c r="J59" s="3483">
        <f t="shared" si="16"/>
        <v>2.8799999999999999E-2</v>
      </c>
      <c r="K59" s="3483">
        <f t="shared" si="17"/>
        <v>1.44E-2</v>
      </c>
      <c r="L59" s="3483">
        <v>0</v>
      </c>
      <c r="M59" s="3483">
        <f t="shared" si="18"/>
        <v>-1.44E-2</v>
      </c>
      <c r="N59" s="3483">
        <f t="shared" si="18"/>
        <v>-2.8799999999999999E-2</v>
      </c>
      <c r="P59" s="2073"/>
      <c r="Q59" s="2073"/>
      <c r="R59" s="2074"/>
      <c r="S59" s="2074"/>
      <c r="T59" s="2074"/>
      <c r="U59" s="2074"/>
      <c r="V59" s="2074"/>
      <c r="W59" s="2073"/>
      <c r="X59" s="2073"/>
      <c r="Y59" s="2073"/>
      <c r="Z59" s="2073"/>
      <c r="AA59" s="2073"/>
      <c r="AB59" s="2073"/>
      <c r="AC59" s="2073"/>
      <c r="AD59" s="2074"/>
      <c r="AE59" s="1349"/>
      <c r="AF59" s="1349"/>
      <c r="AG59" s="1349"/>
      <c r="AH59" s="1349"/>
      <c r="AI59" s="1349"/>
      <c r="AJ59" s="1349"/>
      <c r="AK59" s="1349"/>
      <c r="AL59" s="1349"/>
      <c r="AM59" s="1349"/>
      <c r="AN59" s="1349"/>
    </row>
    <row r="60" spans="1:40" s="1348" customFormat="1" ht="24">
      <c r="A60" s="1048" t="s">
        <v>1013</v>
      </c>
      <c r="B60" s="2259">
        <f>估价对象房地状况!C19</f>
        <v>0</v>
      </c>
      <c r="C60" s="1035" t="s">
        <v>3042</v>
      </c>
      <c r="D60" s="3484">
        <f t="shared" si="15"/>
        <v>3.8400000000000001E-3</v>
      </c>
      <c r="E60" s="2290"/>
      <c r="F60" s="2288"/>
      <c r="G60" s="2266">
        <f t="shared" si="19"/>
        <v>3.8400000000000001E-3</v>
      </c>
      <c r="H60" s="2267">
        <f t="shared" si="20"/>
        <v>3.8400000000000001E-3</v>
      </c>
      <c r="I60" s="2286">
        <v>0.08</v>
      </c>
      <c r="J60" s="3483">
        <f t="shared" si="16"/>
        <v>7.6800000000000002E-3</v>
      </c>
      <c r="K60" s="3483">
        <f t="shared" si="17"/>
        <v>3.8400000000000001E-3</v>
      </c>
      <c r="L60" s="3483">
        <v>0</v>
      </c>
      <c r="M60" s="3483">
        <f t="shared" si="18"/>
        <v>-3.8400000000000001E-3</v>
      </c>
      <c r="N60" s="3483">
        <f t="shared" si="18"/>
        <v>-7.6800000000000002E-3</v>
      </c>
      <c r="P60" s="2073"/>
      <c r="Q60" s="2073"/>
      <c r="R60" s="2074"/>
      <c r="S60" s="2074"/>
      <c r="T60" s="2074"/>
      <c r="U60" s="2074"/>
      <c r="V60" s="2074"/>
      <c r="W60" s="2073"/>
      <c r="X60" s="2073"/>
      <c r="Y60" s="2073"/>
      <c r="Z60" s="2073"/>
      <c r="AA60" s="2073"/>
      <c r="AB60" s="2073"/>
      <c r="AC60" s="2073"/>
      <c r="AD60" s="2074"/>
      <c r="AE60" s="1349"/>
      <c r="AF60" s="1349"/>
      <c r="AG60" s="1349"/>
      <c r="AH60" s="1349"/>
      <c r="AI60" s="1349"/>
      <c r="AJ60" s="1349"/>
      <c r="AK60" s="1349"/>
      <c r="AL60" s="1349"/>
      <c r="AM60" s="1349"/>
      <c r="AN60" s="1349"/>
    </row>
    <row r="61" spans="1:40" s="1348" customFormat="1" ht="36">
      <c r="A61" s="1048" t="s">
        <v>1014</v>
      </c>
      <c r="B61" s="2779" t="s">
        <v>2901</v>
      </c>
      <c r="C61" s="1035" t="s">
        <v>3042</v>
      </c>
      <c r="D61" s="3484">
        <f t="shared" si="15"/>
        <v>1.92E-3</v>
      </c>
      <c r="E61" s="2290"/>
      <c r="F61" s="2288"/>
      <c r="G61" s="2266">
        <f t="shared" si="19"/>
        <v>1.92E-3</v>
      </c>
      <c r="H61" s="2267">
        <f t="shared" si="20"/>
        <v>1.92E-3</v>
      </c>
      <c r="I61" s="2286">
        <v>0.04</v>
      </c>
      <c r="J61" s="3483">
        <f t="shared" si="16"/>
        <v>3.8400000000000001E-3</v>
      </c>
      <c r="K61" s="3483">
        <f t="shared" si="17"/>
        <v>1.92E-3</v>
      </c>
      <c r="L61" s="3483">
        <v>0</v>
      </c>
      <c r="M61" s="3483">
        <f t="shared" si="18"/>
        <v>-1.92E-3</v>
      </c>
      <c r="N61" s="3483">
        <f t="shared" si="18"/>
        <v>-3.8400000000000001E-3</v>
      </c>
      <c r="P61" s="2073"/>
      <c r="Q61" s="2073"/>
      <c r="R61" s="2074"/>
      <c r="S61" s="2074"/>
      <c r="T61" s="2074"/>
      <c r="U61" s="2074"/>
      <c r="V61" s="2074"/>
      <c r="W61" s="2073"/>
      <c r="X61" s="2073"/>
      <c r="Y61" s="2073"/>
      <c r="Z61" s="2073"/>
      <c r="AA61" s="2073"/>
      <c r="AB61" s="2073"/>
      <c r="AC61" s="2073"/>
      <c r="AD61" s="2074"/>
      <c r="AE61" s="1349"/>
      <c r="AF61" s="1349"/>
      <c r="AG61" s="1349"/>
      <c r="AH61" s="1349"/>
      <c r="AI61" s="1349"/>
      <c r="AJ61" s="1349"/>
      <c r="AK61" s="1349"/>
      <c r="AL61" s="1349"/>
      <c r="AM61" s="1349"/>
      <c r="AN61" s="1349"/>
    </row>
    <row r="62" spans="1:40" s="1348" customFormat="1" ht="24">
      <c r="A62" s="1048" t="s">
        <v>1015</v>
      </c>
      <c r="B62" s="2259">
        <f>估价对象房地状况!C24</f>
        <v>0</v>
      </c>
      <c r="C62" s="1035" t="s">
        <v>3042</v>
      </c>
      <c r="D62" s="3484">
        <f t="shared" si="15"/>
        <v>2.4000000000000002E-3</v>
      </c>
      <c r="E62" s="2290"/>
      <c r="F62" s="2288"/>
      <c r="G62" s="2266">
        <f t="shared" si="19"/>
        <v>2.4000000000000002E-3</v>
      </c>
      <c r="H62" s="2267">
        <f t="shared" si="20"/>
        <v>2.4000000000000002E-3</v>
      </c>
      <c r="I62" s="2286">
        <v>0.05</v>
      </c>
      <c r="J62" s="3483">
        <f t="shared" si="16"/>
        <v>4.8000000000000004E-3</v>
      </c>
      <c r="K62" s="3483">
        <f t="shared" si="17"/>
        <v>2.4000000000000002E-3</v>
      </c>
      <c r="L62" s="3483">
        <v>0</v>
      </c>
      <c r="M62" s="3483">
        <f t="shared" si="18"/>
        <v>-2.4000000000000002E-3</v>
      </c>
      <c r="N62" s="3483">
        <f t="shared" si="18"/>
        <v>-4.8000000000000004E-3</v>
      </c>
      <c r="P62" s="2073"/>
      <c r="Q62" s="2073"/>
      <c r="R62" s="2074"/>
      <c r="S62" s="2074"/>
      <c r="T62" s="2074"/>
      <c r="U62" s="2074"/>
      <c r="V62" s="2074"/>
      <c r="W62" s="2073"/>
      <c r="X62" s="2073"/>
      <c r="Y62" s="2073"/>
      <c r="Z62" s="2073"/>
      <c r="AA62" s="2073"/>
      <c r="AB62" s="2073"/>
      <c r="AC62" s="2073"/>
      <c r="AD62" s="2074"/>
      <c r="AE62" s="1349"/>
      <c r="AF62" s="1349"/>
      <c r="AG62" s="1349"/>
      <c r="AH62" s="1349"/>
      <c r="AI62" s="1349"/>
      <c r="AJ62" s="1349"/>
      <c r="AK62" s="1349"/>
      <c r="AL62" s="1349"/>
      <c r="AM62" s="1349"/>
      <c r="AN62" s="1349"/>
    </row>
    <row r="63" spans="1:40" s="1348" customFormat="1" ht="24">
      <c r="A63" s="1048" t="s">
        <v>1016</v>
      </c>
      <c r="B63" s="2778" t="s">
        <v>2900</v>
      </c>
      <c r="C63" s="1035" t="s">
        <v>3042</v>
      </c>
      <c r="D63" s="3484">
        <f t="shared" si="15"/>
        <v>2.4000000000000002E-3</v>
      </c>
      <c r="E63" s="2290"/>
      <c r="F63" s="2288"/>
      <c r="G63" s="2266">
        <f t="shared" si="19"/>
        <v>2.4000000000000002E-3</v>
      </c>
      <c r="H63" s="2267">
        <f t="shared" si="20"/>
        <v>2.4000000000000002E-3</v>
      </c>
      <c r="I63" s="2286">
        <v>0.05</v>
      </c>
      <c r="J63" s="3483">
        <f t="shared" si="16"/>
        <v>4.8000000000000004E-3</v>
      </c>
      <c r="K63" s="3483">
        <f t="shared" si="17"/>
        <v>2.4000000000000002E-3</v>
      </c>
      <c r="L63" s="3483">
        <v>0</v>
      </c>
      <c r="M63" s="3483">
        <f t="shared" si="18"/>
        <v>-2.4000000000000002E-3</v>
      </c>
      <c r="N63" s="3483">
        <f t="shared" si="18"/>
        <v>-4.8000000000000004E-3</v>
      </c>
      <c r="P63" s="2073"/>
      <c r="Q63" s="2073"/>
      <c r="R63" s="2074"/>
      <c r="S63" s="2074"/>
      <c r="T63" s="2074"/>
      <c r="U63" s="2074"/>
      <c r="V63" s="2074"/>
      <c r="W63" s="2073"/>
      <c r="X63" s="2073"/>
      <c r="Y63" s="2073"/>
      <c r="Z63" s="2073"/>
      <c r="AA63" s="2073"/>
      <c r="AB63" s="2073"/>
      <c r="AC63" s="2073"/>
      <c r="AD63" s="2074"/>
      <c r="AE63" s="1349"/>
      <c r="AF63" s="1349"/>
      <c r="AG63" s="1349"/>
      <c r="AH63" s="1349"/>
      <c r="AI63" s="1349"/>
      <c r="AJ63" s="1349"/>
      <c r="AK63" s="1349"/>
      <c r="AL63" s="1349"/>
      <c r="AM63" s="1349"/>
      <c r="AN63" s="1349"/>
    </row>
    <row r="64" spans="1:40" s="1348" customFormat="1" ht="173.1" customHeight="1">
      <c r="A64" s="1048" t="s">
        <v>1017</v>
      </c>
      <c r="B64"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64" s="1035" t="s">
        <v>3042</v>
      </c>
      <c r="D64" s="3484">
        <f t="shared" si="15"/>
        <v>2.8799999999999997E-3</v>
      </c>
      <c r="E64" s="2290"/>
      <c r="F64" s="2288"/>
      <c r="G64" s="2266">
        <f t="shared" si="19"/>
        <v>2.8799999999999997E-3</v>
      </c>
      <c r="H64" s="2267">
        <f t="shared" si="20"/>
        <v>2.8799999999999997E-3</v>
      </c>
      <c r="I64" s="2286">
        <v>0.06</v>
      </c>
      <c r="J64" s="3483">
        <f t="shared" si="16"/>
        <v>5.7599999999999995E-3</v>
      </c>
      <c r="K64" s="3483">
        <f t="shared" si="17"/>
        <v>2.8799999999999997E-3</v>
      </c>
      <c r="L64" s="3483">
        <v>0</v>
      </c>
      <c r="M64" s="3483">
        <f t="shared" si="18"/>
        <v>-2.8799999999999997E-3</v>
      </c>
      <c r="N64" s="3483">
        <f t="shared" si="18"/>
        <v>-5.7599999999999995E-3</v>
      </c>
      <c r="P64" s="2073"/>
      <c r="Q64" s="2073"/>
      <c r="R64" s="2074"/>
      <c r="S64" s="2074"/>
      <c r="T64" s="2074"/>
      <c r="U64" s="2074"/>
      <c r="V64" s="2074"/>
      <c r="W64" s="2073"/>
      <c r="X64" s="2073"/>
      <c r="Y64" s="2073"/>
      <c r="Z64" s="2073"/>
      <c r="AA64" s="2073"/>
      <c r="AB64" s="2073"/>
      <c r="AC64" s="2073"/>
      <c r="AD64" s="2074"/>
      <c r="AE64" s="1349"/>
      <c r="AF64" s="1349"/>
      <c r="AG64" s="1349"/>
      <c r="AH64" s="1349"/>
      <c r="AI64" s="1349"/>
      <c r="AJ64" s="1349"/>
      <c r="AK64" s="1349"/>
      <c r="AL64" s="1349"/>
      <c r="AM64" s="1349"/>
      <c r="AN64" s="1349"/>
    </row>
    <row r="65" spans="1:40" s="1348" customFormat="1" ht="24">
      <c r="A65" s="1048" t="s">
        <v>1018</v>
      </c>
      <c r="B65" s="2260" t="str">
        <f>估价对象房地状况!C22</f>
        <v>七通</v>
      </c>
      <c r="C65" s="1035" t="s">
        <v>3041</v>
      </c>
      <c r="D65" s="3484">
        <f t="shared" si="15"/>
        <v>1.1519999999999999E-2</v>
      </c>
      <c r="E65" s="2290"/>
      <c r="F65" s="2288"/>
      <c r="G65" s="2266">
        <f t="shared" si="19"/>
        <v>5.7599999999999995E-3</v>
      </c>
      <c r="H65" s="2267">
        <f t="shared" si="20"/>
        <v>5.7599999999999995E-3</v>
      </c>
      <c r="I65" s="2286">
        <v>0.12</v>
      </c>
      <c r="J65" s="3483">
        <f t="shared" si="16"/>
        <v>1.1519999999999999E-2</v>
      </c>
      <c r="K65" s="3483">
        <f t="shared" si="17"/>
        <v>5.7599999999999995E-3</v>
      </c>
      <c r="L65" s="3483">
        <v>0</v>
      </c>
      <c r="M65" s="3483">
        <f t="shared" si="18"/>
        <v>-5.7599999999999995E-3</v>
      </c>
      <c r="N65" s="3483">
        <f t="shared" si="18"/>
        <v>-1.1519999999999999E-2</v>
      </c>
      <c r="P65" s="2073"/>
      <c r="Q65" s="2073"/>
      <c r="R65" s="2074"/>
      <c r="S65" s="2074"/>
      <c r="T65" s="2074"/>
      <c r="U65" s="2074"/>
      <c r="V65" s="2074"/>
      <c r="W65" s="2073"/>
      <c r="X65" s="2073"/>
      <c r="Y65" s="2073"/>
      <c r="Z65" s="2073"/>
      <c r="AA65" s="2073"/>
      <c r="AB65" s="2073"/>
      <c r="AC65" s="2073"/>
      <c r="AD65" s="2074"/>
      <c r="AE65" s="1349"/>
      <c r="AF65" s="1349"/>
      <c r="AG65" s="1349"/>
      <c r="AH65" s="1349"/>
      <c r="AI65" s="1349"/>
      <c r="AJ65" s="1349"/>
      <c r="AK65" s="1349"/>
      <c r="AL65" s="1349"/>
      <c r="AM65" s="1349"/>
      <c r="AN65" s="1349"/>
    </row>
    <row r="66" spans="1:40" s="1348" customFormat="1" ht="92.1" customHeight="1" thickBot="1">
      <c r="A66" s="2292" t="s">
        <v>1019</v>
      </c>
      <c r="B66" s="2264" t="str">
        <f>估价对象房地状况!C20</f>
        <v>区域自然环境：百望山、药用植物园、百旺公园、首师大附中口袋公园、中关村公园、小关村公园、京密引水渠等；人文环境：西北旺镇政府；综合评价环境状况较好</v>
      </c>
      <c r="C66" s="1035" t="s">
        <v>3041</v>
      </c>
      <c r="D66" s="3484">
        <f t="shared" si="15"/>
        <v>5.7599999999999995E-3</v>
      </c>
      <c r="E66" s="2294"/>
      <c r="F66" s="2288"/>
      <c r="G66" s="2266">
        <f t="shared" si="19"/>
        <v>2.8799999999999997E-3</v>
      </c>
      <c r="H66" s="2267">
        <f t="shared" si="20"/>
        <v>2.8799999999999997E-3</v>
      </c>
      <c r="I66" s="2293">
        <v>0.06</v>
      </c>
      <c r="J66" s="3483">
        <f t="shared" si="16"/>
        <v>5.7599999999999995E-3</v>
      </c>
      <c r="K66" s="3483">
        <f t="shared" si="17"/>
        <v>2.8799999999999997E-3</v>
      </c>
      <c r="L66" s="3483">
        <v>0</v>
      </c>
      <c r="M66" s="3483">
        <f t="shared" si="18"/>
        <v>-2.8799999999999997E-3</v>
      </c>
      <c r="N66" s="3483">
        <f t="shared" si="18"/>
        <v>-5.7599999999999995E-3</v>
      </c>
      <c r="P66" s="2073"/>
      <c r="Q66" s="2073"/>
      <c r="R66" s="2074"/>
      <c r="S66" s="2074"/>
      <c r="T66" s="2074"/>
      <c r="U66" s="2074"/>
      <c r="V66" s="2074"/>
      <c r="W66" s="2073"/>
      <c r="X66" s="2073"/>
      <c r="Y66" s="2073"/>
      <c r="Z66" s="2073"/>
      <c r="AA66" s="2073"/>
      <c r="AB66" s="2073"/>
      <c r="AC66" s="2073"/>
      <c r="AD66" s="2074"/>
      <c r="AE66" s="1349"/>
      <c r="AF66" s="1349"/>
      <c r="AG66" s="1349"/>
      <c r="AH66" s="1349"/>
      <c r="AI66" s="1349"/>
      <c r="AJ66" s="1349"/>
      <c r="AK66" s="1349"/>
      <c r="AL66" s="1349"/>
      <c r="AM66" s="1349"/>
      <c r="AN66" s="1349"/>
    </row>
    <row r="67" spans="1:40" s="1348" customFormat="1" ht="15">
      <c r="A67" s="2275" t="s">
        <v>893</v>
      </c>
      <c r="B67" s="2276">
        <f>1+E69</f>
        <v>1</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9"/>
      <c r="AF67" s="1349"/>
      <c r="AG67" s="1349"/>
      <c r="AH67" s="1349"/>
      <c r="AI67" s="1349"/>
      <c r="AJ67" s="1349"/>
      <c r="AK67" s="1349"/>
      <c r="AL67" s="1349"/>
      <c r="AM67" s="1349"/>
      <c r="AN67" s="1349"/>
    </row>
    <row r="68" spans="1:40" s="1348" customFormat="1" ht="24">
      <c r="A68" s="1048" t="s">
        <v>999</v>
      </c>
      <c r="B68" s="2259"/>
      <c r="C68" s="2281" t="s">
        <v>1001</v>
      </c>
      <c r="D68" s="2282" t="s">
        <v>1002</v>
      </c>
      <c r="E68" s="2283" t="s">
        <v>1004</v>
      </c>
      <c r="F68" s="2284" t="s">
        <v>2238</v>
      </c>
      <c r="G68" s="2282" t="s">
        <v>1005</v>
      </c>
      <c r="H68" s="2265" t="s">
        <v>2402</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9"/>
      <c r="AF68" s="1349"/>
      <c r="AG68" s="1349"/>
      <c r="AH68" s="1349"/>
      <c r="AI68" s="1349"/>
      <c r="AJ68" s="1349"/>
      <c r="AK68" s="1349"/>
      <c r="AL68" s="1349"/>
      <c r="AM68" s="1349"/>
      <c r="AN68" s="1349"/>
    </row>
    <row r="69" spans="1:40" s="1348" customFormat="1" ht="48">
      <c r="A69" s="1048" t="s">
        <v>1023</v>
      </c>
      <c r="B69" s="2262" t="str">
        <f>估价对象房地状况!C15</f>
        <v>估价对象周边居住用地比例、居住小区规模和社区发展完善程度，综合评价居住社区成熟度一般</v>
      </c>
      <c r="C69" s="1140"/>
      <c r="D69" s="2268">
        <f t="shared" ref="D69:D77" si="21">SUMIF($J$68:$N$68,C69,J69:N69)</f>
        <v>0</v>
      </c>
      <c r="E69" s="2287">
        <f>ROUND(SUM(D69:D77),4)</f>
        <v>0</v>
      </c>
      <c r="F69" s="2288" t="str">
        <f>IF(E2="住宅",SUMIF(L1:L12,G2,N1:N12),"——")</f>
        <v>——</v>
      </c>
      <c r="G69" s="2269"/>
      <c r="H69" s="2312" t="str">
        <f t="shared" ref="H69:H77" si="22">IFERROR(ROUNDDOWN($F$69*I69/2,4),"——")</f>
        <v>——</v>
      </c>
      <c r="I69" s="2286">
        <v>0.14000000000000001</v>
      </c>
      <c r="J69" s="2289">
        <f t="shared" ref="J69:J77" si="23">K69+$G69</f>
        <v>0</v>
      </c>
      <c r="K69" s="2289">
        <f t="shared" ref="K69:K77" si="24">$L69+$G69</f>
        <v>0</v>
      </c>
      <c r="L69" s="2289">
        <v>0</v>
      </c>
      <c r="M69" s="2289">
        <f t="shared" ref="M69:N77" si="25">L69-$G69</f>
        <v>0</v>
      </c>
      <c r="N69" s="2289">
        <f t="shared" si="25"/>
        <v>0</v>
      </c>
      <c r="P69" s="2073"/>
      <c r="Q69" s="2073"/>
      <c r="R69" s="2074"/>
      <c r="S69" s="2074"/>
      <c r="T69" s="2074"/>
      <c r="U69" s="2074"/>
      <c r="V69" s="2074"/>
      <c r="W69" s="2073"/>
      <c r="X69" s="2073"/>
      <c r="Y69" s="2073"/>
      <c r="Z69" s="2073"/>
      <c r="AA69" s="2073"/>
      <c r="AB69" s="2073"/>
      <c r="AC69" s="2073"/>
      <c r="AD69" s="2074"/>
      <c r="AE69" s="1349"/>
      <c r="AF69" s="1349"/>
      <c r="AG69" s="1349"/>
      <c r="AH69" s="1349"/>
      <c r="AI69" s="1349"/>
      <c r="AJ69" s="1349"/>
      <c r="AK69" s="1349"/>
      <c r="AL69" s="1349"/>
      <c r="AM69" s="1349"/>
      <c r="AN69" s="1349"/>
    </row>
    <row r="70" spans="1:40" s="1348" customFormat="1" ht="84">
      <c r="A70" s="1048" t="s">
        <v>1012</v>
      </c>
      <c r="B70" s="2259" t="str">
        <f>估价对象房地状况!C18</f>
        <v>紧邻地铁16号线（西北旺站），周边有333路、384路、438路、570路、575路、623路、902路、908路、909路、快速直达专线152路、专143路等多条公交线路，交通便捷度好</v>
      </c>
      <c r="C70" s="1140"/>
      <c r="D70" s="2268">
        <f t="shared" si="21"/>
        <v>0</v>
      </c>
      <c r="E70" s="2296"/>
      <c r="F70" s="2297"/>
      <c r="G70" s="2269"/>
      <c r="H70" s="2312" t="str">
        <f t="shared" si="22"/>
        <v>——</v>
      </c>
      <c r="I70" s="2286">
        <v>0.3</v>
      </c>
      <c r="J70" s="2289">
        <f t="shared" si="23"/>
        <v>0</v>
      </c>
      <c r="K70" s="2289">
        <f t="shared" si="24"/>
        <v>0</v>
      </c>
      <c r="L70" s="2289">
        <v>0</v>
      </c>
      <c r="M70" s="2289">
        <f t="shared" si="25"/>
        <v>0</v>
      </c>
      <c r="N70" s="2289">
        <f t="shared" si="25"/>
        <v>0</v>
      </c>
      <c r="P70" s="2073"/>
      <c r="Q70" s="2073"/>
      <c r="R70" s="2074"/>
      <c r="S70" s="2074"/>
      <c r="T70" s="2074"/>
      <c r="U70" s="2074"/>
      <c r="V70" s="2074"/>
      <c r="W70" s="2073"/>
      <c r="X70" s="2073"/>
      <c r="Y70" s="2073"/>
      <c r="Z70" s="2073"/>
      <c r="AA70" s="2073"/>
      <c r="AB70" s="2073"/>
      <c r="AC70" s="2073"/>
      <c r="AD70" s="2074"/>
      <c r="AE70" s="1349"/>
      <c r="AF70" s="1349"/>
      <c r="AG70" s="1349"/>
      <c r="AH70" s="1349"/>
      <c r="AI70" s="1349"/>
      <c r="AJ70" s="1349"/>
      <c r="AK70" s="1349"/>
      <c r="AL70" s="1349"/>
      <c r="AM70" s="1349"/>
      <c r="AN70" s="1349"/>
    </row>
    <row r="71" spans="1:40" s="1348" customFormat="1" ht="24">
      <c r="A71" s="1048" t="s">
        <v>1013</v>
      </c>
      <c r="B71" s="2259">
        <f>估价对象房地状况!C19</f>
        <v>0</v>
      </c>
      <c r="C71" s="1140"/>
      <c r="D71" s="2268">
        <f t="shared" si="21"/>
        <v>0</v>
      </c>
      <c r="E71" s="2296"/>
      <c r="F71" s="2297"/>
      <c r="G71" s="2269"/>
      <c r="H71" s="2312" t="str">
        <f t="shared" si="22"/>
        <v>——</v>
      </c>
      <c r="I71" s="2286">
        <v>0.08</v>
      </c>
      <c r="J71" s="2289">
        <f t="shared" si="23"/>
        <v>0</v>
      </c>
      <c r="K71" s="2289">
        <f t="shared" si="24"/>
        <v>0</v>
      </c>
      <c r="L71" s="2289">
        <v>0</v>
      </c>
      <c r="M71" s="2289">
        <f t="shared" si="25"/>
        <v>0</v>
      </c>
      <c r="N71" s="2289">
        <f t="shared" si="25"/>
        <v>0</v>
      </c>
      <c r="P71" s="2073"/>
      <c r="Q71" s="2073"/>
      <c r="R71" s="2074"/>
      <c r="S71" s="2074"/>
      <c r="T71" s="2074"/>
      <c r="U71" s="2074"/>
      <c r="V71" s="2074"/>
      <c r="W71" s="2073"/>
      <c r="X71" s="2073"/>
      <c r="Y71" s="2073"/>
      <c r="Z71" s="2073"/>
      <c r="AA71" s="2073"/>
      <c r="AB71" s="2073"/>
      <c r="AC71" s="2073"/>
      <c r="AD71" s="2074"/>
      <c r="AE71" s="1349"/>
      <c r="AF71" s="1349"/>
      <c r="AG71" s="1349"/>
      <c r="AH71" s="1349"/>
      <c r="AI71" s="1349"/>
      <c r="AJ71" s="1349"/>
      <c r="AK71" s="1349"/>
      <c r="AL71" s="1349"/>
      <c r="AM71" s="1349"/>
      <c r="AN71" s="1349"/>
    </row>
    <row r="72" spans="1:40" s="1348" customFormat="1" ht="14.25">
      <c r="A72" s="1048" t="s">
        <v>1025</v>
      </c>
      <c r="B72" s="2259">
        <f>估价对象房地状况!C24</f>
        <v>0</v>
      </c>
      <c r="C72" s="1140"/>
      <c r="D72" s="2268">
        <f t="shared" si="21"/>
        <v>0</v>
      </c>
      <c r="E72" s="2296"/>
      <c r="F72" s="2297"/>
      <c r="G72" s="2269"/>
      <c r="H72" s="2312" t="str">
        <f t="shared" si="22"/>
        <v>——</v>
      </c>
      <c r="I72" s="2286">
        <v>0.04</v>
      </c>
      <c r="J72" s="2289">
        <f t="shared" si="23"/>
        <v>0</v>
      </c>
      <c r="K72" s="2289">
        <f t="shared" si="24"/>
        <v>0</v>
      </c>
      <c r="L72" s="2289">
        <v>0</v>
      </c>
      <c r="M72" s="2289">
        <f t="shared" si="25"/>
        <v>0</v>
      </c>
      <c r="N72" s="2289">
        <f t="shared" si="25"/>
        <v>0</v>
      </c>
      <c r="P72" s="2073"/>
      <c r="Q72" s="2073"/>
      <c r="R72" s="2074"/>
      <c r="S72" s="2074"/>
      <c r="T72" s="2074"/>
      <c r="U72" s="2074"/>
      <c r="V72" s="2074"/>
      <c r="W72" s="2073"/>
      <c r="X72" s="2073"/>
      <c r="Y72" s="2073"/>
      <c r="Z72" s="2073"/>
      <c r="AA72" s="2073"/>
      <c r="AB72" s="2073"/>
      <c r="AC72" s="2073"/>
      <c r="AD72" s="2074"/>
      <c r="AE72" s="1349"/>
      <c r="AF72" s="1349"/>
      <c r="AG72" s="1349"/>
      <c r="AH72" s="1349"/>
      <c r="AI72" s="1349"/>
      <c r="AJ72" s="1349"/>
      <c r="AK72" s="1349"/>
      <c r="AL72" s="1349"/>
      <c r="AM72" s="1349"/>
      <c r="AN72" s="1349"/>
    </row>
    <row r="73" spans="1:40" s="1348" customFormat="1" ht="144">
      <c r="A73" s="1048" t="s">
        <v>1017</v>
      </c>
      <c r="B7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73" s="1140"/>
      <c r="D73" s="2268">
        <f t="shared" si="21"/>
        <v>0</v>
      </c>
      <c r="E73" s="2296"/>
      <c r="F73" s="2297"/>
      <c r="G73" s="2269"/>
      <c r="H73" s="2312" t="str">
        <f t="shared" si="22"/>
        <v>——</v>
      </c>
      <c r="I73" s="2286">
        <v>0.08</v>
      </c>
      <c r="J73" s="2289">
        <f t="shared" si="23"/>
        <v>0</v>
      </c>
      <c r="K73" s="2289">
        <f t="shared" si="24"/>
        <v>0</v>
      </c>
      <c r="L73" s="2289">
        <v>0</v>
      </c>
      <c r="M73" s="2289">
        <f t="shared" si="25"/>
        <v>0</v>
      </c>
      <c r="N73" s="2289">
        <f t="shared" si="25"/>
        <v>0</v>
      </c>
      <c r="P73" s="2073"/>
      <c r="Q73" s="2073"/>
      <c r="R73" s="2074"/>
      <c r="S73" s="2074"/>
      <c r="T73" s="2074"/>
      <c r="U73" s="2074"/>
      <c r="V73" s="2074"/>
      <c r="W73" s="2073"/>
      <c r="X73" s="2073"/>
      <c r="Y73" s="2073"/>
      <c r="Z73" s="2073"/>
      <c r="AA73" s="2073"/>
      <c r="AB73" s="2073"/>
      <c r="AC73" s="2073"/>
      <c r="AD73" s="2074"/>
      <c r="AE73" s="1349"/>
      <c r="AF73" s="1349"/>
      <c r="AG73" s="1349"/>
      <c r="AH73" s="1349"/>
      <c r="AI73" s="1349"/>
      <c r="AJ73" s="1349"/>
      <c r="AK73" s="1349"/>
      <c r="AL73" s="1349"/>
      <c r="AM73" s="1349"/>
      <c r="AN73" s="1349"/>
    </row>
    <row r="74" spans="1:40" s="1348" customFormat="1" ht="24">
      <c r="A74" s="1048" t="s">
        <v>1018</v>
      </c>
      <c r="B74" s="2260" t="str">
        <f>估价对象房地状况!C22</f>
        <v>七通</v>
      </c>
      <c r="C74" s="1140"/>
      <c r="D74" s="2268">
        <f t="shared" si="21"/>
        <v>0</v>
      </c>
      <c r="E74" s="2296"/>
      <c r="F74" s="2297"/>
      <c r="G74" s="2269"/>
      <c r="H74" s="2312" t="str">
        <f t="shared" si="22"/>
        <v>——</v>
      </c>
      <c r="I74" s="2286">
        <v>0.12</v>
      </c>
      <c r="J74" s="2289">
        <f t="shared" si="23"/>
        <v>0</v>
      </c>
      <c r="K74" s="2289">
        <f t="shared" si="24"/>
        <v>0</v>
      </c>
      <c r="L74" s="2289">
        <v>0</v>
      </c>
      <c r="M74" s="2289">
        <f t="shared" si="25"/>
        <v>0</v>
      </c>
      <c r="N74" s="2289">
        <f t="shared" si="25"/>
        <v>0</v>
      </c>
      <c r="P74" s="2073"/>
      <c r="Q74" s="2073"/>
      <c r="R74" s="2074"/>
      <c r="S74" s="2074"/>
      <c r="T74" s="2074"/>
      <c r="U74" s="2074"/>
      <c r="V74" s="2074"/>
      <c r="W74" s="2073"/>
      <c r="X74" s="2073"/>
      <c r="Y74" s="2073"/>
      <c r="Z74" s="2073"/>
      <c r="AA74" s="2073"/>
      <c r="AB74" s="2073"/>
      <c r="AC74" s="2073"/>
      <c r="AD74" s="2074"/>
      <c r="AE74" s="1349"/>
      <c r="AF74" s="1349"/>
      <c r="AG74" s="1349"/>
      <c r="AH74" s="1349"/>
      <c r="AI74" s="1349"/>
      <c r="AJ74" s="1349"/>
      <c r="AK74" s="1349"/>
      <c r="AL74" s="1349"/>
      <c r="AM74" s="1349"/>
      <c r="AN74" s="1349"/>
    </row>
    <row r="75" spans="1:40" s="1348" customFormat="1" ht="24">
      <c r="A75" s="1048" t="s">
        <v>1016</v>
      </c>
      <c r="B75" s="2778" t="s">
        <v>2900</v>
      </c>
      <c r="C75" s="1140"/>
      <c r="D75" s="2268">
        <f t="shared" si="21"/>
        <v>0</v>
      </c>
      <c r="E75" s="2296"/>
      <c r="F75" s="2297"/>
      <c r="G75" s="2269"/>
      <c r="H75" s="2312" t="str">
        <f t="shared" si="22"/>
        <v>——</v>
      </c>
      <c r="I75" s="2286">
        <v>0.05</v>
      </c>
      <c r="J75" s="2289">
        <f t="shared" si="23"/>
        <v>0</v>
      </c>
      <c r="K75" s="2289">
        <f t="shared" si="24"/>
        <v>0</v>
      </c>
      <c r="L75" s="2289">
        <v>0</v>
      </c>
      <c r="M75" s="2289">
        <f t="shared" si="25"/>
        <v>0</v>
      </c>
      <c r="N75" s="2289">
        <f t="shared" si="25"/>
        <v>0</v>
      </c>
      <c r="P75" s="2073"/>
      <c r="Q75" s="2073"/>
      <c r="R75" s="2074"/>
      <c r="S75" s="2074"/>
      <c r="T75" s="2074"/>
      <c r="U75" s="2074"/>
      <c r="V75" s="2074"/>
      <c r="W75" s="2073"/>
      <c r="X75" s="2073"/>
      <c r="Y75" s="2073"/>
      <c r="Z75" s="2073"/>
      <c r="AA75" s="2073"/>
      <c r="AB75" s="2073"/>
      <c r="AC75" s="2073"/>
      <c r="AD75" s="2074"/>
      <c r="AE75" s="1349"/>
      <c r="AF75" s="1349"/>
      <c r="AG75" s="1349"/>
      <c r="AH75" s="1349"/>
      <c r="AI75" s="1349"/>
      <c r="AJ75" s="1349"/>
      <c r="AK75" s="1349"/>
      <c r="AL75" s="1349"/>
      <c r="AM75" s="1349"/>
      <c r="AN75" s="1349"/>
    </row>
    <row r="76" spans="1:40" ht="125.1" customHeight="1">
      <c r="A76" s="1048" t="s">
        <v>1019</v>
      </c>
      <c r="B76" s="2262" t="str">
        <f>估价对象房地状况!C20</f>
        <v>区域自然环境：百望山、药用植物园、百旺公园、首师大附中口袋公园、中关村公园、小关村公园、京密引水渠等；人文环境：西北旺镇政府；综合评价环境状况较好</v>
      </c>
      <c r="C76" s="1140"/>
      <c r="D76" s="2268">
        <f t="shared" si="21"/>
        <v>0</v>
      </c>
      <c r="E76" s="2296"/>
      <c r="F76" s="2297"/>
      <c r="G76" s="2269"/>
      <c r="H76" s="2312" t="str">
        <f t="shared" si="22"/>
        <v>——</v>
      </c>
      <c r="I76" s="2286">
        <v>0.15</v>
      </c>
      <c r="J76" s="2289">
        <f t="shared" si="23"/>
        <v>0</v>
      </c>
      <c r="K76" s="2289">
        <f t="shared" si="24"/>
        <v>0</v>
      </c>
      <c r="L76" s="2289">
        <v>0</v>
      </c>
      <c r="M76" s="2289">
        <f t="shared" si="25"/>
        <v>0</v>
      </c>
      <c r="N76" s="2289">
        <f t="shared" si="25"/>
        <v>0</v>
      </c>
      <c r="P76" s="2076"/>
      <c r="Q76" s="2076"/>
      <c r="R76" s="2077"/>
      <c r="S76" s="2077"/>
      <c r="T76" s="2077"/>
      <c r="U76" s="2077"/>
      <c r="V76" s="2077"/>
      <c r="W76" s="2076"/>
      <c r="X76" s="2076"/>
      <c r="Y76" s="2076"/>
      <c r="Z76" s="2076"/>
      <c r="AA76" s="2076"/>
      <c r="AB76" s="2076"/>
      <c r="AC76" s="2076"/>
      <c r="AD76" s="2077"/>
      <c r="AJ76" s="1349"/>
      <c r="AN76" s="1350"/>
    </row>
    <row r="77" spans="1:40" ht="24.75" thickBot="1">
      <c r="A77" s="2292" t="s">
        <v>1026</v>
      </c>
      <c r="B77" s="1760"/>
      <c r="C77" s="1140"/>
      <c r="D77" s="2268">
        <f t="shared" si="21"/>
        <v>0</v>
      </c>
      <c r="E77" s="2298"/>
      <c r="F77" s="2297"/>
      <c r="G77" s="2269"/>
      <c r="H77" s="2312" t="str">
        <f t="shared" si="22"/>
        <v>——</v>
      </c>
      <c r="I77" s="2293">
        <v>0.04</v>
      </c>
      <c r="J77" s="2289">
        <f t="shared" si="23"/>
        <v>0</v>
      </c>
      <c r="K77" s="2289">
        <f t="shared" si="24"/>
        <v>0</v>
      </c>
      <c r="L77" s="2289">
        <v>0</v>
      </c>
      <c r="M77" s="2289">
        <f t="shared" si="25"/>
        <v>0</v>
      </c>
      <c r="N77" s="2289">
        <f t="shared" si="25"/>
        <v>0</v>
      </c>
      <c r="AC77" s="1351"/>
      <c r="AD77" s="1350"/>
      <c r="AJ77" s="1349"/>
      <c r="AN77" s="1350"/>
    </row>
    <row r="78" spans="1:40" ht="15">
      <c r="A78" s="2275" t="s">
        <v>976</v>
      </c>
      <c r="B78" s="2276">
        <f>1+E80</f>
        <v>1</v>
      </c>
      <c r="C78" s="2295"/>
      <c r="D78" s="2278"/>
      <c r="E78" s="2279"/>
      <c r="F78" s="2280"/>
      <c r="G78" s="2274"/>
      <c r="H78" s="2274"/>
      <c r="I78" s="2274"/>
      <c r="J78" s="1047"/>
      <c r="K78" s="1047"/>
      <c r="L78" s="1047"/>
      <c r="M78" s="1047"/>
      <c r="N78" s="1047"/>
      <c r="AC78" s="1351"/>
      <c r="AD78" s="1350"/>
      <c r="AJ78" s="1349"/>
      <c r="AN78" s="1350"/>
    </row>
    <row r="79" spans="1:40" ht="24">
      <c r="A79" s="1048" t="s">
        <v>999</v>
      </c>
      <c r="B79" s="2259"/>
      <c r="C79" s="2281" t="s">
        <v>1001</v>
      </c>
      <c r="D79" s="2282" t="s">
        <v>1002</v>
      </c>
      <c r="E79" s="2283" t="s">
        <v>1004</v>
      </c>
      <c r="F79" s="2284" t="s">
        <v>2238</v>
      </c>
      <c r="G79" s="2282" t="s">
        <v>1005</v>
      </c>
      <c r="H79" s="2265" t="s">
        <v>2402</v>
      </c>
      <c r="I79" s="2282" t="s">
        <v>1003</v>
      </c>
      <c r="J79" s="2285" t="s">
        <v>1006</v>
      </c>
      <c r="K79" s="2285" t="s">
        <v>1007</v>
      </c>
      <c r="L79" s="2285" t="s">
        <v>1008</v>
      </c>
      <c r="M79" s="2285" t="s">
        <v>1009</v>
      </c>
      <c r="N79" s="2285" t="s">
        <v>1010</v>
      </c>
      <c r="AC79" s="1351"/>
      <c r="AD79" s="1350"/>
      <c r="AJ79" s="1349"/>
      <c r="AN79" s="1350"/>
    </row>
    <row r="80" spans="1:40" ht="36">
      <c r="A80" s="1048" t="s">
        <v>1028</v>
      </c>
      <c r="B80" s="2259" t="str">
        <f>估价对象房地状况!G15</f>
        <v>估价对象位于XX开发区，园区建设成熟度XX，产业集聚程度XX</v>
      </c>
      <c r="C80" s="1035"/>
      <c r="D80" s="2268">
        <f t="shared" ref="D80:D87" si="26">SUMIF($J$79:$N$79,C80,J80:N80)</f>
        <v>0</v>
      </c>
      <c r="E80" s="2287">
        <f>ROUND(SUM(D80:D87),4)</f>
        <v>0</v>
      </c>
      <c r="F80" s="2288" t="str">
        <f>IF(E2="工业",SUMIF(L1:L12,G2,N1:N12),"——")</f>
        <v>——</v>
      </c>
      <c r="G80" s="2266"/>
      <c r="H80" s="2311" t="str">
        <f t="shared" ref="H80:H87" si="27">IFERROR(ROUNDDOWN($F$80*I80/2,4),"——")</f>
        <v>——</v>
      </c>
      <c r="I80" s="2286">
        <v>0.26</v>
      </c>
      <c r="J80" s="2289">
        <f t="shared" ref="J80:J87" si="28">K80+$G80</f>
        <v>0</v>
      </c>
      <c r="K80" s="2289">
        <f t="shared" ref="K80:K87" si="29">$L80+$G80</f>
        <v>0</v>
      </c>
      <c r="L80" s="2289">
        <v>0</v>
      </c>
      <c r="M80" s="2289">
        <f t="shared" ref="M80:N87" si="30">L80-$G80</f>
        <v>0</v>
      </c>
      <c r="N80" s="2289">
        <f t="shared" si="30"/>
        <v>0</v>
      </c>
      <c r="AC80" s="1351"/>
      <c r="AD80" s="1350"/>
      <c r="AJ80" s="1349"/>
      <c r="AN80" s="1350"/>
    </row>
    <row r="81" spans="1:40" ht="48">
      <c r="A81" s="1048" t="s">
        <v>1012</v>
      </c>
      <c r="B81" s="2259" t="str">
        <f>估价对象房地状况!G16</f>
        <v>估价对象周边道路状况、公共交通通达情况、停车便捷程度，综合评价交通便捷度较好</v>
      </c>
      <c r="C81" s="1035"/>
      <c r="D81" s="2268">
        <f t="shared" si="26"/>
        <v>0</v>
      </c>
      <c r="E81" s="2296"/>
      <c r="F81" s="2297"/>
      <c r="G81" s="2266"/>
      <c r="H81" s="2311" t="str">
        <f t="shared" si="27"/>
        <v>——</v>
      </c>
      <c r="I81" s="2286">
        <v>0.33</v>
      </c>
      <c r="J81" s="2289">
        <f t="shared" si="28"/>
        <v>0</v>
      </c>
      <c r="K81" s="2289">
        <f t="shared" si="29"/>
        <v>0</v>
      </c>
      <c r="L81" s="2289">
        <v>0</v>
      </c>
      <c r="M81" s="2289">
        <f t="shared" si="30"/>
        <v>0</v>
      </c>
      <c r="N81" s="2289">
        <f t="shared" si="30"/>
        <v>0</v>
      </c>
      <c r="AC81" s="1351"/>
      <c r="AD81" s="1350"/>
      <c r="AJ81" s="1349"/>
      <c r="AN81" s="1350"/>
    </row>
    <row r="82" spans="1:40" ht="24">
      <c r="A82" s="1048" t="s">
        <v>1013</v>
      </c>
      <c r="B82" s="2259">
        <f>估价对象房地状况!G17</f>
        <v>0</v>
      </c>
      <c r="C82" s="1035"/>
      <c r="D82" s="2268">
        <f t="shared" si="26"/>
        <v>0</v>
      </c>
      <c r="E82" s="2296"/>
      <c r="F82" s="2297"/>
      <c r="G82" s="2266"/>
      <c r="H82" s="2311" t="str">
        <f t="shared" si="27"/>
        <v>——</v>
      </c>
      <c r="I82" s="2286">
        <v>0.05</v>
      </c>
      <c r="J82" s="2289">
        <f t="shared" si="28"/>
        <v>0</v>
      </c>
      <c r="K82" s="2289">
        <f t="shared" si="29"/>
        <v>0</v>
      </c>
      <c r="L82" s="2289">
        <v>0</v>
      </c>
      <c r="M82" s="2289">
        <f t="shared" si="30"/>
        <v>0</v>
      </c>
      <c r="N82" s="2289">
        <f t="shared" si="30"/>
        <v>0</v>
      </c>
      <c r="AC82" s="1351"/>
      <c r="AD82" s="1350"/>
      <c r="AJ82" s="1349"/>
      <c r="AN82" s="1350"/>
    </row>
    <row r="83" spans="1:40" ht="14.25">
      <c r="A83" s="1048" t="s">
        <v>1025</v>
      </c>
      <c r="B83" s="2259">
        <f>估价对象房地状况!G22</f>
        <v>0</v>
      </c>
      <c r="C83" s="1035"/>
      <c r="D83" s="2268">
        <f t="shared" si="26"/>
        <v>0</v>
      </c>
      <c r="E83" s="2296"/>
      <c r="F83" s="2297"/>
      <c r="G83" s="2266"/>
      <c r="H83" s="2311" t="str">
        <f t="shared" si="27"/>
        <v>——</v>
      </c>
      <c r="I83" s="2286">
        <v>0.04</v>
      </c>
      <c r="J83" s="2289">
        <f t="shared" si="28"/>
        <v>0</v>
      </c>
      <c r="K83" s="2289">
        <f t="shared" si="29"/>
        <v>0</v>
      </c>
      <c r="L83" s="2289">
        <v>0</v>
      </c>
      <c r="M83" s="2289">
        <f t="shared" si="30"/>
        <v>0</v>
      </c>
      <c r="N83" s="2289">
        <f t="shared" si="30"/>
        <v>0</v>
      </c>
      <c r="AC83" s="1351"/>
      <c r="AD83" s="1350"/>
      <c r="AJ83" s="1349"/>
      <c r="AN83" s="1350"/>
    </row>
    <row r="84" spans="1:40" ht="24">
      <c r="A84" s="1048" t="s">
        <v>1017</v>
      </c>
      <c r="B84" s="2260" t="str">
        <f>估价对象房地状况!G19</f>
        <v>估价对象所在区域公共配套设施齐备情况</v>
      </c>
      <c r="C84" s="1035"/>
      <c r="D84" s="2268">
        <f t="shared" si="26"/>
        <v>0</v>
      </c>
      <c r="E84" s="2296"/>
      <c r="F84" s="2297"/>
      <c r="G84" s="2266"/>
      <c r="H84" s="2311" t="str">
        <f t="shared" si="27"/>
        <v>——</v>
      </c>
      <c r="I84" s="2286">
        <v>0.06</v>
      </c>
      <c r="J84" s="2289">
        <f t="shared" si="28"/>
        <v>0</v>
      </c>
      <c r="K84" s="2289">
        <f t="shared" si="29"/>
        <v>0</v>
      </c>
      <c r="L84" s="2289">
        <v>0</v>
      </c>
      <c r="M84" s="2289">
        <f t="shared" si="30"/>
        <v>0</v>
      </c>
      <c r="N84" s="2289">
        <f t="shared" si="30"/>
        <v>0</v>
      </c>
      <c r="AC84" s="1351"/>
      <c r="AD84" s="1350"/>
      <c r="AJ84" s="1349"/>
      <c r="AN84" s="1350"/>
    </row>
    <row r="85" spans="1:40" ht="24">
      <c r="A85" s="1048" t="s">
        <v>1018</v>
      </c>
      <c r="B85" s="2260" t="str">
        <f>估价对象房地状况!G20</f>
        <v>估价对象所在区域基础设施水平</v>
      </c>
      <c r="C85" s="1035"/>
      <c r="D85" s="2268">
        <f t="shared" si="26"/>
        <v>0</v>
      </c>
      <c r="E85" s="2296"/>
      <c r="F85" s="2297"/>
      <c r="G85" s="2266"/>
      <c r="H85" s="2311" t="str">
        <f t="shared" si="27"/>
        <v>——</v>
      </c>
      <c r="I85" s="2286">
        <v>0.15</v>
      </c>
      <c r="J85" s="2289">
        <f t="shared" si="28"/>
        <v>0</v>
      </c>
      <c r="K85" s="2289">
        <f t="shared" si="29"/>
        <v>0</v>
      </c>
      <c r="L85" s="2289">
        <v>0</v>
      </c>
      <c r="M85" s="2289">
        <f t="shared" si="30"/>
        <v>0</v>
      </c>
      <c r="N85" s="2289">
        <f t="shared" si="30"/>
        <v>0</v>
      </c>
      <c r="AC85" s="1351"/>
      <c r="AD85" s="1350"/>
      <c r="AJ85" s="1349"/>
      <c r="AN85" s="1350"/>
    </row>
    <row r="86" spans="1:40" ht="24">
      <c r="A86" s="1048" t="s">
        <v>1016</v>
      </c>
      <c r="B86" s="2778" t="s">
        <v>2900</v>
      </c>
      <c r="C86" s="1035"/>
      <c r="D86" s="2268">
        <f t="shared" si="26"/>
        <v>0</v>
      </c>
      <c r="E86" s="2296"/>
      <c r="F86" s="2297"/>
      <c r="G86" s="2266"/>
      <c r="H86" s="2311" t="str">
        <f t="shared" si="27"/>
        <v>——</v>
      </c>
      <c r="I86" s="2286">
        <v>0.05</v>
      </c>
      <c r="J86" s="2289">
        <f t="shared" si="28"/>
        <v>0</v>
      </c>
      <c r="K86" s="2289">
        <f t="shared" si="29"/>
        <v>0</v>
      </c>
      <c r="L86" s="2289">
        <v>0</v>
      </c>
      <c r="M86" s="2289">
        <f t="shared" si="30"/>
        <v>0</v>
      </c>
      <c r="N86" s="2289">
        <f t="shared" si="30"/>
        <v>0</v>
      </c>
      <c r="AC86" s="1351"/>
      <c r="AD86" s="1350"/>
      <c r="AJ86" s="1349"/>
      <c r="AN86" s="1350"/>
    </row>
    <row r="87" spans="1:40" ht="36.75" thickBot="1">
      <c r="A87" s="2292" t="s">
        <v>1029</v>
      </c>
      <c r="B87" s="2261" t="str">
        <f>估价对象房地状况!G18</f>
        <v>该园区内是否有污染型企业，绿化情况，卫生条件，整体环境状况判断</v>
      </c>
      <c r="C87" s="1035"/>
      <c r="D87" s="2268">
        <f t="shared" si="26"/>
        <v>0</v>
      </c>
      <c r="E87" s="2298"/>
      <c r="F87" s="2297"/>
      <c r="G87" s="2266"/>
      <c r="H87" s="2311" t="str">
        <f t="shared" si="27"/>
        <v>——</v>
      </c>
      <c r="I87" s="2293">
        <v>0.06</v>
      </c>
      <c r="J87" s="2289">
        <f t="shared" si="28"/>
        <v>0</v>
      </c>
      <c r="K87" s="2289">
        <f t="shared" si="29"/>
        <v>0</v>
      </c>
      <c r="L87" s="2289">
        <v>0</v>
      </c>
      <c r="M87" s="2289">
        <f t="shared" si="30"/>
        <v>0</v>
      </c>
      <c r="N87" s="2289">
        <f t="shared" si="30"/>
        <v>0</v>
      </c>
      <c r="AC87" s="1351"/>
      <c r="AD87" s="1350"/>
      <c r="AJ87" s="1349"/>
      <c r="AN87" s="1350"/>
    </row>
    <row r="90" spans="1:40">
      <c r="A90" s="3767" t="s">
        <v>1624</v>
      </c>
      <c r="B90" s="3767"/>
      <c r="C90" s="3767"/>
      <c r="D90" s="3767"/>
      <c r="E90" s="3767"/>
      <c r="F90" s="3767"/>
      <c r="G90" s="3767"/>
      <c r="H90" s="3767"/>
      <c r="I90" s="3767"/>
      <c r="J90" s="3767"/>
      <c r="K90" s="3290"/>
      <c r="L90" s="3290"/>
      <c r="M90" s="3290"/>
      <c r="N90" s="3290"/>
    </row>
    <row r="91" spans="1:40">
      <c r="A91" s="3768" t="s">
        <v>889</v>
      </c>
      <c r="B91" s="3768" t="s">
        <v>1625</v>
      </c>
      <c r="C91" s="1121" t="s">
        <v>1626</v>
      </c>
      <c r="D91" s="1122"/>
      <c r="E91" s="1122"/>
      <c r="F91" s="1122"/>
      <c r="G91" s="1122"/>
      <c r="H91" s="1122"/>
      <c r="I91" s="1122"/>
      <c r="J91" s="1123"/>
      <c r="K91" s="1115"/>
      <c r="L91" s="1115"/>
      <c r="M91" s="1115"/>
      <c r="N91" s="1115"/>
    </row>
    <row r="92" spans="1:40">
      <c r="A92" s="3768"/>
      <c r="B92" s="3768"/>
      <c r="C92" s="3291" t="s">
        <v>875</v>
      </c>
      <c r="D92" s="3291" t="s">
        <v>876</v>
      </c>
      <c r="E92" s="3291" t="s">
        <v>877</v>
      </c>
      <c r="F92" s="3291" t="s">
        <v>878</v>
      </c>
      <c r="G92" s="3291" t="s">
        <v>879</v>
      </c>
      <c r="H92" s="3291" t="s">
        <v>880</v>
      </c>
      <c r="I92" s="3291" t="s">
        <v>881</v>
      </c>
      <c r="J92" s="3291" t="s">
        <v>882</v>
      </c>
      <c r="K92" s="3291" t="s">
        <v>883</v>
      </c>
      <c r="L92" s="3291" t="s">
        <v>884</v>
      </c>
      <c r="M92" s="3291" t="s">
        <v>885</v>
      </c>
      <c r="N92" s="3291" t="s">
        <v>886</v>
      </c>
    </row>
    <row r="93" spans="1:40">
      <c r="A93" s="3758"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5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5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5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5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5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59"/>
      <c r="B99" s="1124" t="s">
        <v>1627</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760"/>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758" t="s">
        <v>1628</v>
      </c>
      <c r="B101" s="1128" t="s">
        <v>874</v>
      </c>
      <c r="C101" s="1129">
        <f>$G$3</f>
        <v>1.1000000000000001</v>
      </c>
      <c r="D101" s="1129">
        <f t="shared" ref="D101:N101" si="32">$G$3</f>
        <v>1.1000000000000001</v>
      </c>
      <c r="E101" s="1129">
        <f t="shared" si="32"/>
        <v>1.1000000000000001</v>
      </c>
      <c r="F101" s="1129">
        <f t="shared" si="32"/>
        <v>1.1000000000000001</v>
      </c>
      <c r="G101" s="1129">
        <f t="shared" si="32"/>
        <v>1.1000000000000001</v>
      </c>
      <c r="H101" s="1129">
        <f t="shared" si="32"/>
        <v>1.1000000000000001</v>
      </c>
      <c r="I101" s="1129">
        <f t="shared" si="32"/>
        <v>1.1000000000000001</v>
      </c>
      <c r="J101" s="1129">
        <f t="shared" si="32"/>
        <v>1.1000000000000001</v>
      </c>
      <c r="K101" s="1129">
        <f t="shared" si="32"/>
        <v>1.1000000000000001</v>
      </c>
      <c r="L101" s="1129">
        <f t="shared" si="32"/>
        <v>1.1000000000000001</v>
      </c>
      <c r="M101" s="1129">
        <f t="shared" si="32"/>
        <v>1.1000000000000001</v>
      </c>
      <c r="N101" s="1129">
        <f t="shared" si="32"/>
        <v>1.1000000000000001</v>
      </c>
    </row>
    <row r="102" spans="1:14">
      <c r="A102" s="3759"/>
      <c r="B102" s="1124">
        <v>1</v>
      </c>
      <c r="C102" s="1125">
        <f>1.9362/C101</f>
        <v>1.7601818181818181</v>
      </c>
      <c r="D102" s="1125">
        <f>1.9362/D101</f>
        <v>1.7601818181818181</v>
      </c>
      <c r="E102" s="1125">
        <f>1.8629/E101</f>
        <v>1.6935454545454545</v>
      </c>
      <c r="F102" s="1125">
        <f>1.8629/F101</f>
        <v>1.6935454545454545</v>
      </c>
      <c r="G102" s="1125">
        <f>1.8629/G101</f>
        <v>1.6935454545454545</v>
      </c>
      <c r="H102" s="1125">
        <f>1.8629/H101</f>
        <v>1.6935454545454545</v>
      </c>
      <c r="I102" s="1125">
        <f>1.8629/I101</f>
        <v>1.6935454545454545</v>
      </c>
      <c r="J102" s="1125">
        <f>1.942/J101</f>
        <v>1.7654545454545452</v>
      </c>
      <c r="K102" s="1125">
        <f>1.942/K101</f>
        <v>1.7654545454545452</v>
      </c>
      <c r="L102" s="1125">
        <f>1.942/L101</f>
        <v>1.7654545454545452</v>
      </c>
      <c r="M102" s="1125">
        <f>1.942/M101</f>
        <v>1.7654545454545452</v>
      </c>
      <c r="N102" s="1125">
        <f>1.942/N101</f>
        <v>1.7654545454545452</v>
      </c>
    </row>
    <row r="103" spans="1:14">
      <c r="A103" s="3759"/>
      <c r="B103" s="1124">
        <v>2</v>
      </c>
      <c r="C103" s="1125">
        <f>1.4198/C101</f>
        <v>1.2907272727272725</v>
      </c>
      <c r="D103" s="1125">
        <f>1.4198/D101</f>
        <v>1.2907272727272725</v>
      </c>
      <c r="E103" s="1125">
        <f>1.3372/E101</f>
        <v>1.2156363636363634</v>
      </c>
      <c r="F103" s="1125">
        <f>1.3372/F101</f>
        <v>1.2156363636363634</v>
      </c>
      <c r="G103" s="1125">
        <f>1.3372/G101</f>
        <v>1.2156363636363634</v>
      </c>
      <c r="H103" s="1125">
        <f>1.3372/H101</f>
        <v>1.2156363636363634</v>
      </c>
      <c r="I103" s="1125">
        <f>1.3372/I101</f>
        <v>1.2156363636363634</v>
      </c>
      <c r="J103" s="1125">
        <f>1.2799/J101</f>
        <v>1.1635454545454544</v>
      </c>
      <c r="K103" s="1125">
        <f>1.2799/K101</f>
        <v>1.1635454545454544</v>
      </c>
      <c r="L103" s="1125">
        <f>1.2799/L101</f>
        <v>1.1635454545454544</v>
      </c>
      <c r="M103" s="1125">
        <f>1.2799/M101</f>
        <v>1.1635454545454544</v>
      </c>
      <c r="N103" s="1125">
        <f>1.2799/N101</f>
        <v>1.1635454545454544</v>
      </c>
    </row>
    <row r="104" spans="1:14">
      <c r="A104" s="3759"/>
      <c r="B104" s="1124">
        <v>3</v>
      </c>
      <c r="C104" s="1125">
        <f>1.1594/C101</f>
        <v>1.0539999999999998</v>
      </c>
      <c r="D104" s="1125">
        <f>1.1594/D101</f>
        <v>1.0539999999999998</v>
      </c>
      <c r="E104" s="1125">
        <f>1.0788/E101</f>
        <v>0.98072727272727267</v>
      </c>
      <c r="F104" s="1125">
        <f>1.0788/F101</f>
        <v>0.98072727272727267</v>
      </c>
      <c r="G104" s="1125">
        <f>1.0788/G101</f>
        <v>0.98072727272727267</v>
      </c>
      <c r="H104" s="1125">
        <f>1.0788/H101</f>
        <v>0.98072727272727267</v>
      </c>
      <c r="I104" s="1125">
        <f>1.0788/I101</f>
        <v>0.98072727272727267</v>
      </c>
      <c r="J104" s="1125">
        <f>1.0072/J101</f>
        <v>0.91563636363636369</v>
      </c>
      <c r="K104" s="1125">
        <f>1.0072/K101</f>
        <v>0.91563636363636369</v>
      </c>
      <c r="L104" s="1125">
        <f>1.0072/L101</f>
        <v>0.91563636363636369</v>
      </c>
      <c r="M104" s="1125">
        <f>1.0072/M101</f>
        <v>0.91563636363636369</v>
      </c>
      <c r="N104" s="1125">
        <f>1.0072/N101</f>
        <v>0.91563636363636369</v>
      </c>
    </row>
    <row r="105" spans="1:14">
      <c r="A105" s="3759"/>
      <c r="B105" s="1124">
        <v>4</v>
      </c>
      <c r="C105" s="1125">
        <f>0.9622/C101</f>
        <v>0.87472727272727269</v>
      </c>
      <c r="D105" s="1125">
        <f>0.9622/D101</f>
        <v>0.87472727272727269</v>
      </c>
      <c r="E105" s="1125">
        <f>0.8656/E101</f>
        <v>0.78690909090909089</v>
      </c>
      <c r="F105" s="1125">
        <f>0.8656/F101</f>
        <v>0.78690909090909089</v>
      </c>
      <c r="G105" s="1125">
        <f>0.8656/G101</f>
        <v>0.78690909090909089</v>
      </c>
      <c r="H105" s="1125">
        <f>0.8656/H101</f>
        <v>0.78690909090909089</v>
      </c>
      <c r="I105" s="1125">
        <f>0.8656/I101</f>
        <v>0.78690909090909089</v>
      </c>
      <c r="J105" s="1125">
        <f>0.7525/J101</f>
        <v>0.68409090909090897</v>
      </c>
      <c r="K105" s="1125">
        <f>0.7525/K101</f>
        <v>0.68409090909090897</v>
      </c>
      <c r="L105" s="1125">
        <f>0.7525/L101</f>
        <v>0.68409090909090897</v>
      </c>
      <c r="M105" s="1125">
        <f>0.7525/M101</f>
        <v>0.68409090909090897</v>
      </c>
      <c r="N105" s="1125">
        <f>0.7525/N101</f>
        <v>0.68409090909090897</v>
      </c>
    </row>
    <row r="106" spans="1:14">
      <c r="A106" s="3759"/>
      <c r="B106" s="1124">
        <v>5</v>
      </c>
      <c r="C106" s="1125">
        <f>0.8417/C101</f>
        <v>0.76518181818181807</v>
      </c>
      <c r="D106" s="1125">
        <f>0.8417/D101</f>
        <v>0.76518181818181807</v>
      </c>
      <c r="E106" s="1125">
        <f>0.7371/E101</f>
        <v>0.67009090909090907</v>
      </c>
      <c r="F106" s="1125">
        <f>0.7371/F101</f>
        <v>0.67009090909090907</v>
      </c>
      <c r="G106" s="1125">
        <f>0.7371/G101</f>
        <v>0.67009090909090907</v>
      </c>
      <c r="H106" s="1125">
        <f>0.7371/H101</f>
        <v>0.67009090909090907</v>
      </c>
      <c r="I106" s="1125">
        <f>0.7371/I101</f>
        <v>0.67009090909090907</v>
      </c>
      <c r="J106" s="1125">
        <f>0.5659/J101</f>
        <v>0.51445454545454539</v>
      </c>
      <c r="K106" s="1125">
        <f>0.5659/K101</f>
        <v>0.51445454545454539</v>
      </c>
      <c r="L106" s="1125">
        <f>0.5659/L101</f>
        <v>0.51445454545454539</v>
      </c>
      <c r="M106" s="1125">
        <f>0.5659/M101</f>
        <v>0.51445454545454539</v>
      </c>
      <c r="N106" s="1125">
        <f>0.5659/N101</f>
        <v>0.51445454545454539</v>
      </c>
    </row>
    <row r="107" spans="1:14">
      <c r="A107" s="3759"/>
      <c r="B107" s="1124">
        <v>6</v>
      </c>
      <c r="C107" s="1125">
        <f>0.7608/C101</f>
        <v>0.6916363636363636</v>
      </c>
      <c r="D107" s="1125">
        <f>0.7608/D101</f>
        <v>0.6916363636363636</v>
      </c>
      <c r="E107" s="1125">
        <f>0.6482/E101</f>
        <v>0.58927272727272717</v>
      </c>
      <c r="F107" s="1125">
        <f>0.6482/F101</f>
        <v>0.58927272727272717</v>
      </c>
      <c r="G107" s="1125">
        <f>0.6482/G101</f>
        <v>0.58927272727272717</v>
      </c>
      <c r="H107" s="1125">
        <f>0.6482/H101</f>
        <v>0.58927272727272717</v>
      </c>
      <c r="I107" s="1125">
        <f>0.6482/I101</f>
        <v>0.58927272727272717</v>
      </c>
      <c r="J107" s="1125">
        <f>0.4525/J101</f>
        <v>0.41136363636363632</v>
      </c>
      <c r="K107" s="1125">
        <f>0.4525/K101</f>
        <v>0.41136363636363632</v>
      </c>
      <c r="L107" s="1125">
        <f>0.4525/L101</f>
        <v>0.41136363636363632</v>
      </c>
      <c r="M107" s="1125">
        <f>0.4525/M101</f>
        <v>0.41136363636363632</v>
      </c>
      <c r="N107" s="1125">
        <f>0.4525/N101</f>
        <v>0.41136363636363632</v>
      </c>
    </row>
    <row r="108" spans="1:14">
      <c r="A108" s="3759"/>
      <c r="B108" s="3761" t="s">
        <v>1629</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760"/>
      <c r="B109" s="3762"/>
      <c r="C109" s="1127">
        <f>(-0.163*(C108^2)-0.59*C108+7617)*(10^(-4))/C101</f>
        <v>0.69245454545454543</v>
      </c>
      <c r="D109" s="1127">
        <f>(-0.163*(D108^2)-0.59*D108+7617)*(10^(-4))/D101</f>
        <v>0.69245454545454543</v>
      </c>
      <c r="E109" s="1127">
        <f>(-0.161*(E108^2)-7.509*E108+6533)*(10^(-4))/E101</f>
        <v>0.59390909090909083</v>
      </c>
      <c r="F109" s="1127">
        <f>(-0.161*(F108^2)-7.509*F108+6533)*(10^(-4))/F101</f>
        <v>0.59390909090909083</v>
      </c>
      <c r="G109" s="1127">
        <f>(-0.161*(G108^2)-7.509*G108+6533)*(10^(-4))/G101</f>
        <v>0.59390909090909083</v>
      </c>
      <c r="H109" s="1127">
        <f>(-0.161*(H108^2)-7.509*H108+6533)*(10^(-4))/H101</f>
        <v>0.59390909090909083</v>
      </c>
      <c r="I109" s="1127">
        <f>(-0.161*(I108^2)-7.509*I108+6533)*(10^(-4))/I101</f>
        <v>0.59390909090909083</v>
      </c>
      <c r="J109" s="1127">
        <f>(-0.214*(J108^2)-21.991*J108+4665)*(10^(-4))/J101</f>
        <v>0.42409090909090907</v>
      </c>
      <c r="K109" s="1127">
        <f>(-0.214*(K108^2)-21.991*K108+4665)*(10^(-4))/K101</f>
        <v>0.42409090909090907</v>
      </c>
      <c r="L109" s="1127">
        <f>(-0.214*(L108^2)-21.991*L108+4665)*(10^(-4))/L101</f>
        <v>0.42409090909090907</v>
      </c>
      <c r="M109" s="1127">
        <f>(-0.214*(M108^2)-21.991*M108+4665)*(10^(-4))/M101</f>
        <v>0.42409090909090907</v>
      </c>
      <c r="N109" s="1127">
        <f>(-0.214*(N108^2)-21.991*N108+4665)*(10^(-4))/N101</f>
        <v>0.42409090909090907</v>
      </c>
    </row>
    <row r="110" spans="1:14">
      <c r="A110" s="3763" t="s">
        <v>1630</v>
      </c>
      <c r="B110" s="3763"/>
      <c r="C110" s="3763"/>
      <c r="D110" s="3763"/>
      <c r="E110" s="3763"/>
      <c r="F110" s="3763"/>
      <c r="G110" s="3763"/>
      <c r="H110" s="3763"/>
      <c r="I110" s="3763"/>
      <c r="J110" s="3763"/>
      <c r="K110" s="3289"/>
      <c r="L110" s="3289"/>
      <c r="M110" s="3289"/>
      <c r="N110" s="3289"/>
    </row>
    <row r="112" spans="1:14" ht="12.75" thickBot="1"/>
    <row r="113" spans="1:13" ht="15" thickBot="1">
      <c r="A113" s="1001" t="s">
        <v>887</v>
      </c>
      <c r="B113" s="2302">
        <f>G3</f>
        <v>1.1000000000000001</v>
      </c>
      <c r="C113" s="1002" t="s">
        <v>888</v>
      </c>
      <c r="D113" s="1003">
        <f>SUMPRODUCT((A115:A118=F113)*(B114:M114=H113)*B115:M118)</f>
        <v>0.84240000000000004</v>
      </c>
      <c r="E113" s="1004" t="s">
        <v>889</v>
      </c>
      <c r="F113" s="1005" t="str">
        <f>E2</f>
        <v>办公</v>
      </c>
      <c r="G113" s="1004" t="s">
        <v>890</v>
      </c>
      <c r="H113" s="1005" t="str">
        <f>G2</f>
        <v>五级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0.92320000000000002</v>
      </c>
      <c r="C115" s="1015">
        <f>B115</f>
        <v>0.92320000000000002</v>
      </c>
      <c r="D115" s="1015">
        <f>ROUND(0.8331-0.0109*B113,4)</f>
        <v>0.82110000000000005</v>
      </c>
      <c r="E115" s="1015">
        <f>D115</f>
        <v>0.82110000000000005</v>
      </c>
      <c r="F115" s="1015">
        <f>E115</f>
        <v>0.82110000000000005</v>
      </c>
      <c r="G115" s="1015">
        <f>F115</f>
        <v>0.82110000000000005</v>
      </c>
      <c r="H115" s="1015">
        <f>G115</f>
        <v>0.82110000000000005</v>
      </c>
      <c r="I115" s="1015">
        <f>ROUND(0.689-0.0155*B113,4)</f>
        <v>0.67200000000000004</v>
      </c>
      <c r="J115" s="1015">
        <f t="shared" ref="J115:M118" si="34">I115</f>
        <v>0.67200000000000004</v>
      </c>
      <c r="K115" s="1015">
        <f t="shared" si="34"/>
        <v>0.67200000000000004</v>
      </c>
      <c r="L115" s="1015">
        <f t="shared" si="34"/>
        <v>0.67200000000000004</v>
      </c>
      <c r="M115" s="1016">
        <f t="shared" si="34"/>
        <v>0.67200000000000004</v>
      </c>
    </row>
    <row r="116" spans="1:13" ht="12.75">
      <c r="A116" s="1014" t="s">
        <v>892</v>
      </c>
      <c r="B116" s="1015">
        <f>ROUND(0.949-0.012*B113,4)</f>
        <v>0.93579999999999997</v>
      </c>
      <c r="C116" s="1015">
        <f>B116</f>
        <v>0.93579999999999997</v>
      </c>
      <c r="D116" s="1015">
        <f>ROUND(0.8567-0.013*B113,4)</f>
        <v>0.84240000000000004</v>
      </c>
      <c r="E116" s="1015">
        <f t="shared" ref="E116:H117" si="35">D116</f>
        <v>0.84240000000000004</v>
      </c>
      <c r="F116" s="1015">
        <f t="shared" si="35"/>
        <v>0.84240000000000004</v>
      </c>
      <c r="G116" s="1015">
        <f t="shared" si="35"/>
        <v>0.84240000000000004</v>
      </c>
      <c r="H116" s="1015">
        <f t="shared" si="35"/>
        <v>0.84240000000000004</v>
      </c>
      <c r="I116" s="1015">
        <f>ROUND(0.7694-0.014*B113,4)</f>
        <v>0.754</v>
      </c>
      <c r="J116" s="1015">
        <f t="shared" si="34"/>
        <v>0.754</v>
      </c>
      <c r="K116" s="1015">
        <f t="shared" si="34"/>
        <v>0.754</v>
      </c>
      <c r="L116" s="1015">
        <f t="shared" si="34"/>
        <v>0.754</v>
      </c>
      <c r="M116" s="1016">
        <f t="shared" si="34"/>
        <v>0.754</v>
      </c>
    </row>
    <row r="117" spans="1:13" ht="12.75">
      <c r="A117" s="1017" t="s">
        <v>893</v>
      </c>
      <c r="B117" s="1015">
        <f>ROUND(0.8808-0.006*B113,4)</f>
        <v>0.87419999999999998</v>
      </c>
      <c r="C117" s="1015">
        <f>B117</f>
        <v>0.87419999999999998</v>
      </c>
      <c r="D117" s="1015">
        <f>ROUND(0.8748-0.008*B113,4)</f>
        <v>0.86599999999999999</v>
      </c>
      <c r="E117" s="1015">
        <f t="shared" si="35"/>
        <v>0.86599999999999999</v>
      </c>
      <c r="F117" s="1015">
        <f t="shared" si="35"/>
        <v>0.86599999999999999</v>
      </c>
      <c r="G117" s="1015">
        <f t="shared" si="35"/>
        <v>0.86599999999999999</v>
      </c>
      <c r="H117" s="1015">
        <f t="shared" si="35"/>
        <v>0.86599999999999999</v>
      </c>
      <c r="I117" s="1015">
        <f>ROUND(0.7412-0.0095*B113,4)</f>
        <v>0.73080000000000001</v>
      </c>
      <c r="J117" s="1015">
        <f t="shared" si="34"/>
        <v>0.73080000000000001</v>
      </c>
      <c r="K117" s="1015">
        <f t="shared" si="34"/>
        <v>0.73080000000000001</v>
      </c>
      <c r="L117" s="1015">
        <f t="shared" si="34"/>
        <v>0.73080000000000001</v>
      </c>
      <c r="M117" s="1016">
        <f t="shared" si="34"/>
        <v>0.73080000000000001</v>
      </c>
    </row>
    <row r="118" spans="1:13" ht="13.5" thickBot="1">
      <c r="A118" s="1018" t="s">
        <v>894</v>
      </c>
      <c r="B118" s="1019">
        <f>ROUND(0.7275-0.01*B113,4)</f>
        <v>0.71650000000000003</v>
      </c>
      <c r="C118" s="1019">
        <f>B118</f>
        <v>0.71650000000000003</v>
      </c>
      <c r="D118" s="1019">
        <f>ROUND(0.7043-0.012*B113,4)</f>
        <v>0.69110000000000005</v>
      </c>
      <c r="E118" s="1019">
        <f>D118</f>
        <v>0.69110000000000005</v>
      </c>
      <c r="F118" s="1019">
        <f>E118</f>
        <v>0.69110000000000005</v>
      </c>
      <c r="G118" s="1019">
        <f>ROUND(0.6299-0.0122*B113,4)</f>
        <v>0.61650000000000005</v>
      </c>
      <c r="H118" s="1019">
        <f>G118</f>
        <v>0.61650000000000005</v>
      </c>
      <c r="I118" s="1019">
        <f>ROUND(0.5667-0.0136*B113,4)</f>
        <v>0.55169999999999997</v>
      </c>
      <c r="J118" s="1019">
        <f t="shared" si="34"/>
        <v>0.55169999999999997</v>
      </c>
      <c r="K118" s="1019">
        <f t="shared" si="34"/>
        <v>0.55169999999999997</v>
      </c>
      <c r="L118" s="1019">
        <f t="shared" si="34"/>
        <v>0.55169999999999997</v>
      </c>
      <c r="M118" s="1020">
        <f t="shared" si="34"/>
        <v>0.55169999999999997</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sheetPr>
    <tabColor rgb="FFFFC000"/>
    <pageSetUpPr fitToPage="1"/>
  </sheetPr>
  <dimension ref="A1:AE490"/>
  <sheetViews>
    <sheetView view="pageBreakPreview" topLeftCell="A10" zoomScale="80" zoomScaleNormal="80" zoomScaleSheetLayoutView="80" workbookViewId="0">
      <selection activeCell="K35" sqref="K35"/>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3007</v>
      </c>
      <c r="C1" s="1982"/>
      <c r="D1" s="1982"/>
      <c r="E1" s="1982"/>
      <c r="F1" s="1982"/>
      <c r="G1" s="1982"/>
      <c r="H1" s="1982"/>
      <c r="I1" s="1982"/>
      <c r="J1" s="1982"/>
      <c r="K1" s="414">
        <f>MATCH(B1,'数据-取费表'!A6:A16,0)+5</f>
        <v>8</v>
      </c>
      <c r="L1" s="288"/>
      <c r="M1" s="288"/>
      <c r="N1" s="288"/>
      <c r="O1" s="288"/>
      <c r="P1" s="288"/>
      <c r="Q1" s="288"/>
      <c r="R1" s="288"/>
      <c r="S1" s="288"/>
      <c r="T1" s="288"/>
      <c r="U1" s="288"/>
      <c r="V1" s="288"/>
      <c r="W1" s="288"/>
      <c r="X1" s="288"/>
      <c r="Y1" s="288"/>
      <c r="Z1" s="288"/>
    </row>
    <row r="2" spans="1:31" s="1920" customFormat="1" ht="18" customHeight="1">
      <c r="A2" s="1979" t="s">
        <v>461</v>
      </c>
      <c r="B2" s="1983">
        <f ca="1">C36</f>
        <v>180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17703</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400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27</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320</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3007</v>
      </c>
      <c r="D7" s="428"/>
      <c r="E7" s="428"/>
      <c r="F7" s="428"/>
      <c r="G7" s="428"/>
      <c r="H7" s="428"/>
      <c r="I7" s="428"/>
      <c r="J7" s="428"/>
      <c r="K7" s="429"/>
      <c r="AA7" s="1990"/>
      <c r="AB7" s="1990"/>
      <c r="AC7" s="1990"/>
      <c r="AD7" s="1990"/>
      <c r="AE7" s="1990"/>
    </row>
    <row r="8" spans="1:31" s="1993" customFormat="1" ht="13.5" customHeight="1">
      <c r="A8" s="791" t="s">
        <v>1835</v>
      </c>
      <c r="B8" s="257" t="s">
        <v>466</v>
      </c>
      <c r="C8" s="2547">
        <f>ROUND('不动产比较法-办公'!C49,0)</f>
        <v>31455</v>
      </c>
      <c r="D8" s="2547"/>
      <c r="E8" s="2547"/>
      <c r="F8" s="2547"/>
      <c r="G8" s="2547"/>
      <c r="H8" s="2547"/>
      <c r="I8" s="2547"/>
      <c r="J8" s="2547"/>
      <c r="K8" s="2548"/>
      <c r="AA8" s="1992"/>
      <c r="AB8" s="1992"/>
      <c r="AC8" s="1992"/>
      <c r="AD8" s="1992"/>
      <c r="AE8" s="1992"/>
    </row>
    <row r="9" spans="1:31" s="1993" customFormat="1" ht="13.5" customHeight="1">
      <c r="A9" s="791" t="s">
        <v>1836</v>
      </c>
      <c r="B9" s="257" t="s">
        <v>467</v>
      </c>
      <c r="C9" s="3456">
        <f>面积信息!F5</f>
        <v>101.68</v>
      </c>
      <c r="D9" s="433">
        <f>SUMIF('数据-汇总表'!$C19:$C33,'剩余法-待开发 (办公)'!D7,'数据-汇总表'!$E19:$E33)</f>
        <v>0</v>
      </c>
      <c r="E9" s="433">
        <f>SUMIF('数据-汇总表'!$C19:$C33,'剩余法-待开发 (办公)'!E7,'数据-汇总表'!$E19:$E33)</f>
        <v>0</v>
      </c>
      <c r="F9" s="433">
        <f>SUMIF('数据-汇总表'!$C19:$C33,'剩余法-待开发 (办公)'!F7,'数据-汇总表'!$E19:$E33)</f>
        <v>0</v>
      </c>
      <c r="G9" s="433">
        <f>SUMIF('数据-汇总表'!$C19:$C33,'剩余法-待开发 (办公)'!G7,'数据-汇总表'!$E19:$E33)</f>
        <v>0</v>
      </c>
      <c r="H9" s="433">
        <f>SUMIF('数据-汇总表'!$C19:$C33,'剩余法-待开发 (办公)'!H7,'数据-汇总表'!$E19:$E33)</f>
        <v>0</v>
      </c>
      <c r="I9" s="433">
        <f>SUMIF('数据-汇总表'!$C19:$C33,'剩余法-待开发 (办公)'!I7,'数据-汇总表'!$E19:$E33)</f>
        <v>0</v>
      </c>
      <c r="J9" s="433">
        <f>SUMIF('数据-汇总表'!$C19:$C33,'剩余法-待开发 (办公)'!J7,'数据-汇总表'!$E19:$E33)</f>
        <v>0</v>
      </c>
      <c r="K9" s="434">
        <f>SUMIF('数据-汇总表'!$C19:$C33,'剩余法-待开发 (办公)'!K7,'数据-汇总表'!$E19:$E33)</f>
        <v>0</v>
      </c>
      <c r="AA9" s="1992"/>
      <c r="AB9" s="1992"/>
      <c r="AC9" s="1992"/>
      <c r="AD9" s="1992"/>
      <c r="AE9" s="1992"/>
    </row>
    <row r="10" spans="1:31" s="1993" customFormat="1" ht="13.5" customHeight="1" thickBot="1">
      <c r="A10" s="2549" t="s">
        <v>1837</v>
      </c>
      <c r="B10" s="2535" t="s">
        <v>468</v>
      </c>
      <c r="C10" s="2736">
        <f>'不动产比较法-办公'!B2</f>
        <v>320</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3273" t="s">
        <v>470</v>
      </c>
      <c r="E12" s="3273" t="s">
        <v>471</v>
      </c>
      <c r="F12" s="3273"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 ca="1">IF(B1="",'数据-取费表'!P16,INDIRECT("'数据-取费表'!p"&amp;$K$1)+INDIRECT("'数据-取费表'!t"&amp;$K$1))</f>
        <v>41</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 ca="1">ROUND(C13*F14,0)</f>
        <v>1</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0</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2</v>
      </c>
      <c r="D16" s="2557">
        <f>C9</f>
        <v>101.68</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 ca="1">ROUND(C13*F17,0)</f>
        <v>1</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45</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3273">
        <f>ROUND(D19*E19/10000,0)</f>
        <v>0</v>
      </c>
      <c r="D19" s="2567">
        <f>D16</f>
        <v>101.68</v>
      </c>
      <c r="E19" s="3273">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3273">
        <f ca="1">C21+C22-IF(B1="",'数据-取费表'!B29,IF(G20="已全部缴纳",C21+C22,H20))</f>
        <v>2</v>
      </c>
      <c r="D20" s="2567"/>
      <c r="E20" s="3273"/>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0</v>
      </c>
      <c r="D21" s="2557">
        <f ca="1">IF(B1="",'数据-汇总表'!E5,IF(INDIRECT("'数据-取费表'!c"&amp;$K$1)="住宅",INDIRECT("'数据-取费表'!k"&amp;$K$1),0))</f>
        <v>0</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2</v>
      </c>
      <c r="D22" s="2557">
        <f>C9</f>
        <v>101.68</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0</v>
      </c>
      <c r="D23" s="460"/>
      <c r="E23" s="460"/>
      <c r="F23" s="2569">
        <f>'数据-取费表'!B37</f>
        <v>0.01</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3</v>
      </c>
      <c r="D24" s="467"/>
      <c r="E24" s="465"/>
      <c r="F24" s="2569">
        <f>'数据-取费表'!B38</f>
        <v>0.01</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489</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2</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2</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17</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69</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69</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10</v>
      </c>
      <c r="D33" s="459">
        <f ca="1">C34</f>
        <v>0.20610000000000001</v>
      </c>
      <c r="E33" s="461" t="s">
        <v>489</v>
      </c>
      <c r="F33" s="471">
        <f ca="1">IF(B1="",'数据-取费表'!Q16,INDIRECT("'数据-取费表'!q"&amp;$K$1))</f>
        <v>0.2</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0.20610000000000001</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10</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180</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17702.596380802515</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69" fitToHeight="0" orientation="portrait" r:id="rId1"/>
</worksheet>
</file>

<file path=xl/worksheets/sheet45.xml><?xml version="1.0" encoding="utf-8"?>
<worksheet xmlns="http://schemas.openxmlformats.org/spreadsheetml/2006/main" xmlns:r="http://schemas.openxmlformats.org/officeDocument/2006/relationships">
  <sheetPr codeName="Sheet24">
    <tabColor rgb="FFFFC000"/>
    <pageSetUpPr fitToPage="1"/>
  </sheetPr>
  <dimension ref="A1:AC853"/>
  <sheetViews>
    <sheetView topLeftCell="A36" zoomScale="85" zoomScaleNormal="85" zoomScaleSheetLayoutView="85" workbookViewId="0">
      <selection activeCell="C49" sqref="C49"/>
    </sheetView>
  </sheetViews>
  <sheetFormatPr defaultColWidth="9" defaultRowHeight="14.25"/>
  <cols>
    <col min="1" max="1" width="10.5" style="1289" customWidth="1"/>
    <col min="2" max="2" width="15.875" style="1289" customWidth="1"/>
    <col min="3" max="3" width="1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2097"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771</v>
      </c>
      <c r="C1" s="496" t="s">
        <v>714</v>
      </c>
      <c r="D1" s="836" t="s">
        <v>3007</v>
      </c>
      <c r="E1" s="498"/>
      <c r="F1" s="2520" t="s">
        <v>3094</v>
      </c>
      <c r="G1" s="1528" t="s">
        <v>715</v>
      </c>
      <c r="H1" s="498"/>
      <c r="I1" s="498"/>
      <c r="J1" s="498"/>
      <c r="K1" s="499"/>
      <c r="L1" s="3203"/>
      <c r="M1" s="3204"/>
      <c r="N1" s="3204"/>
      <c r="O1" s="3204"/>
      <c r="P1" s="3267"/>
      <c r="Q1" s="2010"/>
      <c r="R1" s="2010"/>
      <c r="S1" s="2010"/>
      <c r="T1" s="2010"/>
      <c r="U1" s="2010"/>
      <c r="V1" s="2010"/>
      <c r="W1" s="2010"/>
      <c r="X1" s="2010"/>
      <c r="Y1" s="2010"/>
      <c r="Z1" s="2010"/>
      <c r="AA1" s="2010"/>
      <c r="AB1" s="2010"/>
      <c r="AC1" s="3205"/>
    </row>
    <row r="2" spans="1:29" s="1288" customFormat="1" ht="28.5" customHeight="1">
      <c r="A2" s="415" t="s">
        <v>461</v>
      </c>
      <c r="B2" s="837">
        <f>ROUND(B3*D3/10000,0)</f>
        <v>320</v>
      </c>
      <c r="C2" s="2005"/>
      <c r="D2" s="2005"/>
      <c r="E2" s="1940"/>
      <c r="F2" s="2007"/>
      <c r="G2" s="2006"/>
      <c r="H2" s="2006"/>
      <c r="I2" s="2006"/>
      <c r="J2" s="2006"/>
      <c r="K2" s="2006"/>
      <c r="L2" s="2009"/>
      <c r="M2" s="2010"/>
      <c r="N2" s="2010"/>
      <c r="O2" s="2010"/>
      <c r="P2" s="3267"/>
      <c r="Q2" s="2010"/>
      <c r="R2" s="2010"/>
      <c r="S2" s="2010"/>
      <c r="T2" s="2010"/>
      <c r="U2" s="2010"/>
      <c r="V2" s="2010"/>
      <c r="W2" s="2010"/>
      <c r="X2" s="2010"/>
      <c r="Y2" s="2010"/>
      <c r="Z2" s="2010"/>
      <c r="AA2" s="2010"/>
      <c r="AB2" s="2010"/>
      <c r="AC2" s="3205"/>
    </row>
    <row r="3" spans="1:29" s="1288" customFormat="1" ht="28.5" customHeight="1" thickBot="1">
      <c r="A3" s="501" t="s">
        <v>513</v>
      </c>
      <c r="B3" s="502">
        <f>C50</f>
        <v>31455</v>
      </c>
      <c r="C3" s="839" t="s">
        <v>716</v>
      </c>
      <c r="D3" s="838">
        <f>'剩余法-待开发 (办公)'!D16</f>
        <v>101.68</v>
      </c>
      <c r="E3" s="1940"/>
      <c r="F3" s="2007"/>
      <c r="G3" s="2006"/>
      <c r="H3" s="2006"/>
      <c r="I3" s="2006"/>
      <c r="J3" s="2006"/>
      <c r="K3" s="2008"/>
      <c r="L3" s="2009"/>
      <c r="M3" s="2010"/>
      <c r="N3" s="2010"/>
      <c r="O3" s="2010"/>
      <c r="P3" s="3267"/>
      <c r="Q3" s="2010"/>
      <c r="R3" s="2010"/>
      <c r="S3" s="2010"/>
      <c r="T3" s="2010"/>
      <c r="U3" s="2010"/>
      <c r="V3" s="2010"/>
      <c r="W3" s="2010"/>
      <c r="X3" s="2010"/>
      <c r="Y3" s="2010"/>
      <c r="Z3" s="2010"/>
      <c r="AA3" s="2010"/>
      <c r="AB3" s="2010"/>
      <c r="AC3" s="3205"/>
    </row>
    <row r="4" spans="1:29" ht="15">
      <c r="A4" s="504" t="s">
        <v>515</v>
      </c>
      <c r="B4" s="505"/>
      <c r="C4" s="3782" t="s">
        <v>516</v>
      </c>
      <c r="D4" s="3783"/>
      <c r="E4" s="3784" t="s">
        <v>517</v>
      </c>
      <c r="F4" s="3785"/>
      <c r="G4" s="3782" t="s">
        <v>518</v>
      </c>
      <c r="H4" s="3783"/>
      <c r="I4" s="3782" t="s">
        <v>519</v>
      </c>
      <c r="J4" s="3783"/>
      <c r="K4" s="506" t="s">
        <v>520</v>
      </c>
      <c r="L4" s="2011"/>
      <c r="M4" s="2012"/>
      <c r="N4" s="2012"/>
      <c r="O4" s="2012"/>
      <c r="P4" s="3848" t="s">
        <v>521</v>
      </c>
      <c r="Q4" s="3787"/>
      <c r="R4" s="3792" t="s">
        <v>517</v>
      </c>
      <c r="S4" s="3793"/>
      <c r="T4" s="3792" t="s">
        <v>518</v>
      </c>
      <c r="U4" s="3793"/>
      <c r="V4" s="3798" t="s">
        <v>519</v>
      </c>
      <c r="W4" s="3798"/>
      <c r="X4" s="1498"/>
      <c r="Y4" s="3792" t="s">
        <v>521</v>
      </c>
      <c r="Z4" s="3793"/>
      <c r="AA4" s="3779" t="s">
        <v>517</v>
      </c>
      <c r="AB4" s="3779" t="s">
        <v>518</v>
      </c>
      <c r="AC4" s="3779" t="s">
        <v>519</v>
      </c>
    </row>
    <row r="5" spans="1:29" ht="15">
      <c r="A5" s="507"/>
      <c r="B5" s="508"/>
      <c r="C5" s="3820" t="s">
        <v>3044</v>
      </c>
      <c r="D5" s="3802"/>
      <c r="E5" s="3821" t="s">
        <v>3050</v>
      </c>
      <c r="F5" s="3810"/>
      <c r="G5" s="3820" t="s">
        <v>3051</v>
      </c>
      <c r="H5" s="3802"/>
      <c r="I5" s="3820" t="s">
        <v>3052</v>
      </c>
      <c r="J5" s="3802"/>
      <c r="K5" s="506"/>
      <c r="L5" s="2011"/>
      <c r="M5" s="2012"/>
      <c r="N5" s="2012"/>
      <c r="O5" s="2012"/>
      <c r="P5" s="3849"/>
      <c r="Q5" s="3789"/>
      <c r="R5" s="3794"/>
      <c r="S5" s="3795"/>
      <c r="T5" s="3794"/>
      <c r="U5" s="3795"/>
      <c r="V5" s="3798"/>
      <c r="W5" s="3798"/>
      <c r="X5" s="1498"/>
      <c r="Y5" s="3794"/>
      <c r="Z5" s="3795"/>
      <c r="AA5" s="3780"/>
      <c r="AB5" s="3780"/>
      <c r="AC5" s="3780"/>
    </row>
    <row r="6" spans="1:29" ht="15.75" thickBot="1">
      <c r="A6" s="509"/>
      <c r="B6" s="510"/>
      <c r="C6" s="3806" t="s">
        <v>2897</v>
      </c>
      <c r="D6" s="3800"/>
      <c r="E6" s="3811" t="s">
        <v>2897</v>
      </c>
      <c r="F6" s="3808"/>
      <c r="G6" s="3806" t="s">
        <v>2897</v>
      </c>
      <c r="H6" s="3800"/>
      <c r="I6" s="3806" t="s">
        <v>2897</v>
      </c>
      <c r="J6" s="3800"/>
      <c r="K6" s="506" t="s">
        <v>522</v>
      </c>
      <c r="L6" s="2011"/>
      <c r="M6" s="2012"/>
      <c r="N6" s="2012"/>
      <c r="O6" s="2012"/>
      <c r="P6" s="3850"/>
      <c r="Q6" s="3791"/>
      <c r="R6" s="3794"/>
      <c r="S6" s="3795"/>
      <c r="T6" s="3796"/>
      <c r="U6" s="3797"/>
      <c r="V6" s="3798"/>
      <c r="W6" s="3798"/>
      <c r="X6" s="1498"/>
      <c r="Y6" s="3796"/>
      <c r="Z6" s="3797"/>
      <c r="AA6" s="3781"/>
      <c r="AB6" s="3781"/>
      <c r="AC6" s="3781"/>
    </row>
    <row r="7" spans="1:29" s="1201" customFormat="1" ht="15.75" thickBot="1">
      <c r="A7" s="2625"/>
      <c r="B7" s="2632" t="s">
        <v>523</v>
      </c>
      <c r="C7" s="511">
        <f>'数据-取费表'!B2</f>
        <v>44412</v>
      </c>
      <c r="D7" s="512">
        <v>100</v>
      </c>
      <c r="E7" s="513">
        <f>C7</f>
        <v>44412</v>
      </c>
      <c r="F7" s="514">
        <f>SUMIF(59:59,YEAR(E7)&amp;"-"&amp;MONTH(E7),60:60)</f>
        <v>100</v>
      </c>
      <c r="G7" s="513">
        <f>C7</f>
        <v>44412</v>
      </c>
      <c r="H7" s="512">
        <f>SUMIF(59:59,YEAR(G7)&amp;"-"&amp;MONTH(G7),60:60)</f>
        <v>100</v>
      </c>
      <c r="I7" s="513">
        <f>C7</f>
        <v>44412</v>
      </c>
      <c r="J7" s="512">
        <f>SUMIF(59:59,YEAR(I7)&amp;"-"&amp;MONTH(I7),60:60)</f>
        <v>100</v>
      </c>
      <c r="K7" s="516"/>
      <c r="L7" s="2013"/>
      <c r="M7" s="2014"/>
      <c r="N7" s="2014"/>
      <c r="O7" s="2014"/>
      <c r="P7" s="3805" t="s">
        <v>524</v>
      </c>
      <c r="Q7" s="3805"/>
      <c r="R7" s="1499" t="s">
        <v>8</v>
      </c>
      <c r="S7" s="1500">
        <f t="shared" ref="S7:S15" si="0">F7</f>
        <v>100</v>
      </c>
      <c r="T7" s="1499" t="s">
        <v>8</v>
      </c>
      <c r="U7" s="1500">
        <f t="shared" ref="U7:U15" si="1">H7</f>
        <v>100</v>
      </c>
      <c r="V7" s="1499" t="s">
        <v>8</v>
      </c>
      <c r="W7" s="1500">
        <f t="shared" ref="W7:W15" si="2">J7</f>
        <v>100</v>
      </c>
      <c r="X7" s="1501"/>
      <c r="Y7" s="3803" t="s">
        <v>524</v>
      </c>
      <c r="Z7" s="3804"/>
      <c r="AA7" s="1502">
        <f>D7/F7</f>
        <v>1</v>
      </c>
      <c r="AB7" s="1502">
        <f>D7/H7</f>
        <v>1</v>
      </c>
      <c r="AC7" s="1502">
        <f>D7/J7</f>
        <v>1</v>
      </c>
    </row>
    <row r="8" spans="1:29" s="1201" customFormat="1" ht="15.75" thickBot="1">
      <c r="A8" s="2626"/>
      <c r="B8" s="2633" t="s">
        <v>525</v>
      </c>
      <c r="C8" s="517" t="s">
        <v>570</v>
      </c>
      <c r="D8" s="512">
        <v>100</v>
      </c>
      <c r="E8" s="517" t="s">
        <v>3053</v>
      </c>
      <c r="F8" s="514">
        <f>SUMIF(62:62,E8,63:63)-SUMIF(62:62,C8,63:63)+100</f>
        <v>100</v>
      </c>
      <c r="G8" s="517" t="s">
        <v>3053</v>
      </c>
      <c r="H8" s="512">
        <f>SUMIF(62:62,G8,63:63)-SUMIF(62:62,C8,63:63)+100</f>
        <v>100</v>
      </c>
      <c r="I8" s="517" t="s">
        <v>3053</v>
      </c>
      <c r="J8" s="512">
        <f>SUMIF(62:62,I8,63:63)-SUMIF(62:62,C8,63:63)+100</f>
        <v>100</v>
      </c>
      <c r="K8" s="516"/>
      <c r="L8" s="2013"/>
      <c r="M8" s="2014"/>
      <c r="N8" s="2014"/>
      <c r="O8" s="2014"/>
      <c r="P8" s="3805" t="s">
        <v>527</v>
      </c>
      <c r="Q8" s="3804"/>
      <c r="R8" s="1499" t="s">
        <v>8</v>
      </c>
      <c r="S8" s="1500">
        <f t="shared" si="0"/>
        <v>100</v>
      </c>
      <c r="T8" s="1499" t="s">
        <v>8</v>
      </c>
      <c r="U8" s="1500">
        <f t="shared" si="1"/>
        <v>100</v>
      </c>
      <c r="V8" s="1499" t="s">
        <v>8</v>
      </c>
      <c r="W8" s="1500">
        <f t="shared" si="2"/>
        <v>100</v>
      </c>
      <c r="X8" s="1501"/>
      <c r="Y8" s="3803" t="s">
        <v>527</v>
      </c>
      <c r="Z8" s="3804"/>
      <c r="AA8" s="1502">
        <f t="shared" ref="AA8:AA47" si="3">D8/F8</f>
        <v>1</v>
      </c>
      <c r="AB8" s="1502">
        <f t="shared" ref="AB8:AB47" si="4">D8/H8</f>
        <v>1</v>
      </c>
      <c r="AC8" s="1502">
        <f t="shared" ref="AC8:AC47" si="5">D8/J8</f>
        <v>1</v>
      </c>
    </row>
    <row r="9" spans="1:29" s="1201" customFormat="1" ht="15">
      <c r="A9" s="2627"/>
      <c r="B9" s="2634" t="s">
        <v>2735</v>
      </c>
      <c r="C9" s="3309" t="s">
        <v>3045</v>
      </c>
      <c r="D9" s="250">
        <v>100</v>
      </c>
      <c r="E9" s="847" t="s">
        <v>1667</v>
      </c>
      <c r="F9" s="250">
        <f>SUMIF(64:64,E9,65:65)-SUMIF(64:64,C9,65:65)+100</f>
        <v>100</v>
      </c>
      <c r="G9" s="845" t="s">
        <v>1667</v>
      </c>
      <c r="H9" s="250">
        <f>SUMIF(64:64,G9,65:65)-SUMIF(64:64,C9,65:65)+100</f>
        <v>100</v>
      </c>
      <c r="I9" s="845" t="s">
        <v>1667</v>
      </c>
      <c r="J9" s="250">
        <f>SUMIF(64:64,I9,65:65)-SUMIF(64:64,C9,65:65)+100</f>
        <v>100</v>
      </c>
      <c r="K9" s="516"/>
      <c r="L9" s="2013"/>
      <c r="M9" s="2014"/>
      <c r="N9" s="2014"/>
      <c r="O9" s="2014"/>
      <c r="P9" s="3772" t="s">
        <v>529</v>
      </c>
      <c r="Q9" s="1132" t="str">
        <f t="shared" ref="Q9:Q15" si="6">B9</f>
        <v>用途</v>
      </c>
      <c r="R9" s="1499" t="s">
        <v>8</v>
      </c>
      <c r="S9" s="1500">
        <f t="shared" si="0"/>
        <v>100</v>
      </c>
      <c r="T9" s="1499" t="s">
        <v>8</v>
      </c>
      <c r="U9" s="1500">
        <f t="shared" si="1"/>
        <v>100</v>
      </c>
      <c r="V9" s="1499" t="s">
        <v>8</v>
      </c>
      <c r="W9" s="1500">
        <f t="shared" si="2"/>
        <v>100</v>
      </c>
      <c r="X9" s="1501"/>
      <c r="Y9" s="3675" t="s">
        <v>530</v>
      </c>
      <c r="Z9" s="1131" t="str">
        <f t="shared" ref="Z9:Z15" si="7">Q9</f>
        <v>用途</v>
      </c>
      <c r="AA9" s="1502">
        <f t="shared" si="3"/>
        <v>1</v>
      </c>
      <c r="AB9" s="1502">
        <f t="shared" si="4"/>
        <v>1</v>
      </c>
      <c r="AC9" s="1502">
        <f t="shared" si="5"/>
        <v>1</v>
      </c>
    </row>
    <row r="10" spans="1:29" s="1290" customFormat="1" ht="27.75" thickBot="1">
      <c r="A10" s="2628"/>
      <c r="B10" s="2633" t="s">
        <v>2736</v>
      </c>
      <c r="C10" s="848" t="s">
        <v>3292</v>
      </c>
      <c r="D10" s="251">
        <v>100</v>
      </c>
      <c r="E10" s="848" t="s">
        <v>3292</v>
      </c>
      <c r="F10" s="251">
        <f>SUMIF(66:66,E10,67:67)-SUMIF(66:66,C10,67:67)+100</f>
        <v>100</v>
      </c>
      <c r="G10" s="849" t="s">
        <v>3292</v>
      </c>
      <c r="H10" s="251">
        <f>SUMIF(66:66,G10,67:67)-SUMIF(66:66,C10,67:67)+100</f>
        <v>100</v>
      </c>
      <c r="I10" s="848" t="s">
        <v>3106</v>
      </c>
      <c r="J10" s="251">
        <f>SUMIF(66:66,I10,67:67)-SUMIF(66:66,C10,67:67)+100</f>
        <v>98</v>
      </c>
      <c r="K10" s="3395">
        <v>1</v>
      </c>
      <c r="L10" s="2016"/>
      <c r="M10" s="2055"/>
      <c r="N10" s="2055"/>
      <c r="O10" s="2055"/>
      <c r="P10" s="3772"/>
      <c r="Q10" s="1132" t="str">
        <f t="shared" si="6"/>
        <v>土地使用年限（年）</v>
      </c>
      <c r="R10" s="1499" t="s">
        <v>8</v>
      </c>
      <c r="S10" s="1500">
        <f t="shared" si="0"/>
        <v>100</v>
      </c>
      <c r="T10" s="1499" t="s">
        <v>8</v>
      </c>
      <c r="U10" s="1500">
        <f t="shared" si="1"/>
        <v>100</v>
      </c>
      <c r="V10" s="1499" t="s">
        <v>8</v>
      </c>
      <c r="W10" s="1500">
        <f t="shared" si="2"/>
        <v>98</v>
      </c>
      <c r="X10" s="1501"/>
      <c r="Y10" s="3675"/>
      <c r="Z10" s="1131" t="str">
        <f t="shared" si="7"/>
        <v>土地使用年限（年）</v>
      </c>
      <c r="AA10" s="1502">
        <f t="shared" si="3"/>
        <v>1</v>
      </c>
      <c r="AB10" s="1502">
        <f t="shared" si="4"/>
        <v>1</v>
      </c>
      <c r="AC10" s="1502">
        <f t="shared" si="5"/>
        <v>1.0204081632653061</v>
      </c>
    </row>
    <row r="11" spans="1:29" ht="15" hidden="1">
      <c r="A11" s="2629"/>
      <c r="B11" s="2633" t="s">
        <v>2737</v>
      </c>
      <c r="C11" s="525"/>
      <c r="D11" s="251">
        <v>100</v>
      </c>
      <c r="E11" s="525"/>
      <c r="F11" s="251">
        <f>LOOKUP(E11,69:69,70:70)-LOOKUP(C11,69:69,70:70)+100</f>
        <v>100</v>
      </c>
      <c r="G11" s="526"/>
      <c r="H11" s="251">
        <f>LOOKUP(G11,69:69,70:70)-LOOKUP(C11,69:69,70:70)+100</f>
        <v>100</v>
      </c>
      <c r="I11" s="525"/>
      <c r="J11" s="251">
        <f>LOOKUP(I11,69:69,70:70)-LOOKUP(C11,69:69,70:70)+100</f>
        <v>100</v>
      </c>
      <c r="K11" s="576"/>
      <c r="L11" s="2018"/>
      <c r="M11" s="2012"/>
      <c r="N11" s="2012"/>
      <c r="O11" s="2012"/>
      <c r="P11" s="3772"/>
      <c r="Q11" s="1132" t="str">
        <f t="shared" si="6"/>
        <v>容积率</v>
      </c>
      <c r="R11" s="1499" t="s">
        <v>8</v>
      </c>
      <c r="S11" s="1500">
        <f t="shared" si="0"/>
        <v>100</v>
      </c>
      <c r="T11" s="1499" t="s">
        <v>8</v>
      </c>
      <c r="U11" s="1500">
        <f t="shared" si="1"/>
        <v>100</v>
      </c>
      <c r="V11" s="1499" t="s">
        <v>8</v>
      </c>
      <c r="W11" s="1500">
        <f t="shared" si="2"/>
        <v>100</v>
      </c>
      <c r="X11" s="1501"/>
      <c r="Y11" s="3675"/>
      <c r="Z11" s="1131" t="str">
        <f t="shared" si="7"/>
        <v>容积率</v>
      </c>
      <c r="AA11" s="1502">
        <f t="shared" si="3"/>
        <v>1</v>
      </c>
      <c r="AB11" s="1502">
        <f t="shared" si="4"/>
        <v>1</v>
      </c>
      <c r="AC11" s="1502">
        <f t="shared" si="5"/>
        <v>1</v>
      </c>
    </row>
    <row r="12" spans="1:29" s="1201" customFormat="1" ht="15" hidden="1">
      <c r="A12" s="2630"/>
      <c r="B12" s="2636">
        <v>111</v>
      </c>
      <c r="C12" s="520"/>
      <c r="D12" s="530">
        <v>100</v>
      </c>
      <c r="E12" s="520"/>
      <c r="F12" s="251">
        <f>SUMIF(71:71,E12,72:72)-SUMIF(71:71,C12,72:72)+100</f>
        <v>100</v>
      </c>
      <c r="G12" s="897"/>
      <c r="H12" s="251">
        <f>SUMIF(71:71,G12,72:72)-SUMIF(71:71,C12,72:72)+100</f>
        <v>100</v>
      </c>
      <c r="I12" s="520"/>
      <c r="J12" s="251">
        <f>SUMIF(71:71,I12,72:72)-SUMIF(71:71,C12,72:72)+100</f>
        <v>100</v>
      </c>
      <c r="K12" s="573"/>
      <c r="L12" s="2013"/>
      <c r="M12" s="2014"/>
      <c r="N12" s="2014"/>
      <c r="O12" s="2014"/>
      <c r="P12" s="3772"/>
      <c r="Q12" s="1132">
        <f t="shared" si="6"/>
        <v>111</v>
      </c>
      <c r="R12" s="1499" t="s">
        <v>8</v>
      </c>
      <c r="S12" s="1500">
        <f t="shared" si="0"/>
        <v>100</v>
      </c>
      <c r="T12" s="1499" t="s">
        <v>8</v>
      </c>
      <c r="U12" s="1500">
        <f t="shared" si="1"/>
        <v>100</v>
      </c>
      <c r="V12" s="1499" t="s">
        <v>8</v>
      </c>
      <c r="W12" s="1500">
        <f t="shared" si="2"/>
        <v>100</v>
      </c>
      <c r="X12" s="1501"/>
      <c r="Y12" s="3675"/>
      <c r="Z12" s="1131">
        <f t="shared" si="7"/>
        <v>111</v>
      </c>
      <c r="AA12" s="1502">
        <f>D12/F12</f>
        <v>1</v>
      </c>
      <c r="AB12" s="1502">
        <f>D12/H12</f>
        <v>1</v>
      </c>
      <c r="AC12" s="1502">
        <f>D12/J12</f>
        <v>1</v>
      </c>
    </row>
    <row r="13" spans="1:29" ht="15" hidden="1">
      <c r="A13" s="2630"/>
      <c r="B13" s="2636">
        <v>111</v>
      </c>
      <c r="C13" s="531"/>
      <c r="D13" s="532">
        <v>100</v>
      </c>
      <c r="E13" s="520"/>
      <c r="F13" s="251">
        <f>SUMIF(73:73,E13,74:74)-SUMIF(73:73,C13,74:74)+100</f>
        <v>100</v>
      </c>
      <c r="G13" s="897"/>
      <c r="H13" s="532">
        <f>SUMIF(73:73,G13,74:74)-SUMIF(73:73,C13,74:74)+100</f>
        <v>100</v>
      </c>
      <c r="I13" s="520"/>
      <c r="J13" s="532">
        <f>SUMIF(73:73,I13,74:74)-SUMIF(73:73,C13,74:74)+100</f>
        <v>100</v>
      </c>
      <c r="K13" s="573"/>
      <c r="L13" s="2020"/>
      <c r="M13" s="2012"/>
      <c r="N13" s="2012"/>
      <c r="O13" s="2012"/>
      <c r="P13" s="3772"/>
      <c r="Q13" s="1132">
        <f t="shared" si="6"/>
        <v>111</v>
      </c>
      <c r="R13" s="1499" t="s">
        <v>8</v>
      </c>
      <c r="S13" s="1500">
        <f t="shared" si="0"/>
        <v>100</v>
      </c>
      <c r="T13" s="1499" t="s">
        <v>8</v>
      </c>
      <c r="U13" s="1500">
        <f t="shared" si="1"/>
        <v>100</v>
      </c>
      <c r="V13" s="1499" t="s">
        <v>8</v>
      </c>
      <c r="W13" s="1500">
        <f t="shared" si="2"/>
        <v>100</v>
      </c>
      <c r="X13" s="1501"/>
      <c r="Y13" s="3675"/>
      <c r="Z13" s="1131">
        <f t="shared" si="7"/>
        <v>111</v>
      </c>
      <c r="AA13" s="1502">
        <f t="shared" si="3"/>
        <v>1</v>
      </c>
      <c r="AB13" s="1502">
        <f t="shared" si="4"/>
        <v>1</v>
      </c>
      <c r="AC13" s="1502">
        <f t="shared" si="5"/>
        <v>1</v>
      </c>
    </row>
    <row r="14" spans="1:29" ht="15.75" hidden="1" thickBot="1">
      <c r="A14" s="2631"/>
      <c r="B14" s="2637">
        <v>111</v>
      </c>
      <c r="C14" s="537"/>
      <c r="D14" s="538">
        <v>100</v>
      </c>
      <c r="E14" s="898"/>
      <c r="F14" s="538">
        <f>SUMIF(75:75,E14,76:76)-SUMIF(75:75,C14,76:76)+100</f>
        <v>100</v>
      </c>
      <c r="G14" s="897"/>
      <c r="H14" s="538">
        <f>SUMIF(75:75,G14,76:76)-SUMIF(75:75,C14,76:76)+100</f>
        <v>100</v>
      </c>
      <c r="I14" s="520"/>
      <c r="J14" s="538">
        <f>SUMIF(75:75,I14,76:76)-SUMIF(75:75,C14,76:76)+100</f>
        <v>100</v>
      </c>
      <c r="K14" s="573"/>
      <c r="L14" s="2020"/>
      <c r="M14" s="2012"/>
      <c r="N14" s="2012"/>
      <c r="O14" s="2012"/>
      <c r="P14" s="3772"/>
      <c r="Q14" s="1132">
        <f t="shared" si="6"/>
        <v>111</v>
      </c>
      <c r="R14" s="1499" t="s">
        <v>8</v>
      </c>
      <c r="S14" s="1500">
        <f t="shared" si="0"/>
        <v>100</v>
      </c>
      <c r="T14" s="1499" t="s">
        <v>8</v>
      </c>
      <c r="U14" s="1500">
        <f t="shared" si="1"/>
        <v>100</v>
      </c>
      <c r="V14" s="1499" t="s">
        <v>8</v>
      </c>
      <c r="W14" s="1500">
        <f t="shared" si="2"/>
        <v>100</v>
      </c>
      <c r="X14" s="1501"/>
      <c r="Y14" s="3675"/>
      <c r="Z14" s="1131">
        <f t="shared" si="7"/>
        <v>111</v>
      </c>
      <c r="AA14" s="1502">
        <f t="shared" si="3"/>
        <v>1</v>
      </c>
      <c r="AB14" s="1502">
        <f t="shared" si="4"/>
        <v>1</v>
      </c>
      <c r="AC14" s="1502">
        <f t="shared" si="5"/>
        <v>1</v>
      </c>
    </row>
    <row r="15" spans="1:29" ht="108">
      <c r="A15" s="2623" t="s">
        <v>2733</v>
      </c>
      <c r="B15" s="539" t="s">
        <v>536</v>
      </c>
      <c r="C15" s="540" t="str">
        <f>估价对象房地状况!C5</f>
        <v>卫生大厦、新浪总部大厦、百度科技园、网易大厦、腾讯北京总部大楼、联想总部等，办公集聚程度较好</v>
      </c>
      <c r="D15" s="541">
        <v>100</v>
      </c>
      <c r="E15" s="3312" t="s">
        <v>3062</v>
      </c>
      <c r="F15" s="541">
        <f>SUMIF(77:77,E16,78:78)-SUMIF(77:77,C16,78:78)+100</f>
        <v>100</v>
      </c>
      <c r="G15" s="3318" t="s">
        <v>3063</v>
      </c>
      <c r="H15" s="541">
        <f>SUMIF(77:77,G16,78:78)-SUMIF(77:77,C16,78:78)+100</f>
        <v>100</v>
      </c>
      <c r="I15" s="3318" t="s">
        <v>3141</v>
      </c>
      <c r="J15" s="541">
        <f>SUMIF(77:77,I16,78:78)-SUMIF(77:77,C16,78:78)+100</f>
        <v>100</v>
      </c>
      <c r="K15" s="885">
        <v>2</v>
      </c>
      <c r="L15" s="2020"/>
      <c r="M15" s="2012"/>
      <c r="N15" s="2012"/>
      <c r="O15" s="2012"/>
      <c r="P15" s="3774" t="s">
        <v>534</v>
      </c>
      <c r="Q15" s="1503" t="str">
        <f t="shared" si="6"/>
        <v>办公集聚程度</v>
      </c>
      <c r="R15" s="1504" t="s">
        <v>8</v>
      </c>
      <c r="S15" s="1505">
        <f t="shared" si="0"/>
        <v>100</v>
      </c>
      <c r="T15" s="1504" t="s">
        <v>8</v>
      </c>
      <c r="U15" s="1505">
        <f t="shared" si="1"/>
        <v>100</v>
      </c>
      <c r="V15" s="1504" t="s">
        <v>8</v>
      </c>
      <c r="W15" s="1505">
        <f t="shared" si="2"/>
        <v>100</v>
      </c>
      <c r="X15" s="1498"/>
      <c r="Y15" s="3774" t="s">
        <v>534</v>
      </c>
      <c r="Z15" s="1506" t="str">
        <f t="shared" si="7"/>
        <v>办公集聚程度</v>
      </c>
      <c r="AA15" s="1507">
        <f t="shared" si="3"/>
        <v>1</v>
      </c>
      <c r="AB15" s="1507">
        <f t="shared" si="4"/>
        <v>1</v>
      </c>
      <c r="AC15" s="1507">
        <f t="shared" si="5"/>
        <v>1</v>
      </c>
    </row>
    <row r="16" spans="1:29" ht="15">
      <c r="A16" s="524"/>
      <c r="B16" s="545"/>
      <c r="C16" s="546" t="s">
        <v>3042</v>
      </c>
      <c r="D16" s="547"/>
      <c r="E16" s="568" t="s">
        <v>3042</v>
      </c>
      <c r="F16" s="547"/>
      <c r="G16" s="546" t="s">
        <v>3042</v>
      </c>
      <c r="H16" s="551"/>
      <c r="I16" s="568" t="s">
        <v>3042</v>
      </c>
      <c r="J16" s="547"/>
      <c r="K16" s="886"/>
      <c r="L16" s="2020"/>
      <c r="M16" s="2012"/>
      <c r="N16" s="2012"/>
      <c r="O16" s="2012"/>
      <c r="P16" s="3775"/>
      <c r="Q16" s="1503"/>
      <c r="R16" s="1504"/>
      <c r="S16" s="1505"/>
      <c r="T16" s="1504"/>
      <c r="U16" s="1505"/>
      <c r="V16" s="1504"/>
      <c r="W16" s="1505"/>
      <c r="X16" s="1498"/>
      <c r="Y16" s="3775"/>
      <c r="Z16" s="1506"/>
      <c r="AA16" s="1507">
        <v>1</v>
      </c>
      <c r="AB16" s="1507">
        <v>1</v>
      </c>
      <c r="AC16" s="1507">
        <v>1</v>
      </c>
    </row>
    <row r="17" spans="1:29" ht="142.5">
      <c r="A17" s="524"/>
      <c r="B17" s="552" t="s">
        <v>296</v>
      </c>
      <c r="C17" s="565" t="str">
        <f>估价对象房地状况!C6</f>
        <v>紧邻地铁16号线（西北旺站），周边有333路、384路、438路、570路、575路、623路、902路、908路、909路、快速直达专线152路、专143路等多条公交线路，交通便捷度好</v>
      </c>
      <c r="D17" s="551">
        <v>100</v>
      </c>
      <c r="E17" s="3313" t="s">
        <v>3054</v>
      </c>
      <c r="F17" s="551">
        <f>SUMIF(79:79,E18,80:80)-SUMIF(79:79,C18,80:80)+100</f>
        <v>100</v>
      </c>
      <c r="G17" s="3319" t="s">
        <v>3059</v>
      </c>
      <c r="H17" s="557">
        <f>SUMIF(79:79,G18,80:80)-SUMIF(79:79,C18,80:80)+100</f>
        <v>100</v>
      </c>
      <c r="I17" s="3321" t="s">
        <v>3064</v>
      </c>
      <c r="J17" s="557">
        <f>SUMIF(79:79,I18,80:80)-SUMIF(79:79,C18,80:80)+100</f>
        <v>100</v>
      </c>
      <c r="K17" s="885">
        <v>5</v>
      </c>
      <c r="L17" s="2020"/>
      <c r="M17" s="2012"/>
      <c r="N17" s="2012"/>
      <c r="O17" s="2012"/>
      <c r="P17" s="3775"/>
      <c r="Q17" s="1503" t="str">
        <f>B17</f>
        <v>交通便捷度</v>
      </c>
      <c r="R17" s="1504" t="s">
        <v>8</v>
      </c>
      <c r="S17" s="1505">
        <f>F17</f>
        <v>100</v>
      </c>
      <c r="T17" s="1504" t="s">
        <v>8</v>
      </c>
      <c r="U17" s="1505">
        <f>H17</f>
        <v>100</v>
      </c>
      <c r="V17" s="1504" t="s">
        <v>8</v>
      </c>
      <c r="W17" s="1505">
        <f>J17</f>
        <v>100</v>
      </c>
      <c r="X17" s="1498"/>
      <c r="Y17" s="3775"/>
      <c r="Z17" s="1506" t="str">
        <f>Q17</f>
        <v>交通便捷度</v>
      </c>
      <c r="AA17" s="1507">
        <f t="shared" si="3"/>
        <v>1</v>
      </c>
      <c r="AB17" s="1507">
        <f t="shared" si="4"/>
        <v>1</v>
      </c>
      <c r="AC17" s="1507">
        <f t="shared" si="5"/>
        <v>1</v>
      </c>
    </row>
    <row r="18" spans="1:29" ht="15">
      <c r="A18" s="524"/>
      <c r="B18" s="558"/>
      <c r="C18" s="559" t="s">
        <v>3042</v>
      </c>
      <c r="D18" s="551"/>
      <c r="E18" s="561" t="s">
        <v>3042</v>
      </c>
      <c r="F18" s="551"/>
      <c r="G18" s="560" t="s">
        <v>3042</v>
      </c>
      <c r="H18" s="547"/>
      <c r="I18" s="560" t="s">
        <v>3042</v>
      </c>
      <c r="J18" s="547"/>
      <c r="K18" s="886"/>
      <c r="L18" s="2020"/>
      <c r="M18" s="2012"/>
      <c r="N18" s="2012"/>
      <c r="O18" s="2012"/>
      <c r="P18" s="3775"/>
      <c r="Q18" s="1503"/>
      <c r="R18" s="1504"/>
      <c r="S18" s="1505"/>
      <c r="T18" s="1504"/>
      <c r="U18" s="1505"/>
      <c r="V18" s="1504"/>
      <c r="W18" s="1505"/>
      <c r="X18" s="1498"/>
      <c r="Y18" s="3775"/>
      <c r="Z18" s="1506"/>
      <c r="AA18" s="1507">
        <v>1</v>
      </c>
      <c r="AB18" s="1507">
        <v>1</v>
      </c>
      <c r="AC18" s="1507">
        <v>1</v>
      </c>
    </row>
    <row r="19" spans="1:29" ht="279.95" customHeight="1">
      <c r="A19" s="524"/>
      <c r="B19" s="2443" t="s">
        <v>2527</v>
      </c>
      <c r="C19" s="565"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3314" t="s">
        <v>3055</v>
      </c>
      <c r="F19" s="557">
        <f>SUMIF(81:81,E20,82:82)-SUMIF(81:81,C20,82:82)+100</f>
        <v>100</v>
      </c>
      <c r="G19" s="3320" t="s">
        <v>3060</v>
      </c>
      <c r="H19" s="551">
        <f>SUMIF(81:81,G20,82:82)-SUMIF(81:81,C20,82:82)+100</f>
        <v>100</v>
      </c>
      <c r="I19" s="3320" t="s">
        <v>3065</v>
      </c>
      <c r="J19" s="551">
        <f>SUMIF(81:81,I20,82:82)-SUMIF(81:81,C20,82:82)+100</f>
        <v>100</v>
      </c>
      <c r="K19" s="885">
        <v>2</v>
      </c>
      <c r="L19" s="2020"/>
      <c r="M19" s="2012"/>
      <c r="N19" s="2012"/>
      <c r="O19" s="2012"/>
      <c r="P19" s="3775"/>
      <c r="Q19" s="1503" t="str">
        <f>B19</f>
        <v>公共配套设施</v>
      </c>
      <c r="R19" s="1504" t="s">
        <v>8</v>
      </c>
      <c r="S19" s="1505">
        <f>F19</f>
        <v>100</v>
      </c>
      <c r="T19" s="1504" t="s">
        <v>8</v>
      </c>
      <c r="U19" s="1505">
        <f>H19</f>
        <v>100</v>
      </c>
      <c r="V19" s="1504" t="s">
        <v>8</v>
      </c>
      <c r="W19" s="1505">
        <f>J19</f>
        <v>100</v>
      </c>
      <c r="X19" s="1498"/>
      <c r="Y19" s="3775"/>
      <c r="Z19" s="1506" t="str">
        <f>Q19</f>
        <v>公共配套设施</v>
      </c>
      <c r="AA19" s="1507">
        <f t="shared" si="3"/>
        <v>1</v>
      </c>
      <c r="AB19" s="1507">
        <f t="shared" si="4"/>
        <v>1</v>
      </c>
      <c r="AC19" s="1507">
        <f t="shared" si="5"/>
        <v>1</v>
      </c>
    </row>
    <row r="20" spans="1:29" ht="15">
      <c r="A20" s="524"/>
      <c r="B20" s="558"/>
      <c r="C20" s="546" t="s">
        <v>3042</v>
      </c>
      <c r="D20" s="547"/>
      <c r="E20" s="550" t="s">
        <v>3042</v>
      </c>
      <c r="F20" s="547"/>
      <c r="G20" s="548" t="s">
        <v>3042</v>
      </c>
      <c r="H20" s="547"/>
      <c r="I20" s="548" t="s">
        <v>3042</v>
      </c>
      <c r="J20" s="547"/>
      <c r="K20" s="886"/>
      <c r="L20" s="2020"/>
      <c r="M20" s="2012"/>
      <c r="N20" s="2012"/>
      <c r="O20" s="2012"/>
      <c r="P20" s="3775"/>
      <c r="Q20" s="1503"/>
      <c r="R20" s="1504"/>
      <c r="S20" s="1505"/>
      <c r="T20" s="1504"/>
      <c r="U20" s="1505"/>
      <c r="V20" s="1504"/>
      <c r="W20" s="1505"/>
      <c r="X20" s="1498"/>
      <c r="Y20" s="3775"/>
      <c r="Z20" s="1506"/>
      <c r="AA20" s="1507">
        <v>1</v>
      </c>
      <c r="AB20" s="1507">
        <v>1</v>
      </c>
      <c r="AC20" s="1507">
        <v>1</v>
      </c>
    </row>
    <row r="21" spans="1:29" ht="15">
      <c r="A21" s="524"/>
      <c r="B21" s="2431" t="s">
        <v>2539</v>
      </c>
      <c r="C21" s="565" t="str">
        <f>估价对象房地状况!C8</f>
        <v>七通</v>
      </c>
      <c r="D21" s="557">
        <v>100</v>
      </c>
      <c r="E21" s="3315" t="s">
        <v>3056</v>
      </c>
      <c r="F21" s="557">
        <f>SUMIF(83:83,E22,84:84)-SUMIF(83:83,C22,84:84)+100</f>
        <v>100</v>
      </c>
      <c r="G21" s="562"/>
      <c r="H21" s="557">
        <f>SUMIF(83:83,G22,84:84)-SUMIF(83:83,C22,84:84)+100</f>
        <v>100</v>
      </c>
      <c r="I21" s="562"/>
      <c r="J21" s="557">
        <f>SUMIF(83:83,I22,84:84)-SUMIF(83:83,C22,84:84)+100</f>
        <v>100</v>
      </c>
      <c r="K21" s="885"/>
      <c r="L21" s="2020"/>
      <c r="M21" s="2012"/>
      <c r="N21" s="2012"/>
      <c r="O21" s="2012"/>
      <c r="P21" s="3775"/>
      <c r="Q21" s="2425" t="str">
        <f>B21</f>
        <v>基础设施水平</v>
      </c>
      <c r="R21" s="1504" t="s">
        <v>8</v>
      </c>
      <c r="S21" s="1505">
        <f>F21</f>
        <v>100</v>
      </c>
      <c r="T21" s="1504" t="s">
        <v>8</v>
      </c>
      <c r="U21" s="1505">
        <f>H21</f>
        <v>100</v>
      </c>
      <c r="V21" s="1504" t="s">
        <v>8</v>
      </c>
      <c r="W21" s="1505">
        <f>J21</f>
        <v>100</v>
      </c>
      <c r="X21" s="2427"/>
      <c r="Y21" s="3775"/>
      <c r="Z21" s="2426" t="str">
        <f>Q21</f>
        <v>基础设施水平</v>
      </c>
      <c r="AA21" s="1507">
        <f t="shared" ref="AA21" si="8">D21/F21</f>
        <v>1</v>
      </c>
      <c r="AB21" s="1507">
        <f t="shared" ref="AB21" si="9">D21/H21</f>
        <v>1</v>
      </c>
      <c r="AC21" s="1507">
        <f t="shared" ref="AC21" si="10">D21/J21</f>
        <v>1</v>
      </c>
    </row>
    <row r="22" spans="1:29" ht="15">
      <c r="A22" s="524"/>
      <c r="B22" s="570"/>
      <c r="C22" s="559" t="s">
        <v>3027</v>
      </c>
      <c r="D22" s="547"/>
      <c r="E22" s="568" t="s">
        <v>3027</v>
      </c>
      <c r="F22" s="547"/>
      <c r="G22" s="546" t="s">
        <v>3027</v>
      </c>
      <c r="H22" s="547"/>
      <c r="I22" s="546" t="s">
        <v>3027</v>
      </c>
      <c r="J22" s="547"/>
      <c r="K22" s="2442"/>
      <c r="L22" s="2020"/>
      <c r="M22" s="2012"/>
      <c r="N22" s="2012"/>
      <c r="O22" s="2012"/>
      <c r="P22" s="3775"/>
      <c r="Q22" s="2425"/>
      <c r="R22" s="1504"/>
      <c r="S22" s="1505"/>
      <c r="T22" s="1504"/>
      <c r="U22" s="1505"/>
      <c r="V22" s="1504"/>
      <c r="W22" s="1505"/>
      <c r="X22" s="2427"/>
      <c r="Y22" s="3775"/>
      <c r="Z22" s="2426"/>
      <c r="AA22" s="1507">
        <v>1</v>
      </c>
      <c r="AB22" s="1507">
        <v>1</v>
      </c>
      <c r="AC22" s="1507">
        <v>1</v>
      </c>
    </row>
    <row r="23" spans="1:29" ht="128.25">
      <c r="A23" s="524"/>
      <c r="B23" s="552" t="s">
        <v>772</v>
      </c>
      <c r="C23" s="565" t="str">
        <f>估价对象房地状况!C9</f>
        <v>区域自然环境：百望山、药用植物园、百旺公园、首师大附中口袋公园、中关村公园、小关村公园、京密引水渠等；人文环境：西北旺镇政府；综合评价环境状况较好</v>
      </c>
      <c r="D23" s="551">
        <v>100</v>
      </c>
      <c r="E23" s="3316" t="s">
        <v>3057</v>
      </c>
      <c r="F23" s="551">
        <f>SUMIF(85:85,E24,86:86)-SUMIF(85:85,C24,86:86)+100</f>
        <v>97</v>
      </c>
      <c r="G23" s="3321" t="s">
        <v>3061</v>
      </c>
      <c r="H23" s="551">
        <f>SUMIF(85:85,G24,86:86)-SUMIF(85:85,C24,86:86)+100</f>
        <v>94</v>
      </c>
      <c r="I23" s="3321" t="s">
        <v>3066</v>
      </c>
      <c r="J23" s="551">
        <f>SUMIF(85:85,I24,86:86)-SUMIF(85:85,C24,86:86)+100</f>
        <v>94</v>
      </c>
      <c r="K23" s="885">
        <v>3</v>
      </c>
      <c r="L23" s="2020"/>
      <c r="M23" s="2012"/>
      <c r="N23" s="2012"/>
      <c r="O23" s="2012"/>
      <c r="P23" s="3775"/>
      <c r="Q23" s="1503" t="str">
        <f>B23</f>
        <v>环境质量</v>
      </c>
      <c r="R23" s="1504" t="s">
        <v>8</v>
      </c>
      <c r="S23" s="1505">
        <f>F23</f>
        <v>97</v>
      </c>
      <c r="T23" s="1504" t="s">
        <v>8</v>
      </c>
      <c r="U23" s="1505">
        <f>H23</f>
        <v>94</v>
      </c>
      <c r="V23" s="1504" t="s">
        <v>8</v>
      </c>
      <c r="W23" s="1505">
        <f>J23</f>
        <v>94</v>
      </c>
      <c r="X23" s="1498"/>
      <c r="Y23" s="3775"/>
      <c r="Z23" s="1506" t="str">
        <f>Q23</f>
        <v>环境质量</v>
      </c>
      <c r="AA23" s="1507">
        <f t="shared" si="3"/>
        <v>1.0309278350515463</v>
      </c>
      <c r="AB23" s="1507">
        <f t="shared" si="4"/>
        <v>1.0638297872340425</v>
      </c>
      <c r="AC23" s="1507">
        <f t="shared" si="5"/>
        <v>1.0638297872340425</v>
      </c>
    </row>
    <row r="24" spans="1:29" ht="15">
      <c r="A24" s="524"/>
      <c r="B24" s="570"/>
      <c r="C24" s="546" t="s">
        <v>3041</v>
      </c>
      <c r="D24" s="547"/>
      <c r="E24" s="550" t="s">
        <v>3042</v>
      </c>
      <c r="F24" s="547"/>
      <c r="G24" s="548" t="s">
        <v>3040</v>
      </c>
      <c r="H24" s="547"/>
      <c r="I24" s="548" t="s">
        <v>3040</v>
      </c>
      <c r="J24" s="547"/>
      <c r="K24" s="886"/>
      <c r="L24" s="2020"/>
      <c r="M24" s="2012"/>
      <c r="N24" s="2012"/>
      <c r="O24" s="2012"/>
      <c r="P24" s="3775"/>
      <c r="Q24" s="1503"/>
      <c r="R24" s="1504"/>
      <c r="S24" s="1505"/>
      <c r="T24" s="1504"/>
      <c r="U24" s="1505"/>
      <c r="V24" s="1504"/>
      <c r="W24" s="1505"/>
      <c r="X24" s="1498"/>
      <c r="Y24" s="3775"/>
      <c r="Z24" s="1506"/>
      <c r="AA24" s="1507">
        <v>1</v>
      </c>
      <c r="AB24" s="1507">
        <v>1</v>
      </c>
      <c r="AC24" s="1507">
        <v>1</v>
      </c>
    </row>
    <row r="25" spans="1:29" ht="27.75">
      <c r="A25" s="507"/>
      <c r="B25" s="552" t="s">
        <v>542</v>
      </c>
      <c r="C25" s="3310" t="s">
        <v>3712</v>
      </c>
      <c r="D25" s="532">
        <v>100</v>
      </c>
      <c r="E25" s="3317" t="s">
        <v>3058</v>
      </c>
      <c r="F25" s="532">
        <f>SUMIF(87:87,E26,88:88)-SUMIF(87:87,C26,88:88)+100</f>
        <v>100</v>
      </c>
      <c r="G25" s="3310" t="s">
        <v>3058</v>
      </c>
      <c r="H25" s="532">
        <f>SUMIF(87:87,G26,88:88)-SUMIF(87:87,C26,88:88)+100</f>
        <v>100</v>
      </c>
      <c r="I25" s="3317" t="s">
        <v>3067</v>
      </c>
      <c r="J25" s="532">
        <f>SUMIF(87:87,I26,88:88)-SUMIF(87:87,C26,88:88)+100</f>
        <v>103</v>
      </c>
      <c r="K25" s="885">
        <v>3</v>
      </c>
      <c r="L25" s="2020"/>
      <c r="M25" s="2012"/>
      <c r="N25" s="2012"/>
      <c r="O25" s="2012"/>
      <c r="P25" s="3775"/>
      <c r="Q25" s="1503" t="str">
        <f>B25</f>
        <v>毗邻道路的类型与等级</v>
      </c>
      <c r="R25" s="1504" t="s">
        <v>8</v>
      </c>
      <c r="S25" s="1505">
        <f>F25</f>
        <v>100</v>
      </c>
      <c r="T25" s="1504" t="s">
        <v>8</v>
      </c>
      <c r="U25" s="1505">
        <f>H25</f>
        <v>100</v>
      </c>
      <c r="V25" s="1504" t="s">
        <v>8</v>
      </c>
      <c r="W25" s="1505">
        <f>J25</f>
        <v>103</v>
      </c>
      <c r="X25" s="1498"/>
      <c r="Y25" s="3775"/>
      <c r="Z25" s="1506" t="str">
        <f>Q25</f>
        <v>毗邻道路的类型与等级</v>
      </c>
      <c r="AA25" s="1507">
        <f t="shared" si="3"/>
        <v>1</v>
      </c>
      <c r="AB25" s="1507">
        <f t="shared" si="4"/>
        <v>1</v>
      </c>
      <c r="AC25" s="1507">
        <f t="shared" si="5"/>
        <v>0.970873786407767</v>
      </c>
    </row>
    <row r="26" spans="1:29" ht="15">
      <c r="A26" s="507"/>
      <c r="B26" s="558"/>
      <c r="C26" s="572" t="s">
        <v>3068</v>
      </c>
      <c r="D26" s="532"/>
      <c r="E26" s="575" t="s">
        <v>3068</v>
      </c>
      <c r="F26" s="532"/>
      <c r="G26" s="572" t="s">
        <v>3068</v>
      </c>
      <c r="H26" s="532"/>
      <c r="I26" s="575" t="s">
        <v>3070</v>
      </c>
      <c r="J26" s="532"/>
      <c r="K26" s="886"/>
      <c r="L26" s="2020"/>
      <c r="M26" s="2012"/>
      <c r="N26" s="2012"/>
      <c r="O26" s="2012"/>
      <c r="P26" s="3775"/>
      <c r="Q26" s="1503"/>
      <c r="R26" s="1504"/>
      <c r="S26" s="1505"/>
      <c r="T26" s="1504"/>
      <c r="U26" s="1505"/>
      <c r="V26" s="1504"/>
      <c r="W26" s="1505"/>
      <c r="X26" s="1498"/>
      <c r="Y26" s="3775"/>
      <c r="Z26" s="1506"/>
      <c r="AA26" s="1507">
        <v>1</v>
      </c>
      <c r="AB26" s="1507">
        <v>1</v>
      </c>
      <c r="AC26" s="1507">
        <v>1</v>
      </c>
    </row>
    <row r="27" spans="1:29" ht="15" hidden="1">
      <c r="A27" s="524"/>
      <c r="B27" s="558" t="s">
        <v>755</v>
      </c>
      <c r="C27" s="572"/>
      <c r="D27" s="532">
        <v>100</v>
      </c>
      <c r="E27" s="575"/>
      <c r="F27" s="532">
        <f>SUMIF(89:89,E27,90:90)-SUMIF(89:89,C27,90:90)+100</f>
        <v>100</v>
      </c>
      <c r="G27" s="572"/>
      <c r="H27" s="532">
        <f>SUMIF(89:89,G27,90:90)-SUMIF(89:89,C27,90:90)+100</f>
        <v>100</v>
      </c>
      <c r="I27" s="575"/>
      <c r="J27" s="532">
        <f>SUMIF(89:89,I27,90:90)-SUMIF(89:89,C27,90:90)+100</f>
        <v>100</v>
      </c>
      <c r="K27" s="576">
        <v>1</v>
      </c>
      <c r="L27" s="2020"/>
      <c r="M27" s="2012"/>
      <c r="N27" s="2012"/>
      <c r="O27" s="2012"/>
      <c r="P27" s="3775"/>
      <c r="Q27" s="1503" t="str">
        <f t="shared" ref="Q27:Q47" si="11">B27</f>
        <v>楼层</v>
      </c>
      <c r="R27" s="1504" t="s">
        <v>8</v>
      </c>
      <c r="S27" s="1505">
        <f>F27</f>
        <v>100</v>
      </c>
      <c r="T27" s="1504" t="s">
        <v>8</v>
      </c>
      <c r="U27" s="1505">
        <f>H27</f>
        <v>100</v>
      </c>
      <c r="V27" s="1504" t="s">
        <v>8</v>
      </c>
      <c r="W27" s="1505">
        <f>J27</f>
        <v>100</v>
      </c>
      <c r="X27" s="1498"/>
      <c r="Y27" s="3775"/>
      <c r="Z27" s="1506" t="str">
        <f>Q27</f>
        <v>楼层</v>
      </c>
      <c r="AA27" s="1507">
        <f t="shared" si="3"/>
        <v>1</v>
      </c>
      <c r="AB27" s="1507">
        <f t="shared" si="4"/>
        <v>1</v>
      </c>
      <c r="AC27" s="1507">
        <f t="shared" si="5"/>
        <v>1</v>
      </c>
    </row>
    <row r="28" spans="1:29" s="1201" customFormat="1" ht="15" hidden="1">
      <c r="A28" s="528"/>
      <c r="B28" s="552" t="s">
        <v>773</v>
      </c>
      <c r="C28" s="900"/>
      <c r="D28" s="862">
        <v>100</v>
      </c>
      <c r="E28" s="888"/>
      <c r="F28" s="862">
        <f>SUMIF(91:91,E28,92:92)-SUMIF(91:91,C28,92:92)+100</f>
        <v>100</v>
      </c>
      <c r="G28" s="900"/>
      <c r="H28" s="862">
        <f>SUMIF(91:91,G28,92:92)-SUMIF(91:91,C28,92:92)+100</f>
        <v>100</v>
      </c>
      <c r="I28" s="888"/>
      <c r="J28" s="862">
        <f>SUMIF(91:91,I28,92:92)-SUMIF(91:91,C28,92:92)+100</f>
        <v>100</v>
      </c>
      <c r="K28" s="576"/>
      <c r="L28" s="2013"/>
      <c r="M28" s="2014"/>
      <c r="N28" s="2014"/>
      <c r="O28" s="2014"/>
      <c r="P28" s="3775"/>
      <c r="Q28" s="1132" t="str">
        <f t="shared" si="11"/>
        <v>朝向</v>
      </c>
      <c r="R28" s="1499" t="s">
        <v>8</v>
      </c>
      <c r="S28" s="1500">
        <f>F28</f>
        <v>100</v>
      </c>
      <c r="T28" s="1499" t="s">
        <v>8</v>
      </c>
      <c r="U28" s="1500">
        <f>H28</f>
        <v>100</v>
      </c>
      <c r="V28" s="1499" t="s">
        <v>8</v>
      </c>
      <c r="W28" s="1500">
        <f>J28</f>
        <v>100</v>
      </c>
      <c r="X28" s="1501"/>
      <c r="Y28" s="3775"/>
      <c r="Z28" s="1131" t="str">
        <f>Q28</f>
        <v>朝向</v>
      </c>
      <c r="AA28" s="1507">
        <f>D28/F28</f>
        <v>1</v>
      </c>
      <c r="AB28" s="1507">
        <f>D28/H28</f>
        <v>1</v>
      </c>
      <c r="AC28" s="1507">
        <f>D28/J28</f>
        <v>1</v>
      </c>
    </row>
    <row r="29" spans="1:29" ht="15.75" thickBot="1">
      <c r="A29" s="524"/>
      <c r="B29" s="3327" t="s">
        <v>3095</v>
      </c>
      <c r="C29" s="3329" t="s">
        <v>3093</v>
      </c>
      <c r="D29" s="532">
        <v>100</v>
      </c>
      <c r="E29" s="3330" t="s">
        <v>3093</v>
      </c>
      <c r="F29" s="532">
        <f>SUMIF(93:93,E29,94:94)-SUMIF(93:93,C29,94:94)+100</f>
        <v>100</v>
      </c>
      <c r="G29" s="897" t="str">
        <f>D93</f>
        <v>高层/10层</v>
      </c>
      <c r="H29" s="532">
        <f>SUMIF(93:93,G29,94:94)-SUMIF(93:93,C29,94:94)+100</f>
        <v>101</v>
      </c>
      <c r="I29" s="520" t="str">
        <f>E93</f>
        <v xml:space="preserve"> 中层/9层</v>
      </c>
      <c r="J29" s="532">
        <f>SUMIF(93:93,I29,94:94)-SUMIF(93:93,C29,94:94)+100</f>
        <v>100</v>
      </c>
      <c r="K29" s="573"/>
      <c r="L29" s="2020"/>
      <c r="M29" s="2012"/>
      <c r="N29" s="2012"/>
      <c r="O29" s="2012"/>
      <c r="P29" s="3775"/>
      <c r="Q29" s="1503" t="str">
        <f t="shared" si="11"/>
        <v>楼层</v>
      </c>
      <c r="R29" s="1504" t="s">
        <v>8</v>
      </c>
      <c r="S29" s="1505">
        <f t="shared" ref="S29:S47" si="12">F29</f>
        <v>100</v>
      </c>
      <c r="T29" s="1504" t="s">
        <v>8</v>
      </c>
      <c r="U29" s="1505">
        <f t="shared" ref="U29:U47" si="13">H29</f>
        <v>101</v>
      </c>
      <c r="V29" s="1504" t="s">
        <v>8</v>
      </c>
      <c r="W29" s="1505">
        <f t="shared" ref="W29:W47" si="14">J29</f>
        <v>100</v>
      </c>
      <c r="X29" s="1498"/>
      <c r="Y29" s="3775"/>
      <c r="Z29" s="1506" t="str">
        <f t="shared" ref="Z29:Z47" si="15">Q29</f>
        <v>楼层</v>
      </c>
      <c r="AA29" s="1507">
        <f t="shared" si="3"/>
        <v>1</v>
      </c>
      <c r="AB29" s="1507">
        <f t="shared" si="4"/>
        <v>0.99009900990099009</v>
      </c>
      <c r="AC29" s="1507">
        <f t="shared" si="5"/>
        <v>1</v>
      </c>
    </row>
    <row r="30" spans="1:29" ht="15" hidden="1">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0"/>
      <c r="M30" s="2012"/>
      <c r="N30" s="2012"/>
      <c r="O30" s="2012"/>
      <c r="P30" s="3775"/>
      <c r="Q30" s="1503">
        <f t="shared" si="11"/>
        <v>111</v>
      </c>
      <c r="R30" s="1504" t="s">
        <v>8</v>
      </c>
      <c r="S30" s="1505">
        <f t="shared" si="12"/>
        <v>100</v>
      </c>
      <c r="T30" s="1504" t="s">
        <v>8</v>
      </c>
      <c r="U30" s="1505">
        <f t="shared" si="13"/>
        <v>100</v>
      </c>
      <c r="V30" s="1504" t="s">
        <v>8</v>
      </c>
      <c r="W30" s="1505">
        <f t="shared" si="14"/>
        <v>100</v>
      </c>
      <c r="X30" s="1498"/>
      <c r="Y30" s="3775"/>
      <c r="Z30" s="1506">
        <f t="shared" si="15"/>
        <v>111</v>
      </c>
      <c r="AA30" s="1507">
        <f t="shared" si="3"/>
        <v>1</v>
      </c>
      <c r="AB30" s="1507">
        <f t="shared" si="4"/>
        <v>1</v>
      </c>
      <c r="AC30" s="1507">
        <f t="shared" si="5"/>
        <v>1</v>
      </c>
    </row>
    <row r="31" spans="1:29" ht="15" hidden="1">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0"/>
      <c r="M31" s="2012"/>
      <c r="N31" s="2012"/>
      <c r="O31" s="2012"/>
      <c r="P31" s="3775"/>
      <c r="Q31" s="1503">
        <f t="shared" si="11"/>
        <v>111</v>
      </c>
      <c r="R31" s="1504" t="s">
        <v>8</v>
      </c>
      <c r="S31" s="1505">
        <f t="shared" si="12"/>
        <v>100</v>
      </c>
      <c r="T31" s="1504" t="s">
        <v>8</v>
      </c>
      <c r="U31" s="1505">
        <f t="shared" si="13"/>
        <v>100</v>
      </c>
      <c r="V31" s="1504" t="s">
        <v>8</v>
      </c>
      <c r="W31" s="1505">
        <f t="shared" si="14"/>
        <v>100</v>
      </c>
      <c r="X31" s="1498"/>
      <c r="Y31" s="3775"/>
      <c r="Z31" s="1506">
        <f t="shared" si="15"/>
        <v>111</v>
      </c>
      <c r="AA31" s="1507">
        <f t="shared" si="3"/>
        <v>1</v>
      </c>
      <c r="AB31" s="1507">
        <f t="shared" si="4"/>
        <v>1</v>
      </c>
      <c r="AC31" s="1507">
        <f t="shared" si="5"/>
        <v>1</v>
      </c>
    </row>
    <row r="32" spans="1:29" ht="15.75" hidden="1"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0"/>
      <c r="M32" s="2012"/>
      <c r="N32" s="2012"/>
      <c r="O32" s="2012"/>
      <c r="P32" s="3775"/>
      <c r="Q32" s="1503">
        <f t="shared" si="11"/>
        <v>111</v>
      </c>
      <c r="R32" s="1504" t="s">
        <v>8</v>
      </c>
      <c r="S32" s="1505">
        <f t="shared" si="12"/>
        <v>100</v>
      </c>
      <c r="T32" s="1504" t="s">
        <v>8</v>
      </c>
      <c r="U32" s="1505">
        <f t="shared" si="13"/>
        <v>100</v>
      </c>
      <c r="V32" s="1504" t="s">
        <v>8</v>
      </c>
      <c r="W32" s="1505">
        <f t="shared" si="14"/>
        <v>100</v>
      </c>
      <c r="X32" s="1498"/>
      <c r="Y32" s="3775"/>
      <c r="Z32" s="1506">
        <f t="shared" si="15"/>
        <v>111</v>
      </c>
      <c r="AA32" s="1507">
        <f t="shared" si="3"/>
        <v>1</v>
      </c>
      <c r="AB32" s="1507">
        <f t="shared" si="4"/>
        <v>1</v>
      </c>
      <c r="AC32" s="1507">
        <f t="shared" si="5"/>
        <v>1</v>
      </c>
    </row>
    <row r="33" spans="1:29" ht="15">
      <c r="A33" s="2620" t="s">
        <v>2734</v>
      </c>
      <c r="B33" s="168" t="s">
        <v>774</v>
      </c>
      <c r="C33" s="903" t="s">
        <v>3710</v>
      </c>
      <c r="D33" s="589">
        <v>100</v>
      </c>
      <c r="E33" s="903" t="s">
        <v>3088</v>
      </c>
      <c r="F33" s="567">
        <f>SUMIF(101:101,E33,102:102)-SUMIF(101:101,C33,102:102)+100</f>
        <v>103</v>
      </c>
      <c r="G33" s="903" t="s">
        <v>3088</v>
      </c>
      <c r="H33" s="532">
        <f>SUMIF(101:101,G33,102:102)-SUMIF(101:101,C33,102:102)+100</f>
        <v>103</v>
      </c>
      <c r="I33" s="903" t="s">
        <v>3088</v>
      </c>
      <c r="J33" s="589">
        <f>SUMIF(101:101,I33,102:102)-SUMIF(101:101,C33,102:102)+100</f>
        <v>103</v>
      </c>
      <c r="K33" s="576">
        <v>3</v>
      </c>
      <c r="L33" s="2020"/>
      <c r="M33" s="2012"/>
      <c r="N33" s="2012"/>
      <c r="O33" s="2012"/>
      <c r="P33" s="3776" t="s">
        <v>544</v>
      </c>
      <c r="Q33" s="1503" t="str">
        <f t="shared" si="11"/>
        <v>建筑类型</v>
      </c>
      <c r="R33" s="1504" t="s">
        <v>8</v>
      </c>
      <c r="S33" s="1505">
        <f t="shared" si="12"/>
        <v>103</v>
      </c>
      <c r="T33" s="1504" t="s">
        <v>8</v>
      </c>
      <c r="U33" s="1505">
        <f t="shared" si="13"/>
        <v>103</v>
      </c>
      <c r="V33" s="1504" t="s">
        <v>8</v>
      </c>
      <c r="W33" s="1505">
        <f t="shared" si="14"/>
        <v>103</v>
      </c>
      <c r="X33" s="1498"/>
      <c r="Y33" s="3777" t="s">
        <v>544</v>
      </c>
      <c r="Z33" s="1506" t="str">
        <f t="shared" si="15"/>
        <v>建筑类型</v>
      </c>
      <c r="AA33" s="1507">
        <f t="shared" si="3"/>
        <v>0.970873786407767</v>
      </c>
      <c r="AB33" s="1507">
        <f t="shared" si="4"/>
        <v>0.970873786407767</v>
      </c>
      <c r="AC33" s="1507">
        <f t="shared" si="5"/>
        <v>0.970873786407767</v>
      </c>
    </row>
    <row r="34" spans="1:29" s="1291" customFormat="1" ht="15">
      <c r="A34" s="595"/>
      <c r="B34" s="519" t="s">
        <v>720</v>
      </c>
      <c r="C34" s="3326">
        <f>面积信息!F5</f>
        <v>101.68</v>
      </c>
      <c r="D34" s="251">
        <v>100</v>
      </c>
      <c r="E34" s="526">
        <v>12000</v>
      </c>
      <c r="F34" s="850">
        <f>LOOKUP(E34,104:104,105:105)-LOOKUP(C34,104:104,105:105)+100</f>
        <v>99</v>
      </c>
      <c r="G34" s="525">
        <v>1200</v>
      </c>
      <c r="H34" s="251">
        <f>LOOKUP(G34,104:104,105:105)-LOOKUP(C34,104:104,105:105)+100</f>
        <v>100</v>
      </c>
      <c r="I34" s="525">
        <v>1200</v>
      </c>
      <c r="J34" s="251">
        <f>LOOKUP(I34,104:104,105:105)-LOOKUP(C34,104:104,105:105)+100</f>
        <v>100</v>
      </c>
      <c r="K34" s="573"/>
      <c r="L34" s="2018"/>
      <c r="M34" s="2048"/>
      <c r="N34" s="2048"/>
      <c r="O34" s="2048"/>
      <c r="P34" s="3777"/>
      <c r="Q34" s="1532" t="str">
        <f t="shared" si="11"/>
        <v>项目建筑规模</v>
      </c>
      <c r="R34" s="1508" t="s">
        <v>8</v>
      </c>
      <c r="S34" s="1509">
        <f t="shared" si="12"/>
        <v>99</v>
      </c>
      <c r="T34" s="1508" t="s">
        <v>8</v>
      </c>
      <c r="U34" s="1509">
        <f t="shared" si="13"/>
        <v>100</v>
      </c>
      <c r="V34" s="1508" t="s">
        <v>8</v>
      </c>
      <c r="W34" s="1509">
        <f t="shared" si="14"/>
        <v>100</v>
      </c>
      <c r="X34" s="1510"/>
      <c r="Y34" s="3777"/>
      <c r="Z34" s="1511" t="str">
        <f t="shared" si="15"/>
        <v>项目建筑规模</v>
      </c>
      <c r="AA34" s="1507">
        <f t="shared" si="3"/>
        <v>1.0101010101010102</v>
      </c>
      <c r="AB34" s="1507">
        <f t="shared" si="4"/>
        <v>1</v>
      </c>
      <c r="AC34" s="1507">
        <f t="shared" si="5"/>
        <v>1</v>
      </c>
    </row>
    <row r="35" spans="1:29" ht="15">
      <c r="A35" s="586"/>
      <c r="B35" s="519" t="s">
        <v>721</v>
      </c>
      <c r="C35" s="566" t="s">
        <v>3072</v>
      </c>
      <c r="D35" s="532">
        <v>100</v>
      </c>
      <c r="E35" s="566" t="s">
        <v>3072</v>
      </c>
      <c r="F35" s="567">
        <f>SUMIF(106:106,E35,107:107)-SUMIF(106:106,C35,107:107)+100</f>
        <v>100</v>
      </c>
      <c r="G35" s="566" t="s">
        <v>3072</v>
      </c>
      <c r="H35" s="532">
        <f>SUMIF(106:106,G35,107:107)-SUMIF(106:106,C35,107:107)+100</f>
        <v>100</v>
      </c>
      <c r="I35" s="566" t="s">
        <v>3072</v>
      </c>
      <c r="J35" s="532">
        <f>SUMIF(106:106,I35,107:107)-SUMIF(106:106,C35,107:107)+100</f>
        <v>100</v>
      </c>
      <c r="K35" s="576"/>
      <c r="L35" s="2020"/>
      <c r="M35" s="2012"/>
      <c r="N35" s="2012"/>
      <c r="O35" s="2012"/>
      <c r="P35" s="3777"/>
      <c r="Q35" s="1503" t="str">
        <f t="shared" si="11"/>
        <v>建筑结构</v>
      </c>
      <c r="R35" s="1504" t="s">
        <v>8</v>
      </c>
      <c r="S35" s="1505">
        <f t="shared" si="12"/>
        <v>100</v>
      </c>
      <c r="T35" s="1504" t="s">
        <v>8</v>
      </c>
      <c r="U35" s="1505">
        <f t="shared" si="13"/>
        <v>100</v>
      </c>
      <c r="V35" s="1504" t="s">
        <v>8</v>
      </c>
      <c r="W35" s="1505">
        <f t="shared" si="14"/>
        <v>100</v>
      </c>
      <c r="X35" s="1498"/>
      <c r="Y35" s="3777"/>
      <c r="Z35" s="1506" t="str">
        <f t="shared" si="15"/>
        <v>建筑结构</v>
      </c>
      <c r="AA35" s="1507">
        <f t="shared" si="3"/>
        <v>1</v>
      </c>
      <c r="AB35" s="1507">
        <f t="shared" si="4"/>
        <v>1</v>
      </c>
      <c r="AC35" s="1507">
        <f t="shared" si="5"/>
        <v>1</v>
      </c>
    </row>
    <row r="36" spans="1:29" ht="15">
      <c r="A36" s="586"/>
      <c r="B36" s="519" t="s">
        <v>757</v>
      </c>
      <c r="C36" s="566" t="s">
        <v>3074</v>
      </c>
      <c r="D36" s="532">
        <v>100</v>
      </c>
      <c r="E36" s="566" t="s">
        <v>3074</v>
      </c>
      <c r="F36" s="567">
        <f>SUMIF(108:108,E36,109:109)-SUMIF(108:108,C36,109:109)+100</f>
        <v>100</v>
      </c>
      <c r="G36" s="566" t="s">
        <v>3074</v>
      </c>
      <c r="H36" s="532">
        <f>SUMIF(108:108,G36,109:109)-SUMIF(108:108,C36,109:109)+100</f>
        <v>100</v>
      </c>
      <c r="I36" s="566" t="s">
        <v>3074</v>
      </c>
      <c r="J36" s="532">
        <f>SUMIF(108:108,I36,109:109)-SUMIF(108:108,C36,109:109)+100</f>
        <v>100</v>
      </c>
      <c r="K36" s="576">
        <v>1</v>
      </c>
      <c r="L36" s="2020"/>
      <c r="M36" s="2012"/>
      <c r="N36" s="2012"/>
      <c r="O36" s="2012"/>
      <c r="P36" s="3777"/>
      <c r="Q36" s="1503" t="str">
        <f t="shared" si="11"/>
        <v>公共部分装修</v>
      </c>
      <c r="R36" s="1504" t="s">
        <v>8</v>
      </c>
      <c r="S36" s="1505">
        <f t="shared" si="12"/>
        <v>100</v>
      </c>
      <c r="T36" s="1504" t="s">
        <v>8</v>
      </c>
      <c r="U36" s="1505">
        <f t="shared" si="13"/>
        <v>100</v>
      </c>
      <c r="V36" s="1504" t="s">
        <v>8</v>
      </c>
      <c r="W36" s="1505">
        <f t="shared" si="14"/>
        <v>100</v>
      </c>
      <c r="X36" s="1498"/>
      <c r="Y36" s="3777"/>
      <c r="Z36" s="1506" t="str">
        <f t="shared" si="15"/>
        <v>公共部分装修</v>
      </c>
      <c r="AA36" s="1507">
        <f t="shared" si="3"/>
        <v>1</v>
      </c>
      <c r="AB36" s="1507">
        <f t="shared" si="4"/>
        <v>1</v>
      </c>
      <c r="AC36" s="1507">
        <f t="shared" si="5"/>
        <v>1</v>
      </c>
    </row>
    <row r="37" spans="1:29" ht="15">
      <c r="A37" s="586"/>
      <c r="B37" s="519" t="s">
        <v>758</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0"/>
      <c r="M37" s="2012"/>
      <c r="N37" s="2012"/>
      <c r="O37" s="2012"/>
      <c r="P37" s="3777"/>
      <c r="Q37" s="1503" t="str">
        <f t="shared" si="11"/>
        <v>成新度</v>
      </c>
      <c r="R37" s="1504" t="s">
        <v>8</v>
      </c>
      <c r="S37" s="1505">
        <f t="shared" si="12"/>
        <v>97</v>
      </c>
      <c r="T37" s="1504" t="s">
        <v>8</v>
      </c>
      <c r="U37" s="1505">
        <f t="shared" si="13"/>
        <v>97</v>
      </c>
      <c r="V37" s="1504" t="s">
        <v>8</v>
      </c>
      <c r="W37" s="1505">
        <f t="shared" si="14"/>
        <v>97</v>
      </c>
      <c r="X37" s="1498"/>
      <c r="Y37" s="3777"/>
      <c r="Z37" s="1506" t="str">
        <f t="shared" si="15"/>
        <v>成新度</v>
      </c>
      <c r="AA37" s="1507">
        <f t="shared" si="3"/>
        <v>1.0309278350515463</v>
      </c>
      <c r="AB37" s="1507">
        <f t="shared" si="4"/>
        <v>1.0309278350515463</v>
      </c>
      <c r="AC37" s="1507">
        <f t="shared" si="5"/>
        <v>1.0309278350515463</v>
      </c>
    </row>
    <row r="38" spans="1:29" s="1201" customFormat="1" ht="15">
      <c r="A38" s="592"/>
      <c r="B38" s="519" t="s">
        <v>775</v>
      </c>
      <c r="C38" s="566" t="s">
        <v>3076</v>
      </c>
      <c r="D38" s="251">
        <v>100</v>
      </c>
      <c r="E38" s="566" t="s">
        <v>3076</v>
      </c>
      <c r="F38" s="567">
        <f>SUMIF(113:113,E38,114:114)-SUMIF(113:113,C38,114:114)+100</f>
        <v>100</v>
      </c>
      <c r="G38" s="566" t="s">
        <v>3076</v>
      </c>
      <c r="H38" s="532">
        <f>SUMIF(113:113,G38,114:114)-SUMIF(113:113,C38,114:114)+100</f>
        <v>100</v>
      </c>
      <c r="I38" s="566" t="s">
        <v>3076</v>
      </c>
      <c r="J38" s="532">
        <f>SUMIF(113:113,I38,114:114)-SUMIF(113:113,C38,114:114)+100</f>
        <v>100</v>
      </c>
      <c r="K38" s="576">
        <v>2</v>
      </c>
      <c r="L38" s="2013"/>
      <c r="M38" s="2014"/>
      <c r="N38" s="2014"/>
      <c r="O38" s="2014"/>
      <c r="P38" s="3777"/>
      <c r="Q38" s="1132" t="str">
        <f t="shared" si="11"/>
        <v>写字楼等级</v>
      </c>
      <c r="R38" s="1499" t="s">
        <v>8</v>
      </c>
      <c r="S38" s="1500">
        <f t="shared" si="12"/>
        <v>100</v>
      </c>
      <c r="T38" s="1499" t="s">
        <v>8</v>
      </c>
      <c r="U38" s="1500">
        <f t="shared" si="13"/>
        <v>100</v>
      </c>
      <c r="V38" s="1499" t="s">
        <v>8</v>
      </c>
      <c r="W38" s="1500">
        <f t="shared" si="14"/>
        <v>100</v>
      </c>
      <c r="X38" s="1501"/>
      <c r="Y38" s="3777"/>
      <c r="Z38" s="1131" t="str">
        <f t="shared" si="15"/>
        <v>写字楼等级</v>
      </c>
      <c r="AA38" s="1502">
        <f t="shared" si="3"/>
        <v>1</v>
      </c>
      <c r="AB38" s="1502">
        <f t="shared" si="4"/>
        <v>1</v>
      </c>
      <c r="AC38" s="1502">
        <f t="shared" si="5"/>
        <v>1</v>
      </c>
    </row>
    <row r="39" spans="1:29" ht="15">
      <c r="A39" s="586"/>
      <c r="B39" s="519" t="s">
        <v>776</v>
      </c>
      <c r="C39" s="566" t="s">
        <v>3079</v>
      </c>
      <c r="D39" s="532">
        <v>100</v>
      </c>
      <c r="E39" s="566" t="s">
        <v>3079</v>
      </c>
      <c r="F39" s="567">
        <f>SUMIF(115:115,E39,116:116)-SUMIF(115:115,C39,116:116)+100</f>
        <v>100</v>
      </c>
      <c r="G39" s="566" t="s">
        <v>3079</v>
      </c>
      <c r="H39" s="532">
        <f>SUMIF(115:115,G39,116:116)-SUMIF(115:115,C39,116:116)+100</f>
        <v>100</v>
      </c>
      <c r="I39" s="566" t="s">
        <v>3079</v>
      </c>
      <c r="J39" s="532">
        <f>SUMIF(115:115,I39,116:116)-SUMIF(115:115,C39,116:116)+100</f>
        <v>100</v>
      </c>
      <c r="K39" s="576"/>
      <c r="L39" s="2020"/>
      <c r="M39" s="2012"/>
      <c r="N39" s="2012"/>
      <c r="O39" s="2012"/>
      <c r="P39" s="3777" t="s">
        <v>544</v>
      </c>
      <c r="Q39" s="1503" t="str">
        <f t="shared" si="11"/>
        <v>物业管理</v>
      </c>
      <c r="R39" s="1504" t="s">
        <v>8</v>
      </c>
      <c r="S39" s="1505">
        <f t="shared" si="12"/>
        <v>100</v>
      </c>
      <c r="T39" s="1504" t="s">
        <v>8</v>
      </c>
      <c r="U39" s="1505">
        <f t="shared" si="13"/>
        <v>100</v>
      </c>
      <c r="V39" s="1504" t="s">
        <v>8</v>
      </c>
      <c r="W39" s="1505">
        <f t="shared" si="14"/>
        <v>100</v>
      </c>
      <c r="X39" s="1498"/>
      <c r="Y39" s="3777" t="s">
        <v>544</v>
      </c>
      <c r="Z39" s="1506" t="str">
        <f t="shared" si="15"/>
        <v>物业管理</v>
      </c>
      <c r="AA39" s="1507">
        <f t="shared" si="3"/>
        <v>1</v>
      </c>
      <c r="AB39" s="1507">
        <f t="shared" si="4"/>
        <v>1</v>
      </c>
      <c r="AC39" s="1507">
        <f t="shared" si="5"/>
        <v>1</v>
      </c>
    </row>
    <row r="40" spans="1:29" ht="15">
      <c r="A40" s="586"/>
      <c r="B40" s="1805" t="s">
        <v>2546</v>
      </c>
      <c r="C40" s="566" t="s">
        <v>3081</v>
      </c>
      <c r="D40" s="532">
        <v>100</v>
      </c>
      <c r="E40" s="566" t="s">
        <v>3081</v>
      </c>
      <c r="F40" s="567">
        <f>SUMIF(117:117,E40,118:118)-SUMIF(117:117,C40,118:118)+100</f>
        <v>100</v>
      </c>
      <c r="G40" s="566" t="s">
        <v>3081</v>
      </c>
      <c r="H40" s="532">
        <f>SUMIF(117:117,G40,118:118)-SUMIF(117:117,C40,118:118)+100</f>
        <v>100</v>
      </c>
      <c r="I40" s="566" t="s">
        <v>3081</v>
      </c>
      <c r="J40" s="532">
        <f>SUMIF(117:117,I40,118:118)-SUMIF(117:117,C40,118:118)+100</f>
        <v>100</v>
      </c>
      <c r="K40" s="576">
        <v>2</v>
      </c>
      <c r="L40" s="2020"/>
      <c r="M40" s="2012"/>
      <c r="N40" s="2012"/>
      <c r="O40" s="2012"/>
      <c r="P40" s="3777"/>
      <c r="Q40" s="1503" t="str">
        <f t="shared" si="11"/>
        <v>市政基础设施</v>
      </c>
      <c r="R40" s="1504" t="s">
        <v>8</v>
      </c>
      <c r="S40" s="1505">
        <f t="shared" si="12"/>
        <v>100</v>
      </c>
      <c r="T40" s="1504" t="s">
        <v>8</v>
      </c>
      <c r="U40" s="1505">
        <f t="shared" si="13"/>
        <v>100</v>
      </c>
      <c r="V40" s="1504" t="s">
        <v>8</v>
      </c>
      <c r="W40" s="1505">
        <f t="shared" si="14"/>
        <v>100</v>
      </c>
      <c r="X40" s="1498"/>
      <c r="Y40" s="3777"/>
      <c r="Z40" s="1506" t="str">
        <f t="shared" si="15"/>
        <v>市政基础设施</v>
      </c>
      <c r="AA40" s="1507">
        <f t="shared" si="3"/>
        <v>1</v>
      </c>
      <c r="AB40" s="1507">
        <f t="shared" si="4"/>
        <v>1</v>
      </c>
      <c r="AC40" s="1507">
        <f t="shared" si="5"/>
        <v>1</v>
      </c>
    </row>
    <row r="41" spans="1:29" ht="15">
      <c r="A41" s="586"/>
      <c r="B41" s="519" t="s">
        <v>761</v>
      </c>
      <c r="C41" s="575" t="s">
        <v>3098</v>
      </c>
      <c r="D41" s="532">
        <v>100</v>
      </c>
      <c r="E41" s="575" t="s">
        <v>3098</v>
      </c>
      <c r="F41" s="567">
        <f>SUMIF(119:119,E41,120:120)-SUMIF(119:119,C41,120:120)+100</f>
        <v>100</v>
      </c>
      <c r="G41" s="575" t="s">
        <v>3098</v>
      </c>
      <c r="H41" s="532">
        <f>SUMIF(119:119,G41,120:120)-SUMIF(119:119,C41,120:120)+100</f>
        <v>100</v>
      </c>
      <c r="I41" s="575" t="s">
        <v>3098</v>
      </c>
      <c r="J41" s="532">
        <f>SUMIF(119:119,I41,120:120)-SUMIF(119:119,C41,120:120)+100</f>
        <v>100</v>
      </c>
      <c r="K41" s="576"/>
      <c r="L41" s="2020"/>
      <c r="M41" s="2012"/>
      <c r="N41" s="2012"/>
      <c r="O41" s="2012"/>
      <c r="P41" s="3777"/>
      <c r="Q41" s="1503" t="str">
        <f t="shared" si="11"/>
        <v>层高</v>
      </c>
      <c r="R41" s="1504" t="s">
        <v>8</v>
      </c>
      <c r="S41" s="1505">
        <f t="shared" si="12"/>
        <v>100</v>
      </c>
      <c r="T41" s="1504" t="s">
        <v>8</v>
      </c>
      <c r="U41" s="1505">
        <f t="shared" si="13"/>
        <v>100</v>
      </c>
      <c r="V41" s="1504" t="s">
        <v>8</v>
      </c>
      <c r="W41" s="1505">
        <f t="shared" si="14"/>
        <v>100</v>
      </c>
      <c r="X41" s="1498"/>
      <c r="Y41" s="3777"/>
      <c r="Z41" s="1506" t="str">
        <f t="shared" si="15"/>
        <v>层高</v>
      </c>
      <c r="AA41" s="1507">
        <f t="shared" si="3"/>
        <v>1</v>
      </c>
      <c r="AB41" s="1507">
        <f t="shared" si="4"/>
        <v>1</v>
      </c>
      <c r="AC41" s="1507">
        <f t="shared" si="5"/>
        <v>1</v>
      </c>
    </row>
    <row r="42" spans="1:29" s="1291" customFormat="1" ht="15" hidden="1">
      <c r="A42" s="595"/>
      <c r="B42" s="891" t="s">
        <v>777</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8"/>
      <c r="M42" s="2048"/>
      <c r="N42" s="2048"/>
      <c r="O42" s="2048"/>
      <c r="P42" s="3777"/>
      <c r="Q42" s="1532" t="str">
        <f t="shared" si="11"/>
        <v>单套建筑面积</v>
      </c>
      <c r="R42" s="1508" t="s">
        <v>8</v>
      </c>
      <c r="S42" s="1509">
        <f t="shared" si="12"/>
        <v>100</v>
      </c>
      <c r="T42" s="1508" t="s">
        <v>8</v>
      </c>
      <c r="U42" s="1509">
        <f t="shared" si="13"/>
        <v>100</v>
      </c>
      <c r="V42" s="1508" t="s">
        <v>8</v>
      </c>
      <c r="W42" s="1509">
        <f t="shared" si="14"/>
        <v>100</v>
      </c>
      <c r="X42" s="1510"/>
      <c r="Y42" s="3777"/>
      <c r="Z42" s="1511" t="str">
        <f t="shared" si="15"/>
        <v>单套建筑面积</v>
      </c>
      <c r="AA42" s="1507">
        <f t="shared" si="3"/>
        <v>1</v>
      </c>
      <c r="AB42" s="1507">
        <f t="shared" si="4"/>
        <v>1</v>
      </c>
      <c r="AC42" s="1507">
        <f t="shared" si="5"/>
        <v>1</v>
      </c>
    </row>
    <row r="43" spans="1:29" ht="15">
      <c r="A43" s="586"/>
      <c r="B43" s="519" t="s">
        <v>764</v>
      </c>
      <c r="C43" s="566" t="s">
        <v>3074</v>
      </c>
      <c r="D43" s="532">
        <v>100</v>
      </c>
      <c r="E43" s="566" t="s">
        <v>3085</v>
      </c>
      <c r="F43" s="567">
        <f>SUMIF(123:123,E43,124:124)-SUMIF(123:123,C43,124:124)+100</f>
        <v>99</v>
      </c>
      <c r="G43" s="566" t="s">
        <v>3091</v>
      </c>
      <c r="H43" s="532">
        <f>SUMIF(123:123,G43,124:124)-SUMIF(123:123,C43,124:124)+100</f>
        <v>98</v>
      </c>
      <c r="I43" s="566" t="s">
        <v>3083</v>
      </c>
      <c r="J43" s="532">
        <f>SUMIF(123:123,I43,124:124)-SUMIF(123:123,C43,124:124)+100</f>
        <v>101</v>
      </c>
      <c r="K43" s="576">
        <v>1</v>
      </c>
      <c r="L43" s="2020"/>
      <c r="M43" s="2012"/>
      <c r="N43" s="2012"/>
      <c r="O43" s="2012"/>
      <c r="P43" s="3777"/>
      <c r="Q43" s="1503" t="str">
        <f t="shared" si="11"/>
        <v>内部装修</v>
      </c>
      <c r="R43" s="1504" t="s">
        <v>8</v>
      </c>
      <c r="S43" s="1505">
        <f t="shared" si="12"/>
        <v>99</v>
      </c>
      <c r="T43" s="1504" t="s">
        <v>8</v>
      </c>
      <c r="U43" s="1505">
        <f t="shared" si="13"/>
        <v>98</v>
      </c>
      <c r="V43" s="1504" t="s">
        <v>8</v>
      </c>
      <c r="W43" s="1505">
        <f t="shared" si="14"/>
        <v>101</v>
      </c>
      <c r="X43" s="1498"/>
      <c r="Y43" s="3777"/>
      <c r="Z43" s="1506" t="str">
        <f t="shared" si="15"/>
        <v>内部装修</v>
      </c>
      <c r="AA43" s="1507">
        <f t="shared" si="3"/>
        <v>1.0101010101010102</v>
      </c>
      <c r="AB43" s="1507">
        <f t="shared" si="4"/>
        <v>1.0204081632653061</v>
      </c>
      <c r="AC43" s="1507">
        <f t="shared" si="5"/>
        <v>0.99009900990099009</v>
      </c>
    </row>
    <row r="44" spans="1:29" ht="27">
      <c r="A44" s="586"/>
      <c r="B44" s="519" t="s">
        <v>729</v>
      </c>
      <c r="C44" s="566" t="s">
        <v>3042</v>
      </c>
      <c r="D44" s="532">
        <v>100</v>
      </c>
      <c r="E44" s="591" t="s">
        <v>3042</v>
      </c>
      <c r="F44" s="567">
        <f>SUMIF(125:125,E44,126:126)-SUMIF(125:125,C44,126:126)+100</f>
        <v>100</v>
      </c>
      <c r="G44" s="591" t="s">
        <v>3042</v>
      </c>
      <c r="H44" s="532">
        <f>SUMIF(125:125,G44,126:126)-SUMIF(125:125,C44,126:126)+100</f>
        <v>100</v>
      </c>
      <c r="I44" s="591" t="s">
        <v>3042</v>
      </c>
      <c r="J44" s="532">
        <f>SUMIF(125:125,I44,126:126)-SUMIF(125:125,C44,126:126)+100</f>
        <v>100</v>
      </c>
      <c r="K44" s="576"/>
      <c r="L44" s="2020"/>
      <c r="M44" s="2012"/>
      <c r="N44" s="2012"/>
      <c r="O44" s="2012"/>
      <c r="P44" s="3777"/>
      <c r="Q44" s="1503" t="str">
        <f t="shared" si="11"/>
        <v>内部装修维护情况</v>
      </c>
      <c r="R44" s="1504" t="s">
        <v>8</v>
      </c>
      <c r="S44" s="1505">
        <f t="shared" si="12"/>
        <v>100</v>
      </c>
      <c r="T44" s="1504" t="s">
        <v>8</v>
      </c>
      <c r="U44" s="1505">
        <f t="shared" si="13"/>
        <v>100</v>
      </c>
      <c r="V44" s="1504" t="s">
        <v>8</v>
      </c>
      <c r="W44" s="1505">
        <f t="shared" si="14"/>
        <v>100</v>
      </c>
      <c r="X44" s="1498"/>
      <c r="Y44" s="3777"/>
      <c r="Z44" s="1506" t="str">
        <f t="shared" si="15"/>
        <v>内部装修维护情况</v>
      </c>
      <c r="AA44" s="1507">
        <f t="shared" si="3"/>
        <v>1</v>
      </c>
      <c r="AB44" s="1507">
        <f t="shared" si="4"/>
        <v>1</v>
      </c>
      <c r="AC44" s="1507">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3"/>
      <c r="M45" s="2014"/>
      <c r="N45" s="2014"/>
      <c r="O45" s="2014"/>
      <c r="P45" s="3777"/>
      <c r="Q45" s="1132">
        <f t="shared" si="11"/>
        <v>111</v>
      </c>
      <c r="R45" s="1499" t="s">
        <v>8</v>
      </c>
      <c r="S45" s="1500">
        <f t="shared" si="12"/>
        <v>100</v>
      </c>
      <c r="T45" s="1499" t="s">
        <v>8</v>
      </c>
      <c r="U45" s="1500">
        <f t="shared" si="13"/>
        <v>100</v>
      </c>
      <c r="V45" s="1499" t="s">
        <v>8</v>
      </c>
      <c r="W45" s="1500">
        <f t="shared" si="14"/>
        <v>100</v>
      </c>
      <c r="X45" s="1501"/>
      <c r="Y45" s="3777"/>
      <c r="Z45" s="1131">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0"/>
      <c r="M46" s="2012"/>
      <c r="N46" s="2012"/>
      <c r="O46" s="2012"/>
      <c r="P46" s="3777"/>
      <c r="Q46" s="1503">
        <f t="shared" si="11"/>
        <v>111</v>
      </c>
      <c r="R46" s="1504" t="s">
        <v>8</v>
      </c>
      <c r="S46" s="1505">
        <f t="shared" si="12"/>
        <v>100</v>
      </c>
      <c r="T46" s="1504" t="s">
        <v>8</v>
      </c>
      <c r="U46" s="1505">
        <f t="shared" si="13"/>
        <v>100</v>
      </c>
      <c r="V46" s="1504" t="s">
        <v>8</v>
      </c>
      <c r="W46" s="1505">
        <f t="shared" si="14"/>
        <v>100</v>
      </c>
      <c r="X46" s="1498"/>
      <c r="Y46" s="3777"/>
      <c r="Z46" s="1506">
        <f t="shared" si="15"/>
        <v>111</v>
      </c>
      <c r="AA46" s="1507">
        <f t="shared" si="3"/>
        <v>1</v>
      </c>
      <c r="AB46" s="1507">
        <f t="shared" si="4"/>
        <v>1</v>
      </c>
      <c r="AC46" s="1507">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0"/>
      <c r="M47" s="2012"/>
      <c r="N47" s="2012"/>
      <c r="O47" s="2012"/>
      <c r="P47" s="3778"/>
      <c r="Q47" s="1503">
        <f t="shared" si="11"/>
        <v>111</v>
      </c>
      <c r="R47" s="1504" t="s">
        <v>8</v>
      </c>
      <c r="S47" s="1505">
        <f t="shared" si="12"/>
        <v>100</v>
      </c>
      <c r="T47" s="1504" t="s">
        <v>8</v>
      </c>
      <c r="U47" s="1505">
        <f t="shared" si="13"/>
        <v>100</v>
      </c>
      <c r="V47" s="1504" t="s">
        <v>8</v>
      </c>
      <c r="W47" s="1505">
        <f t="shared" si="14"/>
        <v>100</v>
      </c>
      <c r="X47" s="1498"/>
      <c r="Y47" s="3778"/>
      <c r="Z47" s="1506">
        <f t="shared" si="15"/>
        <v>111</v>
      </c>
      <c r="AA47" s="1507">
        <f t="shared" si="3"/>
        <v>1</v>
      </c>
      <c r="AB47" s="1507">
        <f t="shared" si="4"/>
        <v>1</v>
      </c>
      <c r="AC47" s="1507">
        <f t="shared" si="5"/>
        <v>1</v>
      </c>
    </row>
    <row r="48" spans="1:29" ht="15">
      <c r="A48" s="599" t="s">
        <v>730</v>
      </c>
      <c r="B48" s="874"/>
      <c r="C48" s="2466" t="s">
        <v>1</v>
      </c>
      <c r="D48" s="2467"/>
      <c r="E48" s="2468">
        <v>28000</v>
      </c>
      <c r="F48" s="2469"/>
      <c r="G48" s="2470">
        <v>32000</v>
      </c>
      <c r="H48" s="2471"/>
      <c r="I48" s="2468">
        <v>29166</v>
      </c>
      <c r="J48" s="2471"/>
      <c r="K48" s="1537"/>
      <c r="L48" s="2022"/>
      <c r="M48" s="2012"/>
      <c r="N48" s="2012"/>
      <c r="O48" s="2012"/>
      <c r="P48" s="3770" t="str">
        <f>A48</f>
        <v>成交单价（元/平方米）</v>
      </c>
      <c r="Q48" s="3772"/>
      <c r="R48" s="3773">
        <f>E48</f>
        <v>28000</v>
      </c>
      <c r="S48" s="3773"/>
      <c r="T48" s="3773">
        <f>G48</f>
        <v>32000</v>
      </c>
      <c r="U48" s="3773"/>
      <c r="V48" s="3773">
        <f>I48</f>
        <v>29166</v>
      </c>
      <c r="W48" s="3773"/>
      <c r="X48" s="1493"/>
      <c r="Y48" s="1512"/>
      <c r="Z48" s="1493"/>
      <c r="AA48" s="1493"/>
      <c r="AB48" s="1493"/>
      <c r="AC48" s="1493"/>
    </row>
    <row r="49" spans="1:29" ht="15.75" thickBot="1">
      <c r="A49" s="607" t="s">
        <v>2739</v>
      </c>
      <c r="B49" s="875"/>
      <c r="C49" s="2472">
        <f>R50</f>
        <v>31455</v>
      </c>
      <c r="D49" s="3008" t="s">
        <v>2964</v>
      </c>
      <c r="E49" s="2473">
        <f>R49</f>
        <v>29479</v>
      </c>
      <c r="F49" s="3009"/>
      <c r="G49" s="2472">
        <f>T49</f>
        <v>34424</v>
      </c>
      <c r="H49" s="3009"/>
      <c r="I49" s="2473">
        <f>V49</f>
        <v>30462</v>
      </c>
      <c r="J49" s="3009"/>
      <c r="K49" s="3017">
        <f>F49+H49+J49</f>
        <v>0</v>
      </c>
      <c r="L49" s="2022"/>
      <c r="M49" s="2012"/>
      <c r="N49" s="2012"/>
      <c r="O49" s="2012"/>
      <c r="P49" s="3770" t="str">
        <f>A49</f>
        <v>比较价格（元/平方米）</v>
      </c>
      <c r="Q49" s="3772"/>
      <c r="R49" s="3773">
        <f>IF(F1="售价",ROUND(PRODUCT(R48,AA7:AA47),0),ROUND(PRODUCT(R48,AA7:AA47),1))</f>
        <v>29479</v>
      </c>
      <c r="S49" s="3773"/>
      <c r="T49" s="3773">
        <f>IF(F1="售价",ROUND(PRODUCT(T48,AB7:AB47),0),ROUND(PRODUCT(T48,AB7:AB47),1))</f>
        <v>34424</v>
      </c>
      <c r="U49" s="3773"/>
      <c r="V49" s="3773">
        <f>IF(F1="售价",ROUND(PRODUCT(V48,AC7:AC47),0),ROUND(PRODUCT(V48,AC7:AC47),1))</f>
        <v>30462</v>
      </c>
      <c r="W49" s="3773"/>
      <c r="X49" s="1493"/>
      <c r="Y49" s="1493"/>
      <c r="Z49" s="1493"/>
      <c r="AA49" s="1493"/>
      <c r="AB49" s="1493"/>
      <c r="AC49" s="1493"/>
    </row>
    <row r="50" spans="1:29" ht="15.75" thickBot="1">
      <c r="A50" s="611" t="s">
        <v>2899</v>
      </c>
      <c r="B50" s="612"/>
      <c r="C50" s="2474">
        <f>R50</f>
        <v>31455</v>
      </c>
      <c r="D50" s="2474"/>
      <c r="E50" s="2474"/>
      <c r="F50" s="2474"/>
      <c r="G50" s="2474"/>
      <c r="H50" s="2474"/>
      <c r="I50" s="2474"/>
      <c r="J50" s="2474"/>
      <c r="K50" s="1538"/>
      <c r="L50" s="2022"/>
      <c r="M50" s="2012"/>
      <c r="N50" s="2012"/>
      <c r="O50" s="2012"/>
      <c r="P50" s="3847" t="str">
        <f>A50</f>
        <v>估价对象XX用房的比较价格（楼面单价，元/平方米）</v>
      </c>
      <c r="Q50" s="3770"/>
      <c r="R50" s="3771">
        <f>IF(F1="售价",ROUND(IF(D49="简单平均",AVERAGE(R49:V49),R49*F49+T49*H49+V49*J49),0),ROUND(IF(D49="简单平均",AVERAGE(R49:V49),R49*F49+T49*H49+V49*J49),1))</f>
        <v>31455</v>
      </c>
      <c r="S50" s="3771"/>
      <c r="T50" s="3771"/>
      <c r="U50" s="3771"/>
      <c r="V50" s="3771"/>
      <c r="W50" s="3771"/>
      <c r="X50" s="1493"/>
      <c r="Y50" s="1493"/>
      <c r="Z50" s="1493"/>
      <c r="AA50" s="1493"/>
      <c r="AB50" s="1493"/>
      <c r="AC50" s="1493"/>
    </row>
    <row r="51" spans="1:29">
      <c r="A51" s="3207"/>
      <c r="B51" s="3207"/>
      <c r="C51" s="3207"/>
      <c r="D51" s="3207"/>
      <c r="E51" s="3207"/>
      <c r="F51" s="3207"/>
      <c r="G51" s="3209"/>
      <c r="H51" s="3207"/>
      <c r="I51" s="3207"/>
      <c r="J51" s="3207"/>
      <c r="K51" s="3210"/>
      <c r="L51" s="2027"/>
      <c r="M51" s="2023"/>
      <c r="N51" s="2023"/>
      <c r="O51" s="2023"/>
      <c r="P51" s="2084"/>
      <c r="Q51" s="2023"/>
      <c r="R51" s="2023"/>
      <c r="S51" s="2023"/>
      <c r="T51" s="2023"/>
      <c r="U51" s="2023"/>
      <c r="V51" s="2023"/>
      <c r="W51" s="2023"/>
      <c r="X51" s="2023"/>
      <c r="Y51" s="2023"/>
      <c r="Z51" s="2023"/>
      <c r="AA51" s="2023"/>
      <c r="AB51" s="2023"/>
      <c r="AC51" s="2023"/>
    </row>
    <row r="52" spans="1:29">
      <c r="A52" s="3207"/>
      <c r="B52" s="3207"/>
      <c r="C52" s="3207"/>
      <c r="D52" s="3207"/>
      <c r="E52" s="3207"/>
      <c r="F52" s="3207"/>
      <c r="G52" s="3207"/>
      <c r="H52" s="3207"/>
      <c r="I52" s="3207"/>
      <c r="J52" s="3207"/>
      <c r="K52" s="3210"/>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7"/>
      <c r="B53" s="3207"/>
      <c r="C53" s="614" t="s">
        <v>551</v>
      </c>
      <c r="D53" s="615"/>
      <c r="E53" s="616">
        <f>IF(E48&lt;E49,E49/E48-1,E48/E49-1)</f>
        <v>5.2821428571428575E-2</v>
      </c>
      <c r="F53" s="617" t="str">
        <f>IF(OR(E53&gt;=0.3,E53&lt;=-0.3),"超过30%","")</f>
        <v/>
      </c>
      <c r="G53" s="616">
        <f>IF(G48&lt;G49,G49/G48-1,G48/G49-1)</f>
        <v>7.5749999999999984E-2</v>
      </c>
      <c r="H53" s="617" t="str">
        <f>IF(OR(G53&gt;=0.3,G53&lt;=-0.3),"超过30%","")</f>
        <v/>
      </c>
      <c r="I53" s="616">
        <f>IF(I48&lt;I49,I49/I48-1,I48/I49-1)</f>
        <v>4.4435301378317194E-2</v>
      </c>
      <c r="J53" s="617" t="str">
        <f>IF(OR(I53&gt;=0.3,I53&lt;=-0.3),"超过30%","")</f>
        <v/>
      </c>
      <c r="K53" s="3210"/>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7"/>
      <c r="B54" s="3207"/>
      <c r="C54" s="614" t="s">
        <v>552</v>
      </c>
      <c r="D54" s="618"/>
      <c r="E54" s="616">
        <f>IF(E49&lt;G49,G49/E49-1,E49/G49-1)</f>
        <v>0.16774653142915286</v>
      </c>
      <c r="F54" s="617" t="str">
        <f>IF(OR(E54&gt;=0.2,E54&lt;=-0.2),"超过20%","")</f>
        <v/>
      </c>
      <c r="G54" s="616">
        <f>IF(G49&lt;I49,I49/G49-1,G49/I49-1)</f>
        <v>0.13006368590374895</v>
      </c>
      <c r="H54" s="617" t="str">
        <f>IF(OR(G54&gt;=0.2,G54&lt;=-0.2),"超过20%","")</f>
        <v/>
      </c>
      <c r="I54" s="616">
        <f>IF(I49&lt;E49,E49/I49-1,I49/E49-1)</f>
        <v>3.3345771566199778E-2</v>
      </c>
      <c r="J54" s="617" t="str">
        <f>IF(OR(I54&gt;=0.2,I54&lt;=-0.2),"超过20%","")</f>
        <v/>
      </c>
      <c r="K54" s="3210"/>
      <c r="L54" s="2027"/>
      <c r="M54" s="2023"/>
      <c r="N54" s="2023"/>
      <c r="O54" s="2023"/>
      <c r="P54" s="2084"/>
      <c r="Q54" s="2023"/>
      <c r="R54" s="2023"/>
      <c r="S54" s="2023"/>
      <c r="T54" s="2023"/>
      <c r="U54" s="2023"/>
      <c r="V54" s="2023"/>
      <c r="W54" s="2023"/>
      <c r="X54" s="2023"/>
      <c r="Y54" s="2023"/>
      <c r="Z54" s="2023"/>
      <c r="AA54" s="2023"/>
      <c r="AB54" s="2023"/>
      <c r="AC54" s="2023"/>
    </row>
    <row r="55" spans="1:29" s="1296" customFormat="1" ht="13.5" customHeight="1">
      <c r="A55" s="3208"/>
      <c r="B55" s="3208"/>
      <c r="C55" s="614" t="s">
        <v>553</v>
      </c>
      <c r="D55" s="618"/>
      <c r="E55" s="616">
        <f>IF(E48&lt;G48,G48/E48-1,E48/G48-1)</f>
        <v>0.14285714285714279</v>
      </c>
      <c r="F55" s="617" t="str">
        <f>IF(OR(E55&gt;=0.3,E55&lt;=-0.3),"超过30%","")</f>
        <v/>
      </c>
      <c r="G55" s="616">
        <f>IF(G48&lt;I48,I48/G48-1,G48/I48-1)</f>
        <v>9.7167935267091776E-2</v>
      </c>
      <c r="H55" s="617" t="str">
        <f>IF(OR(G55&gt;=0.3,G55&lt;=-0.3),"超过30%","")</f>
        <v/>
      </c>
      <c r="I55" s="616">
        <f>IF(I48&lt;E48,E48/I48-1,I48/E48-1)</f>
        <v>4.1642857142857093E-2</v>
      </c>
      <c r="J55" s="617" t="str">
        <f>IF(OR(I55&gt;=0.3,I55&lt;=-0.3),"超过30%","")</f>
        <v/>
      </c>
      <c r="K55" s="3211"/>
      <c r="L55" s="2030"/>
      <c r="M55" s="2024"/>
      <c r="N55" s="2024"/>
      <c r="O55" s="2024"/>
      <c r="P55" s="2085"/>
      <c r="Q55" s="2024"/>
      <c r="R55" s="2024"/>
      <c r="S55" s="2024"/>
      <c r="T55" s="2024"/>
      <c r="U55" s="2024"/>
      <c r="V55" s="2024"/>
      <c r="W55" s="2024"/>
      <c r="X55" s="2024"/>
      <c r="Y55" s="2024"/>
      <c r="Z55" s="2024"/>
      <c r="AA55" s="2024"/>
      <c r="AB55" s="2024"/>
      <c r="AC55" s="2024"/>
    </row>
    <row r="56" spans="1:29" s="1296"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5" t="s">
        <v>568</v>
      </c>
      <c r="B58" s="1493"/>
      <c r="C58" s="1514"/>
      <c r="D58" s="1514"/>
      <c r="E58" s="1514"/>
      <c r="F58" s="1516"/>
      <c r="G58" s="1516"/>
      <c r="H58" s="1514"/>
      <c r="I58" s="1514"/>
      <c r="J58" s="1514"/>
      <c r="K58" s="1517"/>
      <c r="L58" s="1513"/>
      <c r="M58" s="1514"/>
      <c r="N58" s="2034"/>
      <c r="O58" s="2034"/>
      <c r="P58" s="2086"/>
      <c r="Q58" s="2035"/>
      <c r="R58" s="2023"/>
      <c r="S58" s="2023"/>
      <c r="T58" s="2023"/>
      <c r="U58" s="2023"/>
      <c r="V58" s="2023"/>
      <c r="W58" s="2023"/>
      <c r="X58" s="2023"/>
      <c r="Y58" s="2023"/>
      <c r="Z58" s="2023"/>
      <c r="AA58" s="2023"/>
      <c r="AB58" s="2023"/>
      <c r="AC58" s="2023"/>
    </row>
    <row r="59" spans="1:29" s="1298" customFormat="1" ht="15">
      <c r="A59" s="635" t="s">
        <v>523</v>
      </c>
      <c r="B59" s="636"/>
      <c r="C59" s="2515" t="str">
        <f>YEAR(C7)&amp;"-"&amp;MONTH(C7)</f>
        <v>2021-8</v>
      </c>
      <c r="D59" s="2517">
        <f>EDATE(C59,-1)</f>
        <v>44378</v>
      </c>
      <c r="E59" s="2517">
        <f t="shared" ref="E59:O59" si="16">EDATE(D59,-1)</f>
        <v>44348</v>
      </c>
      <c r="F59" s="2517">
        <f t="shared" si="16"/>
        <v>44317</v>
      </c>
      <c r="G59" s="2517">
        <f t="shared" si="16"/>
        <v>44287</v>
      </c>
      <c r="H59" s="2517">
        <f t="shared" si="16"/>
        <v>44256</v>
      </c>
      <c r="I59" s="2517">
        <f t="shared" si="16"/>
        <v>44228</v>
      </c>
      <c r="J59" s="2517">
        <f t="shared" si="16"/>
        <v>44197</v>
      </c>
      <c r="K59" s="2517">
        <f t="shared" si="16"/>
        <v>44166</v>
      </c>
      <c r="L59" s="2517">
        <f t="shared" si="16"/>
        <v>44136</v>
      </c>
      <c r="M59" s="2517">
        <f t="shared" si="16"/>
        <v>44105</v>
      </c>
      <c r="N59" s="2517">
        <f t="shared" si="16"/>
        <v>44075</v>
      </c>
      <c r="O59" s="2517">
        <f t="shared" si="16"/>
        <v>44044</v>
      </c>
      <c r="P59" s="2087"/>
      <c r="Q59" s="2038"/>
      <c r="R59" s="2038"/>
      <c r="S59" s="2038"/>
      <c r="T59" s="2038"/>
      <c r="U59" s="2038"/>
      <c r="V59" s="2038"/>
      <c r="W59" s="2038"/>
      <c r="X59" s="2038"/>
      <c r="Y59" s="2038"/>
      <c r="Z59" s="2038"/>
      <c r="AA59" s="2038"/>
      <c r="AB59" s="2038"/>
      <c r="AC59" s="2038"/>
    </row>
    <row r="60" spans="1:29" s="1201" customFormat="1" ht="15">
      <c r="A60" s="637"/>
      <c r="B60" s="638"/>
      <c r="C60" s="639">
        <v>100</v>
      </c>
      <c r="D60" s="640"/>
      <c r="E60" s="640"/>
      <c r="F60" s="640"/>
      <c r="G60" s="640"/>
      <c r="H60" s="640"/>
      <c r="I60" s="640"/>
      <c r="J60" s="640"/>
      <c r="K60" s="640"/>
      <c r="L60" s="640"/>
      <c r="M60" s="641"/>
      <c r="N60" s="640"/>
      <c r="O60" s="641"/>
      <c r="P60" s="2088"/>
      <c r="Q60" s="1901"/>
      <c r="R60" s="1901"/>
      <c r="S60" s="1901"/>
      <c r="T60" s="1901"/>
      <c r="U60" s="1901"/>
      <c r="V60" s="1901"/>
      <c r="W60" s="1901"/>
      <c r="X60" s="1901"/>
      <c r="Y60" s="1901"/>
      <c r="Z60" s="1901"/>
      <c r="AA60" s="1901"/>
      <c r="AB60" s="1901"/>
      <c r="AC60" s="1901"/>
    </row>
    <row r="61" spans="1:29" s="1201" customFormat="1" ht="15.75" thickBot="1">
      <c r="A61" s="643" t="s">
        <v>569</v>
      </c>
      <c r="B61" s="644"/>
      <c r="C61" s="645"/>
      <c r="D61" s="646"/>
      <c r="E61" s="646"/>
      <c r="F61" s="646"/>
      <c r="G61" s="646"/>
      <c r="H61" s="646"/>
      <c r="I61" s="646"/>
      <c r="J61" s="646"/>
      <c r="K61" s="646"/>
      <c r="L61" s="646"/>
      <c r="M61" s="647"/>
      <c r="N61" s="646"/>
      <c r="O61" s="647"/>
      <c r="P61" s="2088"/>
      <c r="Q61" s="2035"/>
      <c r="R61" s="1901"/>
      <c r="S61" s="1901"/>
      <c r="T61" s="1901"/>
      <c r="U61" s="1901"/>
      <c r="V61" s="1901"/>
      <c r="W61" s="1901"/>
      <c r="X61" s="1901"/>
      <c r="Y61" s="1901"/>
      <c r="Z61" s="1901"/>
      <c r="AA61" s="1901"/>
      <c r="AB61" s="1901"/>
      <c r="AC61" s="1901"/>
    </row>
    <row r="62" spans="1:29" s="1201" customFormat="1" ht="15">
      <c r="A62" s="649" t="s">
        <v>525</v>
      </c>
      <c r="B62" s="638"/>
      <c r="C62" s="650" t="s">
        <v>570</v>
      </c>
      <c r="D62" s="651"/>
      <c r="E62" s="651"/>
      <c r="F62" s="651"/>
      <c r="G62" s="651"/>
      <c r="H62" s="651"/>
      <c r="I62" s="651"/>
      <c r="J62" s="651"/>
      <c r="K62" s="651"/>
      <c r="L62" s="652"/>
      <c r="M62" s="653"/>
      <c r="N62" s="2039"/>
      <c r="O62" s="2039"/>
      <c r="P62" s="2089"/>
      <c r="Q62" s="2035"/>
      <c r="R62" s="1901"/>
      <c r="S62" s="1901"/>
      <c r="T62" s="1901"/>
      <c r="U62" s="1901"/>
      <c r="V62" s="1901"/>
      <c r="W62" s="1901"/>
      <c r="X62" s="1901"/>
      <c r="Y62" s="1901"/>
      <c r="Z62" s="1901"/>
      <c r="AA62" s="1901"/>
      <c r="AB62" s="1901"/>
      <c r="AC62" s="1901"/>
    </row>
    <row r="63" spans="1:29" s="1201" customFormat="1" ht="15.75" thickBot="1">
      <c r="A63" s="649"/>
      <c r="B63" s="638"/>
      <c r="C63" s="876">
        <v>100</v>
      </c>
      <c r="D63" s="640"/>
      <c r="E63" s="640"/>
      <c r="F63" s="640"/>
      <c r="G63" s="640"/>
      <c r="H63" s="640"/>
      <c r="I63" s="640"/>
      <c r="J63" s="640"/>
      <c r="K63" s="640"/>
      <c r="L63" s="640"/>
      <c r="M63" s="642"/>
      <c r="N63" s="2039"/>
      <c r="O63" s="2039"/>
      <c r="P63" s="2088"/>
      <c r="Q63" s="2035"/>
      <c r="R63" s="1901"/>
      <c r="S63" s="1901"/>
      <c r="T63" s="1901"/>
      <c r="U63" s="1901"/>
      <c r="V63" s="1901"/>
      <c r="W63" s="1901"/>
      <c r="X63" s="1901"/>
      <c r="Y63" s="1901"/>
      <c r="Z63" s="1901"/>
      <c r="AA63" s="1901"/>
      <c r="AB63" s="1901"/>
      <c r="AC63" s="1901"/>
    </row>
    <row r="64" spans="1:29">
      <c r="A64" s="654" t="s">
        <v>571</v>
      </c>
      <c r="B64" s="655" t="s">
        <v>528</v>
      </c>
      <c r="C64" s="694" t="str">
        <f>C9</f>
        <v>办公</v>
      </c>
      <c r="D64" s="590"/>
      <c r="E64" s="590"/>
      <c r="F64" s="590"/>
      <c r="G64" s="590"/>
      <c r="H64" s="590"/>
      <c r="I64" s="590"/>
      <c r="J64" s="590"/>
      <c r="K64" s="656"/>
      <c r="L64" s="657"/>
      <c r="M64" s="658"/>
      <c r="N64" s="2041"/>
      <c r="O64" s="2041"/>
      <c r="P64" s="2090"/>
      <c r="Q64" s="2035"/>
      <c r="R64" s="2023"/>
      <c r="S64" s="2023"/>
      <c r="T64" s="2023"/>
      <c r="U64" s="2023"/>
      <c r="V64" s="2023"/>
      <c r="W64" s="2023"/>
      <c r="X64" s="2023"/>
      <c r="Y64" s="2023"/>
      <c r="Z64" s="2023"/>
      <c r="AA64" s="2023"/>
      <c r="AB64" s="2023"/>
      <c r="AC64" s="2023"/>
    </row>
    <row r="65" spans="1:29" ht="15.75" thickBot="1">
      <c r="A65" s="659"/>
      <c r="B65" s="660"/>
      <c r="C65" s="661"/>
      <c r="D65" s="661"/>
      <c r="E65" s="661"/>
      <c r="F65" s="661"/>
      <c r="G65" s="661"/>
      <c r="H65" s="661"/>
      <c r="I65" s="661"/>
      <c r="J65" s="661"/>
      <c r="K65" s="661"/>
      <c r="L65" s="661"/>
      <c r="M65" s="662"/>
      <c r="N65" s="2043"/>
      <c r="O65" s="2043"/>
      <c r="P65" s="2090"/>
      <c r="Q65" s="2035"/>
      <c r="R65" s="2023"/>
      <c r="S65" s="2023"/>
      <c r="T65" s="2023"/>
      <c r="U65" s="2023"/>
      <c r="V65" s="2023"/>
      <c r="W65" s="2023"/>
      <c r="X65" s="2023"/>
      <c r="Y65" s="2023"/>
      <c r="Z65" s="2023"/>
      <c r="AA65" s="2023"/>
      <c r="AB65" s="2023"/>
      <c r="AC65" s="2023"/>
    </row>
    <row r="66" spans="1:29" ht="27.75" thickTop="1">
      <c r="A66" s="659"/>
      <c r="B66" s="663" t="s">
        <v>531</v>
      </c>
      <c r="C66" s="664" t="s">
        <v>731</v>
      </c>
      <c r="D66" s="664" t="s">
        <v>732</v>
      </c>
      <c r="E66" s="664" t="s">
        <v>733</v>
      </c>
      <c r="F66" s="664" t="s">
        <v>734</v>
      </c>
      <c r="G66" s="664" t="s">
        <v>735</v>
      </c>
      <c r="H66" s="664" t="s">
        <v>736</v>
      </c>
      <c r="I66" s="664" t="s">
        <v>737</v>
      </c>
      <c r="J66" s="664"/>
      <c r="K66" s="665"/>
      <c r="L66" s="666"/>
      <c r="M66" s="667"/>
      <c r="N66" s="2041"/>
      <c r="O66" s="2041"/>
      <c r="P66" s="2090"/>
      <c r="Q66" s="2035"/>
      <c r="R66" s="2023"/>
      <c r="S66" s="2023"/>
      <c r="T66" s="2023"/>
      <c r="U66" s="2023"/>
      <c r="V66" s="2023"/>
      <c r="W66" s="2023"/>
      <c r="X66" s="2023"/>
      <c r="Y66" s="2023"/>
      <c r="Z66" s="2023"/>
      <c r="AA66" s="2023"/>
      <c r="AB66" s="2023"/>
      <c r="AC66" s="2023"/>
    </row>
    <row r="67" spans="1:29" ht="15.75" thickBot="1">
      <c r="A67" s="659"/>
      <c r="B67" s="668"/>
      <c r="C67" s="669" t="s">
        <v>14</v>
      </c>
      <c r="D67" s="669" t="s">
        <v>15</v>
      </c>
      <c r="E67" s="669">
        <v>100</v>
      </c>
      <c r="F67" s="669">
        <f>E67-$K10</f>
        <v>99</v>
      </c>
      <c r="G67" s="669">
        <f>F67-$K10</f>
        <v>98</v>
      </c>
      <c r="H67" s="669">
        <f>G67-$K10</f>
        <v>97</v>
      </c>
      <c r="I67" s="669">
        <f>H67-$K10</f>
        <v>96</v>
      </c>
      <c r="J67" s="669"/>
      <c r="K67" s="669"/>
      <c r="L67" s="669"/>
      <c r="M67" s="670"/>
      <c r="N67" s="2043"/>
      <c r="O67" s="2043"/>
      <c r="P67" s="2090"/>
      <c r="Q67" s="2035"/>
      <c r="R67" s="2023"/>
      <c r="S67" s="2023"/>
      <c r="T67" s="2023"/>
      <c r="U67" s="2023"/>
      <c r="V67" s="2023"/>
      <c r="W67" s="2023"/>
      <c r="X67" s="2023"/>
      <c r="Y67" s="2023"/>
      <c r="Z67" s="2023"/>
      <c r="AA67" s="2023"/>
      <c r="AB67" s="2023"/>
      <c r="AC67" s="2023"/>
    </row>
    <row r="68" spans="1:29" ht="15.75" thickTop="1">
      <c r="A68" s="659"/>
      <c r="B68" s="671" t="s">
        <v>532</v>
      </c>
      <c r="C68" s="672" t="str">
        <f>C69&amp;"（含）"&amp;"-"&amp;D69</f>
        <v>0（含）-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9"/>
      <c r="B69" s="673"/>
      <c r="C69" s="533">
        <v>0</v>
      </c>
      <c r="D69" s="533"/>
      <c r="E69" s="533"/>
      <c r="F69" s="533"/>
      <c r="G69" s="533"/>
      <c r="H69" s="533"/>
      <c r="I69" s="533"/>
      <c r="J69" s="533"/>
      <c r="K69" s="674"/>
      <c r="L69" s="675"/>
      <c r="M69" s="676"/>
      <c r="N69" s="2041"/>
      <c r="O69" s="2041"/>
      <c r="P69" s="2090"/>
      <c r="Q69" s="2035"/>
      <c r="R69" s="2023"/>
      <c r="S69" s="2023"/>
      <c r="T69" s="2023"/>
      <c r="U69" s="2023"/>
      <c r="V69" s="2023"/>
      <c r="W69" s="2023"/>
      <c r="X69" s="2023"/>
      <c r="Y69" s="2023"/>
      <c r="Z69" s="2023"/>
      <c r="AA69" s="2023"/>
      <c r="AB69" s="2023"/>
      <c r="AC69" s="2023"/>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3"/>
      <c r="O70" s="2043"/>
      <c r="P70" s="2090"/>
      <c r="Q70" s="2035"/>
      <c r="R70" s="2023"/>
      <c r="S70" s="2023"/>
      <c r="T70" s="2023"/>
      <c r="U70" s="2023"/>
      <c r="V70" s="2023"/>
      <c r="W70" s="2023"/>
      <c r="X70" s="2023"/>
      <c r="Y70" s="2023"/>
      <c r="Z70" s="2023"/>
      <c r="AA70" s="2023"/>
      <c r="AB70" s="2023"/>
      <c r="AC70" s="2023"/>
    </row>
    <row r="71" spans="1:29" s="1291" customFormat="1" ht="15.75" thickTop="1">
      <c r="A71" s="677"/>
      <c r="B71" s="663">
        <f>B12</f>
        <v>111</v>
      </c>
      <c r="C71" s="678"/>
      <c r="D71" s="678"/>
      <c r="E71" s="678"/>
      <c r="F71" s="678"/>
      <c r="G71" s="678"/>
      <c r="H71" s="679"/>
      <c r="I71" s="679"/>
      <c r="J71" s="679"/>
      <c r="K71" s="679"/>
      <c r="L71" s="680"/>
      <c r="M71" s="681"/>
      <c r="N71" s="2044"/>
      <c r="O71" s="2044"/>
      <c r="P71" s="2091"/>
      <c r="Q71" s="2046"/>
      <c r="R71" s="2047"/>
      <c r="S71" s="2047"/>
      <c r="T71" s="2047"/>
      <c r="U71" s="2047"/>
      <c r="V71" s="2047"/>
      <c r="W71" s="2047"/>
      <c r="X71" s="2047"/>
      <c r="Y71" s="2047"/>
      <c r="Z71" s="2047"/>
      <c r="AA71" s="2047"/>
      <c r="AB71" s="2047"/>
      <c r="AC71" s="2047"/>
    </row>
    <row r="72" spans="1:29" s="1291" customFormat="1" ht="15.75" thickBot="1">
      <c r="A72" s="677"/>
      <c r="B72" s="668"/>
      <c r="C72" s="682"/>
      <c r="D72" s="661"/>
      <c r="E72" s="661"/>
      <c r="F72" s="661"/>
      <c r="G72" s="661"/>
      <c r="H72" s="661"/>
      <c r="I72" s="661"/>
      <c r="J72" s="661"/>
      <c r="K72" s="661"/>
      <c r="L72" s="661"/>
      <c r="M72" s="662"/>
      <c r="N72" s="2043"/>
      <c r="O72" s="2043"/>
      <c r="P72" s="2091"/>
      <c r="Q72" s="2046"/>
      <c r="R72" s="2047"/>
      <c r="S72" s="2047"/>
      <c r="T72" s="2047"/>
      <c r="U72" s="2047"/>
      <c r="V72" s="2047"/>
      <c r="W72" s="2047"/>
      <c r="X72" s="2047"/>
      <c r="Y72" s="2047"/>
      <c r="Z72" s="2047"/>
      <c r="AA72" s="2047"/>
      <c r="AB72" s="2047"/>
      <c r="AC72" s="2047"/>
    </row>
    <row r="73" spans="1:29" s="1291" customFormat="1" ht="15.75" thickTop="1">
      <c r="A73" s="677"/>
      <c r="B73" s="663">
        <f>B13</f>
        <v>111</v>
      </c>
      <c r="C73" s="678"/>
      <c r="D73" s="678"/>
      <c r="E73" s="678"/>
      <c r="F73" s="678"/>
      <c r="G73" s="678"/>
      <c r="H73" s="679"/>
      <c r="I73" s="679"/>
      <c r="J73" s="679"/>
      <c r="K73" s="679"/>
      <c r="L73" s="680"/>
      <c r="M73" s="681"/>
      <c r="N73" s="2044"/>
      <c r="O73" s="2044"/>
      <c r="P73" s="2092"/>
      <c r="Q73" s="2049"/>
      <c r="R73" s="2047"/>
      <c r="S73" s="2047"/>
      <c r="T73" s="2047"/>
      <c r="U73" s="2047"/>
      <c r="V73" s="2047"/>
      <c r="W73" s="2047"/>
      <c r="X73" s="2047"/>
      <c r="Y73" s="2047"/>
      <c r="Z73" s="2047"/>
      <c r="AA73" s="2047"/>
      <c r="AB73" s="2047"/>
      <c r="AC73" s="2047"/>
    </row>
    <row r="74" spans="1:29" s="1291" customFormat="1" ht="15.75" thickBot="1">
      <c r="A74" s="677"/>
      <c r="B74" s="668"/>
      <c r="C74" s="682"/>
      <c r="D74" s="682"/>
      <c r="E74" s="682"/>
      <c r="F74" s="682"/>
      <c r="G74" s="682"/>
      <c r="H74" s="683"/>
      <c r="I74" s="683"/>
      <c r="J74" s="683"/>
      <c r="K74" s="683"/>
      <c r="L74" s="683"/>
      <c r="M74" s="684"/>
      <c r="N74" s="2044"/>
      <c r="O74" s="2044"/>
      <c r="P74" s="2091"/>
      <c r="Q74" s="2046"/>
      <c r="R74" s="2047"/>
      <c r="S74" s="2047"/>
      <c r="T74" s="2047"/>
      <c r="U74" s="2047"/>
      <c r="V74" s="2047"/>
      <c r="W74" s="2047"/>
      <c r="X74" s="2047"/>
      <c r="Y74" s="2047"/>
      <c r="Z74" s="2047"/>
      <c r="AA74" s="2047"/>
      <c r="AB74" s="2047"/>
      <c r="AC74" s="2047"/>
    </row>
    <row r="75" spans="1:29" s="1291" customFormat="1" ht="15.75" thickTop="1">
      <c r="A75" s="677"/>
      <c r="B75" s="671">
        <f>B14</f>
        <v>111</v>
      </c>
      <c r="C75" s="651"/>
      <c r="D75" s="651"/>
      <c r="E75" s="651"/>
      <c r="F75" s="651"/>
      <c r="G75" s="651"/>
      <c r="H75" s="685"/>
      <c r="I75" s="685"/>
      <c r="J75" s="685"/>
      <c r="K75" s="685"/>
      <c r="L75" s="686"/>
      <c r="M75" s="687"/>
      <c r="N75" s="2044"/>
      <c r="O75" s="2044"/>
      <c r="P75" s="2093"/>
      <c r="Q75" s="2046"/>
      <c r="R75" s="2047"/>
      <c r="S75" s="2047"/>
      <c r="T75" s="2047"/>
      <c r="U75" s="2047"/>
      <c r="V75" s="2047"/>
      <c r="W75" s="2047"/>
      <c r="X75" s="2047"/>
      <c r="Y75" s="2047"/>
      <c r="Z75" s="2047"/>
      <c r="AA75" s="2047"/>
      <c r="AB75" s="2047"/>
      <c r="AC75" s="2047"/>
    </row>
    <row r="76" spans="1:29" s="1291" customFormat="1" ht="15.75" thickBot="1">
      <c r="A76" s="688"/>
      <c r="B76" s="689"/>
      <c r="C76" s="690"/>
      <c r="D76" s="690"/>
      <c r="E76" s="690"/>
      <c r="F76" s="690"/>
      <c r="G76" s="690"/>
      <c r="H76" s="691"/>
      <c r="I76" s="691"/>
      <c r="J76" s="691"/>
      <c r="K76" s="691"/>
      <c r="L76" s="691"/>
      <c r="M76" s="692"/>
      <c r="N76" s="2044"/>
      <c r="O76" s="2044"/>
      <c r="P76" s="2091"/>
      <c r="Q76" s="2046"/>
      <c r="R76" s="2047"/>
      <c r="S76" s="2047"/>
      <c r="T76" s="2047"/>
      <c r="U76" s="2047"/>
      <c r="V76" s="2047"/>
      <c r="W76" s="2047"/>
      <c r="X76" s="2047"/>
      <c r="Y76" s="2047"/>
      <c r="Z76" s="2047"/>
      <c r="AA76" s="2047"/>
      <c r="AB76" s="2047"/>
      <c r="AC76" s="2047"/>
    </row>
    <row r="77" spans="1:29">
      <c r="A77" s="654" t="s">
        <v>533</v>
      </c>
      <c r="B77" s="655" t="s">
        <v>579</v>
      </c>
      <c r="C77" s="693" t="s">
        <v>573</v>
      </c>
      <c r="D77" s="693" t="s">
        <v>574</v>
      </c>
      <c r="E77" s="693" t="s">
        <v>575</v>
      </c>
      <c r="F77" s="693" t="s">
        <v>576</v>
      </c>
      <c r="G77" s="693" t="s">
        <v>577</v>
      </c>
      <c r="H77" s="694"/>
      <c r="I77" s="694"/>
      <c r="J77" s="694"/>
      <c r="K77" s="695"/>
      <c r="L77" s="696"/>
      <c r="M77" s="697"/>
      <c r="N77" s="2041"/>
      <c r="O77" s="2041"/>
      <c r="P77" s="2094"/>
      <c r="Q77" s="2035"/>
      <c r="R77" s="2023"/>
      <c r="S77" s="2023"/>
      <c r="T77" s="2023"/>
      <c r="U77" s="2023"/>
      <c r="V77" s="2023"/>
      <c r="W77" s="2023"/>
      <c r="X77" s="2023"/>
      <c r="Y77" s="2023"/>
      <c r="Z77" s="2023"/>
      <c r="AA77" s="2023"/>
      <c r="AB77" s="2023"/>
      <c r="AC77" s="2023"/>
    </row>
    <row r="78" spans="1:29" ht="15.75" thickBot="1">
      <c r="A78" s="659"/>
      <c r="B78" s="668"/>
      <c r="C78" s="669">
        <v>100</v>
      </c>
      <c r="D78" s="669">
        <f>C78-$K15</f>
        <v>98</v>
      </c>
      <c r="E78" s="669">
        <f>D78-$K15</f>
        <v>96</v>
      </c>
      <c r="F78" s="669">
        <f>E78-$K15</f>
        <v>94</v>
      </c>
      <c r="G78" s="669">
        <f>F78-$K15</f>
        <v>92</v>
      </c>
      <c r="H78" s="669"/>
      <c r="I78" s="669"/>
      <c r="J78" s="669"/>
      <c r="K78" s="669"/>
      <c r="L78" s="669"/>
      <c r="M78" s="670"/>
      <c r="N78" s="2043"/>
      <c r="O78" s="2043"/>
      <c r="P78" s="2090"/>
      <c r="Q78" s="2035"/>
      <c r="R78" s="2023"/>
      <c r="S78" s="2023"/>
      <c r="T78" s="2023"/>
      <c r="U78" s="2023"/>
      <c r="V78" s="2023"/>
      <c r="W78" s="2023"/>
      <c r="X78" s="2023"/>
      <c r="Y78" s="2023"/>
      <c r="Z78" s="2023"/>
      <c r="AA78" s="2023"/>
      <c r="AB78" s="2023"/>
      <c r="AC78" s="2023"/>
    </row>
    <row r="79" spans="1:29" ht="15.75" thickTop="1">
      <c r="A79" s="659"/>
      <c r="B79" s="663" t="s">
        <v>580</v>
      </c>
      <c r="C79" s="698" t="s">
        <v>573</v>
      </c>
      <c r="D79" s="698" t="s">
        <v>574</v>
      </c>
      <c r="E79" s="698" t="s">
        <v>575</v>
      </c>
      <c r="F79" s="698" t="s">
        <v>576</v>
      </c>
      <c r="G79" s="698" t="s">
        <v>577</v>
      </c>
      <c r="H79" s="664"/>
      <c r="I79" s="664"/>
      <c r="J79" s="664"/>
      <c r="K79" s="665"/>
      <c r="L79" s="666"/>
      <c r="M79" s="667"/>
      <c r="N79" s="2041"/>
      <c r="O79" s="2041"/>
      <c r="P79" s="2090"/>
      <c r="Q79" s="2035"/>
      <c r="R79" s="2023"/>
      <c r="S79" s="2023"/>
      <c r="T79" s="2023"/>
      <c r="U79" s="2023"/>
      <c r="V79" s="2023"/>
      <c r="W79" s="2023"/>
      <c r="X79" s="2023"/>
      <c r="Y79" s="2023"/>
      <c r="Z79" s="2023"/>
      <c r="AA79" s="2023"/>
      <c r="AB79" s="2023"/>
      <c r="AC79" s="2023"/>
    </row>
    <row r="80" spans="1:29" ht="15.75" thickBot="1">
      <c r="A80" s="659"/>
      <c r="B80" s="668"/>
      <c r="C80" s="669">
        <v>100</v>
      </c>
      <c r="D80" s="669">
        <f>C80-$K17</f>
        <v>95</v>
      </c>
      <c r="E80" s="669">
        <f>D80-$K17</f>
        <v>90</v>
      </c>
      <c r="F80" s="669">
        <f>E80-$K17</f>
        <v>85</v>
      </c>
      <c r="G80" s="669">
        <f>F80-$K17</f>
        <v>80</v>
      </c>
      <c r="H80" s="669"/>
      <c r="I80" s="669"/>
      <c r="J80" s="669"/>
      <c r="K80" s="669"/>
      <c r="L80" s="669"/>
      <c r="M80" s="670"/>
      <c r="N80" s="2043"/>
      <c r="O80" s="2043"/>
      <c r="P80" s="2090"/>
      <c r="Q80" s="2035"/>
      <c r="R80" s="2023"/>
      <c r="S80" s="2023"/>
      <c r="T80" s="2023"/>
      <c r="U80" s="2023"/>
      <c r="V80" s="2023"/>
      <c r="W80" s="2023"/>
      <c r="X80" s="2023"/>
      <c r="Y80" s="2023"/>
      <c r="Z80" s="2023"/>
      <c r="AA80" s="2023"/>
      <c r="AB80" s="2023"/>
      <c r="AC80" s="2023"/>
    </row>
    <row r="81" spans="1:29" ht="15.75" thickTop="1">
      <c r="A81" s="659"/>
      <c r="B81" s="1806" t="s">
        <v>2538</v>
      </c>
      <c r="C81" s="698" t="s">
        <v>573</v>
      </c>
      <c r="D81" s="698" t="s">
        <v>574</v>
      </c>
      <c r="E81" s="698" t="s">
        <v>575</v>
      </c>
      <c r="F81" s="698" t="s">
        <v>576</v>
      </c>
      <c r="G81" s="698" t="s">
        <v>577</v>
      </c>
      <c r="H81" s="664"/>
      <c r="I81" s="664"/>
      <c r="J81" s="664"/>
      <c r="K81" s="665"/>
      <c r="L81" s="666"/>
      <c r="M81" s="667"/>
      <c r="N81" s="2041"/>
      <c r="O81" s="2041"/>
      <c r="P81" s="2090"/>
      <c r="Q81" s="2035"/>
      <c r="R81" s="2023"/>
      <c r="S81" s="2023"/>
      <c r="T81" s="2023"/>
      <c r="U81" s="2023"/>
      <c r="V81" s="2023"/>
      <c r="W81" s="2023"/>
      <c r="X81" s="2023"/>
      <c r="Y81" s="2023"/>
      <c r="Z81" s="2023"/>
      <c r="AA81" s="2023"/>
      <c r="AB81" s="2023"/>
      <c r="AC81" s="2023"/>
    </row>
    <row r="82" spans="1:29" ht="15.75" thickBot="1">
      <c r="A82" s="659"/>
      <c r="B82" s="668"/>
      <c r="C82" s="669">
        <v>100</v>
      </c>
      <c r="D82" s="669">
        <f>C82-$K19</f>
        <v>98</v>
      </c>
      <c r="E82" s="669">
        <f>D82-$K19</f>
        <v>96</v>
      </c>
      <c r="F82" s="669">
        <f>E82-$K19</f>
        <v>94</v>
      </c>
      <c r="G82" s="669">
        <f>F82-$K19</f>
        <v>92</v>
      </c>
      <c r="H82" s="669"/>
      <c r="I82" s="669"/>
      <c r="J82" s="669"/>
      <c r="K82" s="669"/>
      <c r="L82" s="669"/>
      <c r="M82" s="670"/>
      <c r="N82" s="2043"/>
      <c r="O82" s="2043"/>
      <c r="P82" s="2090"/>
      <c r="Q82" s="2035"/>
      <c r="R82" s="2023"/>
      <c r="S82" s="2023"/>
      <c r="T82" s="2023"/>
      <c r="U82" s="2023"/>
      <c r="V82" s="2023"/>
      <c r="W82" s="2023"/>
      <c r="X82" s="2023"/>
      <c r="Y82" s="2023"/>
      <c r="Z82" s="2023"/>
      <c r="AA82" s="2023"/>
      <c r="AB82" s="2023"/>
      <c r="AC82" s="2023"/>
    </row>
    <row r="83" spans="1:29" ht="15.75" thickTop="1">
      <c r="A83" s="659"/>
      <c r="B83" s="2437" t="s">
        <v>2539</v>
      </c>
      <c r="C83" s="2438" t="s">
        <v>2540</v>
      </c>
      <c r="D83" s="2438" t="s">
        <v>2541</v>
      </c>
      <c r="E83" s="2438" t="s">
        <v>2542</v>
      </c>
      <c r="F83" s="2438" t="s">
        <v>2543</v>
      </c>
      <c r="G83" s="2438" t="s">
        <v>2544</v>
      </c>
      <c r="H83" s="664"/>
      <c r="I83" s="664"/>
      <c r="J83" s="664"/>
      <c r="K83" s="664"/>
      <c r="L83" s="664"/>
      <c r="M83" s="2441"/>
      <c r="N83" s="2043"/>
      <c r="O83" s="2043"/>
      <c r="P83" s="2090"/>
      <c r="Q83" s="2035"/>
      <c r="R83" s="2023"/>
      <c r="S83" s="2023"/>
      <c r="T83" s="2023"/>
      <c r="U83" s="2023"/>
      <c r="V83" s="2023"/>
      <c r="W83" s="2023"/>
      <c r="X83" s="2023"/>
      <c r="Y83" s="2023"/>
      <c r="Z83" s="2023"/>
      <c r="AA83" s="2023"/>
      <c r="AB83" s="2023"/>
      <c r="AC83" s="2023"/>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3"/>
      <c r="O84" s="2043"/>
      <c r="P84" s="2090"/>
      <c r="Q84" s="2035"/>
      <c r="R84" s="2023"/>
      <c r="S84" s="2023"/>
      <c r="T84" s="2023"/>
      <c r="U84" s="2023"/>
      <c r="V84" s="2023"/>
      <c r="W84" s="2023"/>
      <c r="X84" s="2023"/>
      <c r="Y84" s="2023"/>
      <c r="Z84" s="2023"/>
      <c r="AA84" s="2023"/>
      <c r="AB84" s="2023"/>
      <c r="AC84" s="2023"/>
    </row>
    <row r="85" spans="1:29" ht="15.75" thickTop="1">
      <c r="A85" s="659"/>
      <c r="B85" s="663" t="s">
        <v>778</v>
      </c>
      <c r="C85" s="698" t="s">
        <v>573</v>
      </c>
      <c r="D85" s="698" t="s">
        <v>574</v>
      </c>
      <c r="E85" s="698" t="s">
        <v>575</v>
      </c>
      <c r="F85" s="698" t="s">
        <v>576</v>
      </c>
      <c r="G85" s="698" t="s">
        <v>577</v>
      </c>
      <c r="H85" s="664"/>
      <c r="I85" s="664"/>
      <c r="J85" s="664"/>
      <c r="K85" s="665"/>
      <c r="L85" s="666"/>
      <c r="M85" s="667"/>
      <c r="N85" s="2041"/>
      <c r="O85" s="2041"/>
      <c r="P85" s="2090"/>
      <c r="Q85" s="2035"/>
      <c r="R85" s="2023"/>
      <c r="S85" s="2023"/>
      <c r="T85" s="2023"/>
      <c r="U85" s="2023"/>
      <c r="V85" s="2023"/>
      <c r="W85" s="2023"/>
      <c r="X85" s="2023"/>
      <c r="Y85" s="2023"/>
      <c r="Z85" s="2023"/>
      <c r="AA85" s="2023"/>
      <c r="AB85" s="2023"/>
      <c r="AC85" s="2023"/>
    </row>
    <row r="86" spans="1:29" ht="15.75" thickBot="1">
      <c r="A86" s="659"/>
      <c r="B86" s="668"/>
      <c r="C86" s="669">
        <v>100</v>
      </c>
      <c r="D86" s="669">
        <f>C86-$K23</f>
        <v>97</v>
      </c>
      <c r="E86" s="669">
        <f>D86-$K23</f>
        <v>94</v>
      </c>
      <c r="F86" s="669">
        <f>E86-$K23</f>
        <v>91</v>
      </c>
      <c r="G86" s="669">
        <f>F86-$K23</f>
        <v>88</v>
      </c>
      <c r="H86" s="669"/>
      <c r="I86" s="669"/>
      <c r="J86" s="669"/>
      <c r="K86" s="669"/>
      <c r="L86" s="669"/>
      <c r="M86" s="670"/>
      <c r="N86" s="2043"/>
      <c r="O86" s="2043"/>
      <c r="P86" s="2090"/>
      <c r="Q86" s="2035"/>
      <c r="R86" s="2023"/>
      <c r="S86" s="2023"/>
      <c r="T86" s="2023"/>
      <c r="U86" s="2023"/>
      <c r="V86" s="2023"/>
      <c r="W86" s="2023"/>
      <c r="X86" s="2023"/>
      <c r="Y86" s="2023"/>
      <c r="Z86" s="2023"/>
      <c r="AA86" s="2023"/>
      <c r="AB86" s="2023"/>
      <c r="AC86" s="2023"/>
    </row>
    <row r="87" spans="1:29" s="1201" customFormat="1" ht="27.75" thickTop="1">
      <c r="A87" s="699"/>
      <c r="B87" s="663" t="s">
        <v>779</v>
      </c>
      <c r="C87" s="3322" t="s">
        <v>3071</v>
      </c>
      <c r="D87" s="3322" t="s">
        <v>3069</v>
      </c>
      <c r="E87" s="678"/>
      <c r="F87" s="678"/>
      <c r="G87" s="678"/>
      <c r="H87" s="678"/>
      <c r="I87" s="678"/>
      <c r="J87" s="678"/>
      <c r="K87" s="678"/>
      <c r="L87" s="877"/>
      <c r="M87" s="878"/>
      <c r="N87" s="2039"/>
      <c r="O87" s="2039"/>
      <c r="P87" s="2090"/>
      <c r="Q87" s="2035"/>
      <c r="R87" s="1901"/>
      <c r="S87" s="1901"/>
      <c r="T87" s="1901"/>
      <c r="U87" s="1901"/>
      <c r="V87" s="1901"/>
      <c r="W87" s="1901"/>
      <c r="X87" s="1901"/>
      <c r="Y87" s="1901"/>
      <c r="Z87" s="1901"/>
      <c r="AA87" s="1901"/>
      <c r="AB87" s="1901"/>
      <c r="AC87" s="1901"/>
    </row>
    <row r="88" spans="1:29" s="1201" customFormat="1" ht="15.75" thickBot="1">
      <c r="A88" s="699"/>
      <c r="B88" s="668"/>
      <c r="C88" s="702">
        <v>100</v>
      </c>
      <c r="D88" s="669">
        <f t="shared" ref="D88:M88" si="19">C88-$K25</f>
        <v>97</v>
      </c>
      <c r="E88" s="669">
        <f t="shared" si="19"/>
        <v>94</v>
      </c>
      <c r="F88" s="669">
        <f t="shared" si="19"/>
        <v>91</v>
      </c>
      <c r="G88" s="669">
        <f t="shared" si="19"/>
        <v>88</v>
      </c>
      <c r="H88" s="669">
        <f t="shared" si="19"/>
        <v>85</v>
      </c>
      <c r="I88" s="669">
        <f t="shared" si="19"/>
        <v>82</v>
      </c>
      <c r="J88" s="669">
        <f t="shared" si="19"/>
        <v>79</v>
      </c>
      <c r="K88" s="669">
        <f t="shared" si="19"/>
        <v>76</v>
      </c>
      <c r="L88" s="669">
        <f t="shared" si="19"/>
        <v>73</v>
      </c>
      <c r="M88" s="669">
        <f t="shared" si="19"/>
        <v>70</v>
      </c>
      <c r="N88" s="2043"/>
      <c r="O88" s="2043"/>
      <c r="P88" s="2090"/>
      <c r="Q88" s="2035"/>
      <c r="R88" s="1901"/>
      <c r="S88" s="1901"/>
      <c r="T88" s="1901"/>
      <c r="U88" s="1901"/>
      <c r="V88" s="1901"/>
      <c r="W88" s="1901"/>
      <c r="X88" s="1901"/>
      <c r="Y88" s="1901"/>
      <c r="Z88" s="1901"/>
      <c r="AA88" s="1901"/>
      <c r="AB88" s="1901"/>
      <c r="AC88" s="1901"/>
    </row>
    <row r="89" spans="1:29" s="1201" customFormat="1" ht="15.75" thickTop="1">
      <c r="A89" s="699"/>
      <c r="B89" s="663" t="str">
        <f>B27</f>
        <v>楼层</v>
      </c>
      <c r="C89" s="3325"/>
      <c r="D89" s="3322"/>
      <c r="E89" s="678"/>
      <c r="F89" s="879"/>
      <c r="G89" s="678"/>
      <c r="H89" s="678"/>
      <c r="I89" s="678"/>
      <c r="J89" s="678"/>
      <c r="K89" s="678"/>
      <c r="L89" s="678"/>
      <c r="M89" s="878"/>
      <c r="N89" s="2039"/>
      <c r="O89" s="2039"/>
      <c r="P89" s="2090"/>
      <c r="Q89" s="2035"/>
      <c r="R89" s="1901"/>
      <c r="S89" s="1901"/>
      <c r="T89" s="1901"/>
      <c r="U89" s="1901"/>
      <c r="V89" s="1901"/>
      <c r="W89" s="1901"/>
      <c r="X89" s="1901"/>
      <c r="Y89" s="1901"/>
      <c r="Z89" s="1901"/>
      <c r="AA89" s="1901"/>
      <c r="AB89" s="1901"/>
      <c r="AC89" s="1901"/>
    </row>
    <row r="90" spans="1:29" s="1201" customFormat="1" ht="15.75" thickBot="1">
      <c r="A90" s="699"/>
      <c r="B90" s="668"/>
      <c r="C90" s="702">
        <v>100</v>
      </c>
      <c r="D90" s="669">
        <f>C90-$K27</f>
        <v>99</v>
      </c>
      <c r="E90" s="669">
        <f t="shared" ref="E90:M90" si="20">D90-$K27</f>
        <v>98</v>
      </c>
      <c r="F90" s="669">
        <f t="shared" si="20"/>
        <v>97</v>
      </c>
      <c r="G90" s="669">
        <f t="shared" si="20"/>
        <v>96</v>
      </c>
      <c r="H90" s="669">
        <f t="shared" si="20"/>
        <v>95</v>
      </c>
      <c r="I90" s="669">
        <f t="shared" si="20"/>
        <v>94</v>
      </c>
      <c r="J90" s="669">
        <f t="shared" si="20"/>
        <v>93</v>
      </c>
      <c r="K90" s="669">
        <f t="shared" si="20"/>
        <v>92</v>
      </c>
      <c r="L90" s="669">
        <f t="shared" si="20"/>
        <v>91</v>
      </c>
      <c r="M90" s="669">
        <f t="shared" si="20"/>
        <v>90</v>
      </c>
      <c r="N90" s="2043"/>
      <c r="O90" s="2043"/>
      <c r="P90" s="2090"/>
      <c r="Q90" s="2035"/>
      <c r="R90" s="1901"/>
      <c r="S90" s="1901"/>
      <c r="T90" s="1901"/>
      <c r="U90" s="1901"/>
      <c r="V90" s="1901"/>
      <c r="W90" s="1901"/>
      <c r="X90" s="1901"/>
      <c r="Y90" s="1901"/>
      <c r="Z90" s="1901"/>
      <c r="AA90" s="1901"/>
      <c r="AB90" s="1901"/>
      <c r="AC90" s="1901"/>
    </row>
    <row r="91" spans="1:29" s="1291" customFormat="1" ht="15.75" thickTop="1">
      <c r="A91" s="677"/>
      <c r="B91" s="663" t="str">
        <f>B28</f>
        <v>朝向</v>
      </c>
      <c r="C91" s="678"/>
      <c r="D91" s="678"/>
      <c r="E91" s="678"/>
      <c r="F91" s="678"/>
      <c r="G91" s="678"/>
      <c r="H91" s="679"/>
      <c r="I91" s="679"/>
      <c r="J91" s="679"/>
      <c r="K91" s="679"/>
      <c r="L91" s="680"/>
      <c r="M91" s="681"/>
      <c r="N91" s="2044"/>
      <c r="O91" s="2044"/>
      <c r="P91" s="2091"/>
      <c r="Q91" s="2046"/>
      <c r="R91" s="2047"/>
      <c r="S91" s="2047"/>
      <c r="T91" s="2047"/>
      <c r="U91" s="2047"/>
      <c r="V91" s="2047"/>
      <c r="W91" s="2047"/>
      <c r="X91" s="2047"/>
      <c r="Y91" s="2047"/>
      <c r="Z91" s="2047"/>
      <c r="AA91" s="2047"/>
      <c r="AB91" s="2047"/>
      <c r="AC91" s="2047"/>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9"/>
      <c r="B93" s="663" t="str">
        <f>B29</f>
        <v>楼层</v>
      </c>
      <c r="C93" s="3322" t="s">
        <v>3093</v>
      </c>
      <c r="D93" s="3328" t="s">
        <v>3096</v>
      </c>
      <c r="E93" s="678" t="s">
        <v>3097</v>
      </c>
      <c r="F93" s="678"/>
      <c r="G93" s="678"/>
      <c r="H93" s="678"/>
      <c r="I93" s="678"/>
      <c r="J93" s="678"/>
      <c r="K93" s="678"/>
      <c r="L93" s="877"/>
      <c r="M93" s="878"/>
      <c r="N93" s="2041"/>
      <c r="O93" s="2041"/>
      <c r="P93" s="2090"/>
      <c r="Q93" s="2035"/>
      <c r="R93" s="2023"/>
      <c r="S93" s="2023"/>
      <c r="T93" s="2023"/>
      <c r="U93" s="2023"/>
      <c r="V93" s="2023"/>
      <c r="W93" s="2023"/>
      <c r="X93" s="2023"/>
      <c r="Y93" s="2023"/>
      <c r="Z93" s="2023"/>
      <c r="AA93" s="2023"/>
      <c r="AB93" s="2023"/>
      <c r="AC93" s="2023"/>
    </row>
    <row r="94" spans="1:29" ht="15.75" thickBot="1">
      <c r="A94" s="659"/>
      <c r="B94" s="668"/>
      <c r="C94" s="682">
        <v>100</v>
      </c>
      <c r="D94" s="661">
        <v>101</v>
      </c>
      <c r="E94" s="661">
        <v>100</v>
      </c>
      <c r="F94" s="661"/>
      <c r="G94" s="661"/>
      <c r="H94" s="661"/>
      <c r="I94" s="661"/>
      <c r="J94" s="661"/>
      <c r="K94" s="661"/>
      <c r="L94" s="661"/>
      <c r="M94" s="662"/>
      <c r="N94" s="2043"/>
      <c r="O94" s="2043"/>
      <c r="P94" s="2090"/>
      <c r="Q94" s="2035"/>
      <c r="R94" s="2023"/>
      <c r="S94" s="2023"/>
      <c r="T94" s="2023"/>
      <c r="U94" s="2023"/>
      <c r="V94" s="2023"/>
      <c r="W94" s="2023"/>
      <c r="X94" s="2023"/>
      <c r="Y94" s="2023"/>
      <c r="Z94" s="2023"/>
      <c r="AA94" s="2023"/>
      <c r="AB94" s="2023"/>
      <c r="AC94" s="2023"/>
    </row>
    <row r="95" spans="1:29" ht="15.75" thickTop="1">
      <c r="A95" s="659"/>
      <c r="B95" s="663">
        <f>B30</f>
        <v>111</v>
      </c>
      <c r="C95" s="678"/>
      <c r="D95" s="678"/>
      <c r="E95" s="678"/>
      <c r="F95" s="678"/>
      <c r="G95" s="708"/>
      <c r="H95" s="708"/>
      <c r="I95" s="708"/>
      <c r="J95" s="708"/>
      <c r="K95" s="709"/>
      <c r="L95" s="710"/>
      <c r="M95" s="711"/>
      <c r="N95" s="2041"/>
      <c r="O95" s="2041"/>
      <c r="P95" s="2090"/>
      <c r="Q95" s="2035"/>
      <c r="R95" s="2023"/>
      <c r="S95" s="2023"/>
      <c r="T95" s="2023"/>
      <c r="U95" s="2023"/>
      <c r="V95" s="2023"/>
      <c r="W95" s="2023"/>
      <c r="X95" s="2023"/>
      <c r="Y95" s="2023"/>
      <c r="Z95" s="2023"/>
      <c r="AA95" s="2023"/>
      <c r="AB95" s="2023"/>
      <c r="AC95" s="2023"/>
    </row>
    <row r="96" spans="1:29" ht="15.75" thickBot="1">
      <c r="A96" s="659"/>
      <c r="B96" s="668"/>
      <c r="C96" s="682"/>
      <c r="D96" s="682"/>
      <c r="E96" s="682"/>
      <c r="F96" s="682"/>
      <c r="G96" s="661"/>
      <c r="H96" s="661"/>
      <c r="I96" s="661"/>
      <c r="J96" s="661"/>
      <c r="K96" s="661"/>
      <c r="L96" s="661"/>
      <c r="M96" s="662"/>
      <c r="N96" s="2043"/>
      <c r="O96" s="2043"/>
      <c r="P96" s="2090"/>
      <c r="Q96" s="2035"/>
      <c r="R96" s="2023"/>
      <c r="S96" s="2023"/>
      <c r="T96" s="2023"/>
      <c r="U96" s="2023"/>
      <c r="V96" s="2023"/>
      <c r="W96" s="2023"/>
      <c r="X96" s="2023"/>
      <c r="Y96" s="2023"/>
      <c r="Z96" s="2023"/>
      <c r="AA96" s="2023"/>
      <c r="AB96" s="2023"/>
      <c r="AC96" s="2023"/>
    </row>
    <row r="97" spans="1:29" ht="15.75" thickTop="1">
      <c r="A97" s="659"/>
      <c r="B97" s="663">
        <f>B31</f>
        <v>111</v>
      </c>
      <c r="C97" s="678"/>
      <c r="D97" s="678"/>
      <c r="E97" s="678"/>
      <c r="F97" s="678"/>
      <c r="G97" s="708"/>
      <c r="H97" s="708"/>
      <c r="I97" s="708"/>
      <c r="J97" s="708"/>
      <c r="K97" s="709"/>
      <c r="L97" s="710"/>
      <c r="M97" s="711"/>
      <c r="N97" s="2041"/>
      <c r="O97" s="2041"/>
      <c r="P97" s="2090"/>
      <c r="Q97" s="2035"/>
      <c r="R97" s="2023"/>
      <c r="S97" s="2023"/>
      <c r="T97" s="2023"/>
      <c r="U97" s="2023"/>
      <c r="V97" s="2023"/>
      <c r="W97" s="2023"/>
      <c r="X97" s="2023"/>
      <c r="Y97" s="2023"/>
      <c r="Z97" s="2023"/>
      <c r="AA97" s="2023"/>
      <c r="AB97" s="2023"/>
      <c r="AC97" s="2023"/>
    </row>
    <row r="98" spans="1:29" ht="15.75" thickBot="1">
      <c r="A98" s="659"/>
      <c r="B98" s="668"/>
      <c r="C98" s="682"/>
      <c r="D98" s="661"/>
      <c r="E98" s="661"/>
      <c r="F98" s="661"/>
      <c r="G98" s="661"/>
      <c r="H98" s="661"/>
      <c r="I98" s="661"/>
      <c r="J98" s="661"/>
      <c r="K98" s="661"/>
      <c r="L98" s="661"/>
      <c r="M98" s="662"/>
      <c r="N98" s="2043"/>
      <c r="O98" s="2043"/>
      <c r="P98" s="2090"/>
      <c r="Q98" s="2035"/>
      <c r="R98" s="2023"/>
      <c r="S98" s="2023"/>
      <c r="T98" s="2023"/>
      <c r="U98" s="2023"/>
      <c r="V98" s="2023"/>
      <c r="W98" s="2023"/>
      <c r="X98" s="2023"/>
      <c r="Y98" s="2023"/>
      <c r="Z98" s="2023"/>
      <c r="AA98" s="2023"/>
      <c r="AB98" s="2023"/>
      <c r="AC98" s="2023"/>
    </row>
    <row r="99" spans="1:29" ht="15.75" thickTop="1">
      <c r="A99" s="659"/>
      <c r="B99" s="671">
        <f>B32</f>
        <v>111</v>
      </c>
      <c r="C99" s="651"/>
      <c r="D99" s="651"/>
      <c r="E99" s="651"/>
      <c r="F99" s="651"/>
      <c r="G99" s="712"/>
      <c r="H99" s="712"/>
      <c r="I99" s="712"/>
      <c r="J99" s="712"/>
      <c r="K99" s="713"/>
      <c r="L99" s="714"/>
      <c r="M99" s="715"/>
      <c r="N99" s="2041"/>
      <c r="O99" s="2041"/>
      <c r="P99" s="2090"/>
      <c r="Q99" s="2035"/>
      <c r="R99" s="2023"/>
      <c r="S99" s="2023"/>
      <c r="T99" s="2023"/>
      <c r="U99" s="2023"/>
      <c r="V99" s="2023"/>
      <c r="W99" s="2023"/>
      <c r="X99" s="2023"/>
      <c r="Y99" s="2023"/>
      <c r="Z99" s="2023"/>
      <c r="AA99" s="2023"/>
      <c r="AB99" s="2023"/>
      <c r="AC99" s="2023"/>
    </row>
    <row r="100" spans="1:29" ht="15.75" thickBot="1">
      <c r="A100" s="880"/>
      <c r="B100" s="689"/>
      <c r="C100" s="690"/>
      <c r="D100" s="690"/>
      <c r="E100" s="690"/>
      <c r="F100" s="690"/>
      <c r="G100" s="716"/>
      <c r="H100" s="716"/>
      <c r="I100" s="716"/>
      <c r="J100" s="716"/>
      <c r="K100" s="716"/>
      <c r="L100" s="716"/>
      <c r="M100" s="717"/>
      <c r="N100" s="2043"/>
      <c r="O100" s="2043"/>
      <c r="P100" s="2090"/>
      <c r="Q100" s="2035"/>
      <c r="R100" s="2023"/>
      <c r="S100" s="2023"/>
      <c r="T100" s="2023"/>
      <c r="U100" s="2023"/>
      <c r="V100" s="2023"/>
      <c r="W100" s="2023"/>
      <c r="X100" s="2023"/>
      <c r="Y100" s="2023"/>
      <c r="Z100" s="2023"/>
      <c r="AA100" s="2023"/>
      <c r="AB100" s="2023"/>
      <c r="AC100" s="2023"/>
    </row>
    <row r="101" spans="1:29">
      <c r="A101" s="654" t="s">
        <v>545</v>
      </c>
      <c r="B101" s="655" t="s">
        <v>741</v>
      </c>
      <c r="C101" s="3323" t="s">
        <v>3087</v>
      </c>
      <c r="D101" s="3323" t="s">
        <v>3089</v>
      </c>
      <c r="E101" s="3323" t="s">
        <v>3713</v>
      </c>
      <c r="F101" s="590"/>
      <c r="G101" s="590"/>
      <c r="H101" s="590"/>
      <c r="I101" s="590"/>
      <c r="J101" s="590"/>
      <c r="K101" s="656"/>
      <c r="L101" s="657"/>
      <c r="M101" s="658"/>
      <c r="N101" s="2041"/>
      <c r="O101" s="2041"/>
      <c r="P101" s="2090"/>
      <c r="Q101" s="2035"/>
      <c r="R101" s="2023"/>
      <c r="S101" s="2023"/>
      <c r="T101" s="2023"/>
      <c r="U101" s="2023"/>
      <c r="V101" s="2023"/>
      <c r="W101" s="2023"/>
      <c r="X101" s="2023"/>
      <c r="Y101" s="2023"/>
      <c r="Z101" s="2023"/>
      <c r="AA101" s="2023"/>
      <c r="AB101" s="2023"/>
      <c r="AC101" s="2023"/>
    </row>
    <row r="102" spans="1:29" ht="15.75" thickBot="1">
      <c r="A102" s="659"/>
      <c r="B102" s="668"/>
      <c r="C102" s="669">
        <v>100</v>
      </c>
      <c r="D102" s="669">
        <f t="shared" ref="D102:M102" si="22">C102-$K33</f>
        <v>97</v>
      </c>
      <c r="E102" s="669">
        <f t="shared" si="22"/>
        <v>94</v>
      </c>
      <c r="F102" s="669">
        <f t="shared" si="22"/>
        <v>91</v>
      </c>
      <c r="G102" s="669">
        <f t="shared" si="22"/>
        <v>88</v>
      </c>
      <c r="H102" s="669">
        <f t="shared" si="22"/>
        <v>85</v>
      </c>
      <c r="I102" s="669">
        <f t="shared" si="22"/>
        <v>82</v>
      </c>
      <c r="J102" s="669">
        <f t="shared" si="22"/>
        <v>79</v>
      </c>
      <c r="K102" s="669">
        <f t="shared" si="22"/>
        <v>76</v>
      </c>
      <c r="L102" s="669">
        <f t="shared" si="22"/>
        <v>73</v>
      </c>
      <c r="M102" s="670">
        <f t="shared" si="22"/>
        <v>70</v>
      </c>
      <c r="N102" s="2043"/>
      <c r="O102" s="2043"/>
      <c r="P102" s="2090"/>
      <c r="Q102" s="2035"/>
      <c r="R102" s="2023"/>
      <c r="S102" s="2023"/>
      <c r="T102" s="2023"/>
      <c r="U102" s="2023"/>
      <c r="V102" s="2023"/>
      <c r="W102" s="2023"/>
      <c r="X102" s="2023"/>
      <c r="Y102" s="2023"/>
      <c r="Z102" s="2023"/>
      <c r="AA102" s="2023"/>
      <c r="AB102" s="2023"/>
      <c r="AC102" s="2023"/>
    </row>
    <row r="103" spans="1:29" ht="29.25" thickTop="1">
      <c r="A103" s="659"/>
      <c r="B103" s="663" t="s">
        <v>742</v>
      </c>
      <c r="C103" s="698" t="str">
        <f>C104&amp;"(含)"&amp;"-"&amp;D104</f>
        <v>0(含)-10000</v>
      </c>
      <c r="D103" s="698" t="str">
        <f t="shared" ref="D103:L103" si="23">D104&amp;"(含)"&amp;"-"&amp;E104</f>
        <v>10000(含)-20000</v>
      </c>
      <c r="E103" s="698" t="str">
        <f t="shared" si="23"/>
        <v>20000(含)-50000</v>
      </c>
      <c r="F103" s="698" t="str">
        <f t="shared" si="23"/>
        <v>50000(含)-100000</v>
      </c>
      <c r="G103" s="698" t="str">
        <f t="shared" si="23"/>
        <v>100000(含)-</v>
      </c>
      <c r="H103" s="698" t="str">
        <f t="shared" si="23"/>
        <v>(含)-</v>
      </c>
      <c r="I103" s="698" t="str">
        <f t="shared" si="23"/>
        <v>(含)-</v>
      </c>
      <c r="J103" s="698" t="str">
        <f t="shared" si="23"/>
        <v>(含)-</v>
      </c>
      <c r="K103" s="698" t="str">
        <f t="shared" si="23"/>
        <v>(含)-</v>
      </c>
      <c r="L103" s="698" t="str">
        <f t="shared" si="23"/>
        <v>(含)-</v>
      </c>
      <c r="M103" s="701"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1" customFormat="1">
      <c r="A104" s="718"/>
      <c r="B104" s="719"/>
      <c r="C104" s="720">
        <v>0</v>
      </c>
      <c r="D104" s="720">
        <v>10000</v>
      </c>
      <c r="E104" s="720">
        <v>20000</v>
      </c>
      <c r="F104" s="720">
        <v>50000</v>
      </c>
      <c r="G104" s="720">
        <v>100000</v>
      </c>
      <c r="H104" s="720"/>
      <c r="I104" s="720"/>
      <c r="J104" s="721"/>
      <c r="K104" s="721"/>
      <c r="L104" s="722"/>
      <c r="M104" s="723"/>
      <c r="N104" s="2044"/>
      <c r="O104" s="2044"/>
      <c r="P104" s="2091"/>
      <c r="Q104" s="2046"/>
      <c r="R104" s="2047"/>
      <c r="S104" s="2047"/>
      <c r="T104" s="2047"/>
      <c r="U104" s="2047"/>
      <c r="V104" s="2047"/>
      <c r="W104" s="2047"/>
      <c r="X104" s="2047"/>
      <c r="Y104" s="2047"/>
      <c r="Z104" s="2047"/>
      <c r="AA104" s="2047"/>
      <c r="AB104" s="2047"/>
      <c r="AC104" s="2047"/>
    </row>
    <row r="105" spans="1:29" s="1291" customFormat="1" ht="15.75" thickBot="1">
      <c r="A105" s="677"/>
      <c r="B105" s="668"/>
      <c r="C105" s="682">
        <v>100</v>
      </c>
      <c r="D105" s="661">
        <v>99</v>
      </c>
      <c r="E105" s="661">
        <v>98</v>
      </c>
      <c r="F105" s="661">
        <v>97</v>
      </c>
      <c r="G105" s="661">
        <v>96</v>
      </c>
      <c r="H105" s="661"/>
      <c r="I105" s="661"/>
      <c r="J105" s="661"/>
      <c r="K105" s="661"/>
      <c r="L105" s="661"/>
      <c r="M105" s="662"/>
      <c r="N105" s="2043"/>
      <c r="O105" s="2043"/>
      <c r="P105" s="2091"/>
      <c r="Q105" s="2046"/>
      <c r="R105" s="2047"/>
      <c r="S105" s="2047"/>
      <c r="T105" s="2047"/>
      <c r="U105" s="2047"/>
      <c r="V105" s="2047"/>
      <c r="W105" s="2047"/>
      <c r="X105" s="2047"/>
      <c r="Y105" s="2047"/>
      <c r="Z105" s="2047"/>
      <c r="AA105" s="2047"/>
      <c r="AB105" s="2047"/>
      <c r="AC105" s="2047"/>
    </row>
    <row r="106" spans="1:29" ht="15" thickTop="1">
      <c r="A106" s="725"/>
      <c r="B106" s="663" t="s">
        <v>743</v>
      </c>
      <c r="C106" s="3322" t="s">
        <v>3073</v>
      </c>
      <c r="D106" s="678"/>
      <c r="E106" s="708"/>
      <c r="F106" s="708"/>
      <c r="G106" s="708"/>
      <c r="H106" s="708"/>
      <c r="I106" s="708"/>
      <c r="J106" s="708"/>
      <c r="K106" s="709"/>
      <c r="L106" s="710"/>
      <c r="M106" s="711"/>
      <c r="N106" s="2041"/>
      <c r="O106" s="2041"/>
      <c r="P106" s="2090"/>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5"/>
      <c r="B108" s="663" t="s">
        <v>745</v>
      </c>
      <c r="C108" s="3322" t="s">
        <v>3075</v>
      </c>
      <c r="D108" s="678"/>
      <c r="E108" s="678"/>
      <c r="F108" s="708"/>
      <c r="G108" s="708"/>
      <c r="H108" s="708"/>
      <c r="I108" s="708"/>
      <c r="J108" s="708"/>
      <c r="K108" s="709"/>
      <c r="L108" s="710"/>
      <c r="M108" s="711"/>
      <c r="N108" s="2041"/>
      <c r="O108" s="2041"/>
      <c r="P108" s="2090"/>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 t="shared" ref="D109:M109" si="25">C109-$K36</f>
        <v>99</v>
      </c>
      <c r="E109" s="669">
        <f t="shared" si="25"/>
        <v>98</v>
      </c>
      <c r="F109" s="669">
        <f t="shared" si="25"/>
        <v>97</v>
      </c>
      <c r="G109" s="669">
        <f t="shared" si="25"/>
        <v>96</v>
      </c>
      <c r="H109" s="669">
        <f t="shared" si="25"/>
        <v>95</v>
      </c>
      <c r="I109" s="669">
        <f t="shared" si="25"/>
        <v>94</v>
      </c>
      <c r="J109" s="669">
        <f t="shared" si="25"/>
        <v>93</v>
      </c>
      <c r="K109" s="669">
        <f t="shared" si="25"/>
        <v>92</v>
      </c>
      <c r="L109" s="669">
        <f t="shared" si="25"/>
        <v>91</v>
      </c>
      <c r="M109" s="670">
        <f t="shared" si="25"/>
        <v>90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5"/>
      <c r="B110" s="663" t="s">
        <v>746</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1"/>
      <c r="O110" s="2041"/>
      <c r="P110" s="2090"/>
      <c r="Q110" s="2035"/>
      <c r="R110" s="2023"/>
      <c r="S110" s="2023"/>
      <c r="T110" s="2023"/>
      <c r="U110" s="2023"/>
      <c r="V110" s="2023"/>
      <c r="W110" s="2023"/>
      <c r="X110" s="2023"/>
      <c r="Y110" s="2023"/>
      <c r="Z110" s="2023"/>
      <c r="AA110" s="2023"/>
      <c r="AB110" s="2023"/>
      <c r="AC110" s="2023"/>
    </row>
    <row r="111" spans="1:29">
      <c r="A111" s="725"/>
      <c r="B111" s="671"/>
      <c r="C111" s="881">
        <v>0.5</v>
      </c>
      <c r="D111" s="881">
        <v>0.6</v>
      </c>
      <c r="E111" s="881">
        <v>0.7</v>
      </c>
      <c r="F111" s="881">
        <v>0.8</v>
      </c>
      <c r="G111" s="881">
        <v>0.9</v>
      </c>
      <c r="H111" s="881">
        <v>1.0001</v>
      </c>
      <c r="I111" s="892"/>
      <c r="J111" s="892"/>
      <c r="K111" s="893"/>
      <c r="L111" s="894"/>
      <c r="M111" s="895"/>
      <c r="N111" s="2041"/>
      <c r="O111" s="2041"/>
      <c r="P111" s="2090"/>
      <c r="Q111" s="2035"/>
      <c r="R111" s="2023"/>
      <c r="S111" s="2023"/>
      <c r="T111" s="2023"/>
      <c r="U111" s="2023"/>
      <c r="V111" s="2023"/>
      <c r="W111" s="2023"/>
      <c r="X111" s="2023"/>
      <c r="Y111" s="2023"/>
      <c r="Z111" s="2023"/>
      <c r="AA111" s="2023"/>
      <c r="AB111" s="2023"/>
      <c r="AC111" s="2023"/>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3"/>
      <c r="O112" s="2043"/>
      <c r="P112" s="2090"/>
      <c r="Q112" s="2035"/>
      <c r="R112" s="2023"/>
      <c r="S112" s="2023"/>
      <c r="T112" s="2023"/>
      <c r="U112" s="2023"/>
      <c r="V112" s="2023"/>
      <c r="W112" s="2023"/>
      <c r="X112" s="2023"/>
      <c r="Y112" s="2023"/>
      <c r="Z112" s="2023"/>
      <c r="AA112" s="2023"/>
      <c r="AB112" s="2023"/>
      <c r="AC112" s="2023"/>
    </row>
    <row r="113" spans="1:29" s="1291" customFormat="1" ht="15" thickTop="1">
      <c r="A113" s="718"/>
      <c r="B113" s="663" t="s">
        <v>780</v>
      </c>
      <c r="C113" s="3322" t="s">
        <v>3077</v>
      </c>
      <c r="D113" s="3322" t="s">
        <v>3078</v>
      </c>
      <c r="E113" s="678"/>
      <c r="F113" s="678"/>
      <c r="G113" s="678"/>
      <c r="H113" s="708"/>
      <c r="I113" s="708"/>
      <c r="J113" s="708"/>
      <c r="K113" s="709"/>
      <c r="L113" s="710"/>
      <c r="M113" s="711"/>
      <c r="N113" s="2044"/>
      <c r="O113" s="2044"/>
      <c r="P113" s="2091"/>
      <c r="Q113" s="2046"/>
      <c r="R113" s="2047"/>
      <c r="S113" s="2047"/>
      <c r="T113" s="2047"/>
      <c r="U113" s="2047"/>
      <c r="V113" s="2047"/>
      <c r="W113" s="2047"/>
      <c r="X113" s="2047"/>
      <c r="Y113" s="2047"/>
      <c r="Z113" s="2047"/>
      <c r="AA113" s="2047"/>
      <c r="AB113" s="2047"/>
      <c r="AC113" s="2047"/>
    </row>
    <row r="114" spans="1:29" s="1291" customFormat="1" ht="15.75" thickBot="1">
      <c r="A114" s="677"/>
      <c r="B114" s="668"/>
      <c r="C114" s="669">
        <v>100</v>
      </c>
      <c r="D114" s="669">
        <f>C114-$K38</f>
        <v>98</v>
      </c>
      <c r="E114" s="669">
        <f t="shared" ref="E114:M114" si="27">D114-$K38</f>
        <v>96</v>
      </c>
      <c r="F114" s="669">
        <f t="shared" si="27"/>
        <v>94</v>
      </c>
      <c r="G114" s="669">
        <f t="shared" si="27"/>
        <v>92</v>
      </c>
      <c r="H114" s="669">
        <f t="shared" si="27"/>
        <v>90</v>
      </c>
      <c r="I114" s="669">
        <f t="shared" si="27"/>
        <v>88</v>
      </c>
      <c r="J114" s="669">
        <f t="shared" si="27"/>
        <v>86</v>
      </c>
      <c r="K114" s="669">
        <f t="shared" si="27"/>
        <v>84</v>
      </c>
      <c r="L114" s="669">
        <f t="shared" si="27"/>
        <v>82</v>
      </c>
      <c r="M114" s="669">
        <f t="shared" si="27"/>
        <v>80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5"/>
      <c r="B115" s="663" t="s">
        <v>747</v>
      </c>
      <c r="C115" s="3322" t="s">
        <v>3080</v>
      </c>
      <c r="D115" s="678"/>
      <c r="E115" s="708"/>
      <c r="F115" s="708"/>
      <c r="G115" s="708"/>
      <c r="H115" s="708"/>
      <c r="I115" s="708"/>
      <c r="J115" s="708"/>
      <c r="K115" s="709"/>
      <c r="L115" s="710"/>
      <c r="M115" s="711"/>
      <c r="N115" s="2041"/>
      <c r="O115" s="2041"/>
      <c r="P115" s="2090"/>
      <c r="Q115" s="2035"/>
      <c r="R115" s="2023"/>
      <c r="S115" s="2023"/>
      <c r="T115" s="2023"/>
      <c r="U115" s="2023"/>
      <c r="V115" s="2023"/>
      <c r="W115" s="2023"/>
      <c r="X115" s="2023"/>
      <c r="Y115" s="2023"/>
      <c r="Z115" s="2023"/>
      <c r="AA115" s="2023"/>
      <c r="AB115" s="2023"/>
      <c r="AC115" s="2023"/>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5"/>
      <c r="B117" s="1806" t="s">
        <v>2537</v>
      </c>
      <c r="C117" s="3322" t="s">
        <v>3056</v>
      </c>
      <c r="D117" s="3322" t="s">
        <v>3082</v>
      </c>
      <c r="E117" s="678"/>
      <c r="F117" s="678"/>
      <c r="G117" s="678"/>
      <c r="H117" s="708"/>
      <c r="I117" s="708"/>
      <c r="J117" s="708"/>
      <c r="K117" s="709"/>
      <c r="L117" s="710"/>
      <c r="M117" s="711"/>
      <c r="N117" s="2041"/>
      <c r="O117" s="2041"/>
      <c r="P117" s="2090"/>
      <c r="Q117" s="2035"/>
      <c r="R117" s="2023"/>
      <c r="S117" s="2023"/>
      <c r="T117" s="2023"/>
      <c r="U117" s="2023"/>
      <c r="V117" s="2023"/>
      <c r="W117" s="2023"/>
      <c r="X117" s="2023"/>
      <c r="Y117" s="2023"/>
      <c r="Z117" s="2023"/>
      <c r="AA117" s="2023"/>
      <c r="AB117" s="2023"/>
      <c r="AC117" s="2023"/>
    </row>
    <row r="118" spans="1:29" ht="15.75" thickBot="1">
      <c r="A118" s="659"/>
      <c r="B118" s="668"/>
      <c r="C118" s="669">
        <v>100</v>
      </c>
      <c r="D118" s="669">
        <f>C118-$K40</f>
        <v>98</v>
      </c>
      <c r="E118" s="669">
        <f>D118-$K40</f>
        <v>96</v>
      </c>
      <c r="F118" s="669">
        <f>E118-$K40</f>
        <v>94</v>
      </c>
      <c r="G118" s="669">
        <f>F118-$K40</f>
        <v>92</v>
      </c>
      <c r="H118" s="669"/>
      <c r="I118" s="669"/>
      <c r="J118" s="669"/>
      <c r="K118" s="669"/>
      <c r="L118" s="669"/>
      <c r="M118" s="670"/>
      <c r="N118" s="2043"/>
      <c r="O118" s="2043"/>
      <c r="P118" s="2090"/>
      <c r="Q118" s="2035"/>
      <c r="R118" s="2023"/>
      <c r="S118" s="2023"/>
      <c r="T118" s="2023"/>
      <c r="U118" s="2023"/>
      <c r="V118" s="2023"/>
      <c r="W118" s="2023"/>
      <c r="X118" s="2023"/>
      <c r="Y118" s="2023"/>
      <c r="Z118" s="2023"/>
      <c r="AA118" s="2023"/>
      <c r="AB118" s="2023"/>
      <c r="AC118" s="2023"/>
    </row>
    <row r="119" spans="1:29" ht="15" thickTop="1">
      <c r="A119" s="725"/>
      <c r="B119" s="904" t="s">
        <v>781</v>
      </c>
      <c r="C119" s="3324" t="s">
        <v>3099</v>
      </c>
      <c r="D119" s="708"/>
      <c r="E119" s="708"/>
      <c r="F119" s="708"/>
      <c r="G119" s="708"/>
      <c r="H119" s="708"/>
      <c r="I119" s="708"/>
      <c r="J119" s="708"/>
      <c r="K119" s="708"/>
      <c r="L119" s="905"/>
      <c r="M119" s="906"/>
      <c r="N119" s="2043"/>
      <c r="O119" s="2043"/>
      <c r="P119" s="2095"/>
      <c r="Q119" s="2083"/>
      <c r="R119" s="2023"/>
      <c r="S119" s="2023"/>
      <c r="T119" s="2023"/>
      <c r="U119" s="2023"/>
      <c r="V119" s="2023"/>
      <c r="W119" s="2023"/>
      <c r="X119" s="2023"/>
      <c r="Y119" s="2023"/>
      <c r="Z119" s="2023"/>
      <c r="AA119" s="2023"/>
      <c r="AB119" s="2023"/>
      <c r="AC119" s="2023"/>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3"/>
      <c r="O120" s="2043"/>
      <c r="P120" s="2090"/>
      <c r="Q120" s="2035"/>
      <c r="R120" s="2023"/>
      <c r="S120" s="2023"/>
      <c r="T120" s="2023"/>
      <c r="U120" s="2023"/>
      <c r="V120" s="2023"/>
      <c r="W120" s="2023"/>
      <c r="X120" s="2023"/>
      <c r="Y120" s="2023"/>
      <c r="Z120" s="2023"/>
      <c r="AA120" s="2023"/>
      <c r="AB120" s="2023"/>
      <c r="AC120" s="2023"/>
    </row>
    <row r="121" spans="1:29" s="1291" customFormat="1" ht="15" thickTop="1">
      <c r="A121" s="718"/>
      <c r="B121" s="663" t="s">
        <v>769</v>
      </c>
      <c r="C121" s="678">
        <v>22000</v>
      </c>
      <c r="D121" s="678"/>
      <c r="E121" s="678"/>
      <c r="F121" s="708"/>
      <c r="G121" s="679"/>
      <c r="H121" s="679"/>
      <c r="I121" s="679"/>
      <c r="J121" s="679"/>
      <c r="K121" s="679"/>
      <c r="L121" s="680"/>
      <c r="M121" s="681"/>
      <c r="N121" s="2044"/>
      <c r="O121" s="2044"/>
      <c r="P121" s="2091"/>
      <c r="Q121" s="2046"/>
      <c r="R121" s="2047"/>
      <c r="S121" s="2047"/>
      <c r="T121" s="2047"/>
      <c r="U121" s="2047"/>
      <c r="V121" s="2047"/>
      <c r="W121" s="2047"/>
      <c r="X121" s="2047"/>
      <c r="Y121" s="2047"/>
      <c r="Z121" s="2047"/>
      <c r="AA121" s="2047"/>
      <c r="AB121" s="2047"/>
      <c r="AC121" s="2047"/>
    </row>
    <row r="122" spans="1:29" s="1291" customFormat="1" ht="15.75" thickBot="1">
      <c r="A122" s="677"/>
      <c r="B122" s="660"/>
      <c r="C122" s="682"/>
      <c r="D122" s="682"/>
      <c r="E122" s="682"/>
      <c r="F122" s="682"/>
      <c r="G122" s="682"/>
      <c r="H122" s="682"/>
      <c r="I122" s="682"/>
      <c r="J122" s="682"/>
      <c r="K122" s="682"/>
      <c r="L122" s="682"/>
      <c r="M122" s="682"/>
      <c r="N122" s="2044"/>
      <c r="O122" s="2044"/>
      <c r="P122" s="2091"/>
      <c r="Q122" s="2046"/>
      <c r="R122" s="2047"/>
      <c r="S122" s="2047"/>
      <c r="T122" s="2047"/>
      <c r="U122" s="2047"/>
      <c r="V122" s="2047"/>
      <c r="W122" s="2047"/>
      <c r="X122" s="2047"/>
      <c r="Y122" s="2047"/>
      <c r="Z122" s="2047"/>
      <c r="AA122" s="2047"/>
      <c r="AB122" s="2047"/>
      <c r="AC122" s="2047"/>
    </row>
    <row r="123" spans="1:29" ht="15" thickTop="1">
      <c r="A123" s="725"/>
      <c r="B123" s="663" t="s">
        <v>749</v>
      </c>
      <c r="C123" s="3322" t="s">
        <v>3084</v>
      </c>
      <c r="D123" s="3322" t="s">
        <v>3075</v>
      </c>
      <c r="E123" s="3322" t="s">
        <v>3086</v>
      </c>
      <c r="F123" s="3324" t="s">
        <v>3092</v>
      </c>
      <c r="G123" s="708"/>
      <c r="H123" s="708"/>
      <c r="I123" s="708"/>
      <c r="J123" s="708"/>
      <c r="K123" s="709"/>
      <c r="L123" s="710"/>
      <c r="M123" s="711"/>
      <c r="N123" s="2041"/>
      <c r="O123" s="2041"/>
      <c r="P123" s="2090"/>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5"/>
      <c r="B125" s="663" t="s">
        <v>750</v>
      </c>
      <c r="C125" s="698" t="s">
        <v>573</v>
      </c>
      <c r="D125" s="698" t="s">
        <v>574</v>
      </c>
      <c r="E125" s="698" t="s">
        <v>575</v>
      </c>
      <c r="F125" s="698" t="s">
        <v>576</v>
      </c>
      <c r="G125" s="698" t="s">
        <v>577</v>
      </c>
      <c r="H125" s="664"/>
      <c r="I125" s="664"/>
      <c r="J125" s="664"/>
      <c r="K125" s="665"/>
      <c r="L125" s="666"/>
      <c r="M125" s="667"/>
      <c r="N125" s="2041"/>
      <c r="O125" s="2041"/>
      <c r="P125" s="2091"/>
      <c r="Q125" s="2035"/>
      <c r="R125" s="2023"/>
      <c r="S125" s="2023"/>
      <c r="T125" s="2023"/>
      <c r="U125" s="2023"/>
      <c r="V125" s="2023"/>
      <c r="W125" s="2023"/>
      <c r="X125" s="2023"/>
      <c r="Y125" s="2023"/>
      <c r="Z125" s="2023"/>
      <c r="AA125" s="2023"/>
      <c r="AB125" s="2023"/>
      <c r="AC125" s="2023"/>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3"/>
      <c r="O126" s="2043"/>
      <c r="P126" s="2090"/>
      <c r="Q126" s="2035"/>
      <c r="R126" s="2023"/>
      <c r="S126" s="2023"/>
      <c r="T126" s="2023"/>
      <c r="U126" s="2023"/>
      <c r="V126" s="2023"/>
      <c r="W126" s="2023"/>
      <c r="X126" s="2023"/>
      <c r="Y126" s="2023"/>
      <c r="Z126" s="2023"/>
      <c r="AA126" s="2023"/>
      <c r="AB126" s="2023"/>
      <c r="AC126" s="2023"/>
    </row>
    <row r="127" spans="1:29" s="1291" customFormat="1" ht="15" thickTop="1">
      <c r="A127" s="718"/>
      <c r="B127" s="663">
        <f>B45</f>
        <v>111</v>
      </c>
      <c r="C127" s="678"/>
      <c r="D127" s="678"/>
      <c r="E127" s="678"/>
      <c r="F127" s="678"/>
      <c r="G127" s="678"/>
      <c r="H127" s="679"/>
      <c r="I127" s="679"/>
      <c r="J127" s="679"/>
      <c r="K127" s="679"/>
      <c r="L127" s="680"/>
      <c r="M127" s="681"/>
      <c r="N127" s="2044"/>
      <c r="O127" s="2044"/>
      <c r="P127" s="2091"/>
      <c r="Q127" s="2046"/>
      <c r="R127" s="2047"/>
      <c r="S127" s="2047"/>
      <c r="T127" s="2047"/>
      <c r="U127" s="2047"/>
      <c r="V127" s="2047"/>
      <c r="W127" s="2047"/>
      <c r="X127" s="2047"/>
      <c r="Y127" s="2047"/>
      <c r="Z127" s="2047"/>
      <c r="AA127" s="2047"/>
      <c r="AB127" s="2047"/>
      <c r="AC127" s="2047"/>
    </row>
    <row r="128" spans="1:29" s="1291" customFormat="1" ht="15.75" thickBot="1">
      <c r="A128" s="677"/>
      <c r="B128" s="668"/>
      <c r="C128" s="682"/>
      <c r="D128" s="661"/>
      <c r="E128" s="661"/>
      <c r="F128" s="661"/>
      <c r="G128" s="682"/>
      <c r="H128" s="683"/>
      <c r="I128" s="683"/>
      <c r="J128" s="683"/>
      <c r="K128" s="683"/>
      <c r="L128" s="683"/>
      <c r="M128" s="684"/>
      <c r="N128" s="2044"/>
      <c r="O128" s="2044"/>
      <c r="P128" s="2091"/>
      <c r="Q128" s="2046"/>
      <c r="R128" s="2047"/>
      <c r="S128" s="2047"/>
      <c r="T128" s="2047"/>
      <c r="U128" s="2047"/>
      <c r="V128" s="2047"/>
      <c r="W128" s="2047"/>
      <c r="X128" s="2047"/>
      <c r="Y128" s="2047"/>
      <c r="Z128" s="2047"/>
      <c r="AA128" s="2047"/>
      <c r="AB128" s="2047"/>
      <c r="AC128" s="2047"/>
    </row>
    <row r="129" spans="1:29" ht="15" thickTop="1">
      <c r="A129" s="725"/>
      <c r="B129" s="663">
        <f>B46</f>
        <v>111</v>
      </c>
      <c r="C129" s="678"/>
      <c r="D129" s="678"/>
      <c r="E129" s="678"/>
      <c r="F129" s="678"/>
      <c r="G129" s="708"/>
      <c r="H129" s="708"/>
      <c r="I129" s="708"/>
      <c r="J129" s="708"/>
      <c r="K129" s="709"/>
      <c r="L129" s="710"/>
      <c r="M129" s="711"/>
      <c r="N129" s="2041"/>
      <c r="O129" s="2041"/>
      <c r="P129" s="2090"/>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90"/>
      <c r="Q130" s="2035"/>
      <c r="R130" s="2023"/>
      <c r="S130" s="2023"/>
      <c r="T130" s="2023"/>
      <c r="U130" s="2023"/>
      <c r="V130" s="2023"/>
      <c r="W130" s="2023"/>
      <c r="X130" s="2023"/>
      <c r="Y130" s="2023"/>
      <c r="Z130" s="2023"/>
      <c r="AA130" s="2023"/>
      <c r="AB130" s="2023"/>
      <c r="AC130" s="2023"/>
    </row>
    <row r="131" spans="1:29" ht="15" thickTop="1">
      <c r="A131" s="725"/>
      <c r="B131" s="671">
        <f>B47</f>
        <v>111</v>
      </c>
      <c r="C131" s="651"/>
      <c r="D131" s="651"/>
      <c r="E131" s="651"/>
      <c r="F131" s="651"/>
      <c r="G131" s="712"/>
      <c r="H131" s="712"/>
      <c r="I131" s="712"/>
      <c r="J131" s="712"/>
      <c r="K131" s="651"/>
      <c r="L131" s="652"/>
      <c r="M131" s="715"/>
      <c r="N131" s="2041"/>
      <c r="O131" s="2041"/>
      <c r="P131" s="2090"/>
      <c r="Q131" s="2035"/>
      <c r="R131" s="2023"/>
      <c r="S131" s="2023"/>
      <c r="T131" s="2023"/>
      <c r="U131" s="2023"/>
      <c r="V131" s="2023"/>
      <c r="W131" s="2023"/>
      <c r="X131" s="2023"/>
      <c r="Y131" s="2023"/>
      <c r="Z131" s="2023"/>
      <c r="AA131" s="2023"/>
      <c r="AB131" s="2023"/>
      <c r="AC131" s="2023"/>
    </row>
    <row r="132" spans="1:29" ht="15.75" thickBot="1">
      <c r="A132" s="880"/>
      <c r="B132" s="689"/>
      <c r="C132" s="690"/>
      <c r="D132" s="690"/>
      <c r="E132" s="690"/>
      <c r="F132" s="690"/>
      <c r="G132" s="716"/>
      <c r="H132" s="716"/>
      <c r="I132" s="716"/>
      <c r="J132" s="716"/>
      <c r="K132" s="716"/>
      <c r="L132" s="716"/>
      <c r="M132" s="717"/>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sheetPr>
    <tabColor rgb="FF7030A0"/>
    <pageSetUpPr fitToPage="1"/>
  </sheetPr>
  <dimension ref="A1:AE490"/>
  <sheetViews>
    <sheetView view="pageBreakPreview" topLeftCell="A7" zoomScale="80" zoomScaleNormal="80" zoomScaleSheetLayoutView="80" workbookViewId="0">
      <selection activeCell="C11" sqref="C11"/>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3007</v>
      </c>
      <c r="C1" s="1982"/>
      <c r="D1" s="1982"/>
      <c r="E1" s="1982"/>
      <c r="F1" s="1982"/>
      <c r="G1" s="1982"/>
      <c r="H1" s="1982"/>
      <c r="I1" s="1982"/>
      <c r="J1" s="1982"/>
      <c r="K1" s="414">
        <f>MATCH(B1,'数据-取费表'!A6:A16,0)+5</f>
        <v>8</v>
      </c>
      <c r="L1" s="288"/>
      <c r="M1" s="288"/>
      <c r="N1" s="288"/>
      <c r="O1" s="288"/>
      <c r="P1" s="288"/>
      <c r="Q1" s="288"/>
      <c r="R1" s="288"/>
      <c r="S1" s="288"/>
      <c r="T1" s="288"/>
      <c r="U1" s="288"/>
      <c r="V1" s="288"/>
      <c r="W1" s="288"/>
      <c r="X1" s="288"/>
      <c r="Y1" s="288"/>
      <c r="Z1" s="288"/>
    </row>
    <row r="2" spans="1:31" s="1920" customFormat="1" ht="18" customHeight="1">
      <c r="A2" s="1979" t="s">
        <v>461</v>
      </c>
      <c r="B2" s="1983">
        <f ca="1">C36</f>
        <v>178</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17506</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396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26</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317</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3007</v>
      </c>
      <c r="D7" s="428"/>
      <c r="E7" s="428"/>
      <c r="F7" s="428"/>
      <c r="G7" s="428"/>
      <c r="H7" s="428"/>
      <c r="I7" s="428"/>
      <c r="J7" s="428"/>
      <c r="K7" s="429"/>
      <c r="AA7" s="1990"/>
      <c r="AB7" s="1990"/>
      <c r="AC7" s="1990"/>
      <c r="AD7" s="1990"/>
      <c r="AE7" s="1990"/>
    </row>
    <row r="8" spans="1:31" s="1993" customFormat="1" ht="13.5" customHeight="1">
      <c r="A8" s="791" t="s">
        <v>1835</v>
      </c>
      <c r="B8" s="257" t="s">
        <v>466</v>
      </c>
      <c r="C8" s="2547">
        <f>'不动产比较法-办公剩余年限'!C49</f>
        <v>31142</v>
      </c>
      <c r="D8" s="2547"/>
      <c r="E8" s="2547"/>
      <c r="F8" s="2547"/>
      <c r="G8" s="2547"/>
      <c r="H8" s="2547"/>
      <c r="I8" s="2547"/>
      <c r="J8" s="2547"/>
      <c r="K8" s="2548"/>
      <c r="AA8" s="1992"/>
      <c r="AB8" s="1992"/>
      <c r="AC8" s="1992"/>
      <c r="AD8" s="1992"/>
      <c r="AE8" s="1992"/>
    </row>
    <row r="9" spans="1:31" s="1993" customFormat="1" ht="13.5" customHeight="1">
      <c r="A9" s="791" t="s">
        <v>1836</v>
      </c>
      <c r="B9" s="257" t="s">
        <v>467</v>
      </c>
      <c r="C9" s="3456">
        <f>面积信息!F5</f>
        <v>101.68</v>
      </c>
      <c r="D9" s="433">
        <f>SUMIF('数据-汇总表'!$C19:$C33,'剩余法-待开发办公剩余年限'!D7,'数据-汇总表'!$E19:$E33)</f>
        <v>0</v>
      </c>
      <c r="E9" s="433">
        <f>SUMIF('数据-汇总表'!$C19:$C33,'剩余法-待开发办公剩余年限'!E7,'数据-汇总表'!$E19:$E33)</f>
        <v>0</v>
      </c>
      <c r="F9" s="433">
        <f>SUMIF('数据-汇总表'!$C19:$C33,'剩余法-待开发办公剩余年限'!F7,'数据-汇总表'!$E19:$E33)</f>
        <v>0</v>
      </c>
      <c r="G9" s="433">
        <f>SUMIF('数据-汇总表'!$C19:$C33,'剩余法-待开发办公剩余年限'!G7,'数据-汇总表'!$E19:$E33)</f>
        <v>0</v>
      </c>
      <c r="H9" s="433">
        <f>SUMIF('数据-汇总表'!$C19:$C33,'剩余法-待开发办公剩余年限'!H7,'数据-汇总表'!$E19:$E33)</f>
        <v>0</v>
      </c>
      <c r="I9" s="433">
        <f>SUMIF('数据-汇总表'!$C19:$C33,'剩余法-待开发办公剩余年限'!I7,'数据-汇总表'!$E19:$E33)</f>
        <v>0</v>
      </c>
      <c r="J9" s="433">
        <f>SUMIF('数据-汇总表'!$C19:$C33,'剩余法-待开发办公剩余年限'!J7,'数据-汇总表'!$E19:$E33)</f>
        <v>0</v>
      </c>
      <c r="K9" s="434">
        <f>SUMIF('数据-汇总表'!$C19:$C33,'剩余法-待开发办公剩余年限'!K7,'数据-汇总表'!$E19:$E33)</f>
        <v>0</v>
      </c>
      <c r="AA9" s="1992"/>
      <c r="AB9" s="1992"/>
      <c r="AC9" s="1992"/>
      <c r="AD9" s="1992"/>
      <c r="AE9" s="1992"/>
    </row>
    <row r="10" spans="1:31" s="1993" customFormat="1" ht="13.5" customHeight="1" thickBot="1">
      <c r="A10" s="2549" t="s">
        <v>1837</v>
      </c>
      <c r="B10" s="2535" t="s">
        <v>468</v>
      </c>
      <c r="C10" s="2736">
        <f>'不动产比较法-办公剩余年限'!B2</f>
        <v>317</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3431" t="s">
        <v>470</v>
      </c>
      <c r="E12" s="3431" t="s">
        <v>471</v>
      </c>
      <c r="F12" s="3431"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 ca="1">IF(B1="",'数据-取费表'!P16,INDIRECT("'数据-取费表'!p"&amp;$K$1)+INDIRECT("'数据-取费表'!t"&amp;$K$1))</f>
        <v>41</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 ca="1">ROUND(C13*F14,0)</f>
        <v>1</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0</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2</v>
      </c>
      <c r="D16" s="2557">
        <f>C9</f>
        <v>101.68</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 ca="1">ROUND(C13*F17,0)</f>
        <v>1</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45</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3431">
        <f>ROUND(D19*E19/10000,0)</f>
        <v>0</v>
      </c>
      <c r="D19" s="2567">
        <f>D16</f>
        <v>101.68</v>
      </c>
      <c r="E19" s="3431">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3431">
        <f ca="1">C21+C22-IF(B1="",'数据-取费表'!B29,IF(G20="已全部缴纳",C21+C22,H20))</f>
        <v>2</v>
      </c>
      <c r="D20" s="2567"/>
      <c r="E20" s="3431"/>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0</v>
      </c>
      <c r="D21" s="2557">
        <f ca="1">IF(B1="",'数据-汇总表'!E5,IF(INDIRECT("'数据-取费表'!c"&amp;$K$1)="住宅",INDIRECT("'数据-取费表'!k"&amp;$K$1),0))</f>
        <v>0</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2</v>
      </c>
      <c r="D22" s="2557">
        <f>C9</f>
        <v>101.68</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0</v>
      </c>
      <c r="D23" s="460"/>
      <c r="E23" s="460"/>
      <c r="F23" s="2569">
        <f>'数据-取费表'!B37</f>
        <v>0.01</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3</v>
      </c>
      <c r="D24" s="467"/>
      <c r="E24" s="465"/>
      <c r="F24" s="2569">
        <f>'数据-取费表'!B38</f>
        <v>0.01</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489</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2</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2</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17</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69</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69</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10</v>
      </c>
      <c r="D33" s="459">
        <f ca="1">C34</f>
        <v>0.20610000000000001</v>
      </c>
      <c r="E33" s="461" t="s">
        <v>489</v>
      </c>
      <c r="F33" s="471">
        <f ca="1">IF(B1="",'数据-取费表'!Q16,INDIRECT("'数据-取费表'!q"&amp;$K$1))</f>
        <v>0.2</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0.20610000000000001</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10</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178</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17505.900865460266</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47.xml><?xml version="1.0" encoding="utf-8"?>
<worksheet xmlns="http://schemas.openxmlformats.org/spreadsheetml/2006/main" xmlns:r="http://schemas.openxmlformats.org/officeDocument/2006/relationships">
  <sheetPr>
    <tabColor rgb="FF7030A0"/>
    <pageSetUpPr fitToPage="1"/>
  </sheetPr>
  <dimension ref="A1:AC853"/>
  <sheetViews>
    <sheetView topLeftCell="A24" zoomScale="85" zoomScaleNormal="85" zoomScaleSheetLayoutView="85" workbookViewId="0">
      <selection activeCell="C10" sqref="C10"/>
    </sheetView>
  </sheetViews>
  <sheetFormatPr defaultColWidth="9" defaultRowHeight="14.25"/>
  <cols>
    <col min="1" max="1" width="10.5" style="1289" customWidth="1"/>
    <col min="2" max="2" width="15.875" style="1289" customWidth="1"/>
    <col min="3" max="3" width="1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2097"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771</v>
      </c>
      <c r="C1" s="496" t="s">
        <v>714</v>
      </c>
      <c r="D1" s="836" t="s">
        <v>3007</v>
      </c>
      <c r="E1" s="498"/>
      <c r="F1" s="2520" t="s">
        <v>3094</v>
      </c>
      <c r="G1" s="1528" t="s">
        <v>715</v>
      </c>
      <c r="H1" s="498"/>
      <c r="I1" s="498"/>
      <c r="J1" s="498"/>
      <c r="K1" s="499"/>
      <c r="L1" s="3203"/>
      <c r="M1" s="3204"/>
      <c r="N1" s="3204"/>
      <c r="O1" s="3204"/>
      <c r="P1" s="3267"/>
      <c r="Q1" s="2010"/>
      <c r="R1" s="2010"/>
      <c r="S1" s="2010"/>
      <c r="T1" s="2010"/>
      <c r="U1" s="2010"/>
      <c r="V1" s="2010"/>
      <c r="W1" s="2010"/>
      <c r="X1" s="2010"/>
      <c r="Y1" s="2010"/>
      <c r="Z1" s="2010"/>
      <c r="AA1" s="2010"/>
      <c r="AB1" s="2010"/>
      <c r="AC1" s="3205"/>
    </row>
    <row r="2" spans="1:29" s="1288" customFormat="1" ht="28.5" customHeight="1">
      <c r="A2" s="415" t="s">
        <v>461</v>
      </c>
      <c r="B2" s="837">
        <f>ROUND(B3*D3/10000,0)</f>
        <v>317</v>
      </c>
      <c r="C2" s="2005"/>
      <c r="D2" s="2005"/>
      <c r="E2" s="1940"/>
      <c r="F2" s="2007"/>
      <c r="G2" s="2006"/>
      <c r="H2" s="2006"/>
      <c r="I2" s="2006"/>
      <c r="J2" s="2006"/>
      <c r="K2" s="2006"/>
      <c r="L2" s="2009"/>
      <c r="M2" s="2010"/>
      <c r="N2" s="2010"/>
      <c r="O2" s="2010"/>
      <c r="P2" s="3267"/>
      <c r="Q2" s="2010"/>
      <c r="R2" s="2010"/>
      <c r="S2" s="2010"/>
      <c r="T2" s="2010"/>
      <c r="U2" s="2010"/>
      <c r="V2" s="2010"/>
      <c r="W2" s="2010"/>
      <c r="X2" s="2010"/>
      <c r="Y2" s="2010"/>
      <c r="Z2" s="2010"/>
      <c r="AA2" s="2010"/>
      <c r="AB2" s="2010"/>
      <c r="AC2" s="3205"/>
    </row>
    <row r="3" spans="1:29" s="1288" customFormat="1" ht="28.5" customHeight="1" thickBot="1">
      <c r="A3" s="501" t="s">
        <v>513</v>
      </c>
      <c r="B3" s="502">
        <f>C50</f>
        <v>31142</v>
      </c>
      <c r="C3" s="839" t="s">
        <v>716</v>
      </c>
      <c r="D3" s="838">
        <f>'剩余法-待开发 (办公)'!D16</f>
        <v>101.68</v>
      </c>
      <c r="E3" s="1940"/>
      <c r="F3" s="2007"/>
      <c r="G3" s="2006"/>
      <c r="H3" s="2006"/>
      <c r="I3" s="2006"/>
      <c r="J3" s="2006"/>
      <c r="K3" s="2008"/>
      <c r="L3" s="2009"/>
      <c r="M3" s="2010"/>
      <c r="N3" s="2010"/>
      <c r="O3" s="2010"/>
      <c r="P3" s="3267"/>
      <c r="Q3" s="2010"/>
      <c r="R3" s="2010"/>
      <c r="S3" s="2010"/>
      <c r="T3" s="2010"/>
      <c r="U3" s="2010"/>
      <c r="V3" s="2010"/>
      <c r="W3" s="2010"/>
      <c r="X3" s="2010"/>
      <c r="Y3" s="2010"/>
      <c r="Z3" s="2010"/>
      <c r="AA3" s="2010"/>
      <c r="AB3" s="2010"/>
      <c r="AC3" s="3205"/>
    </row>
    <row r="4" spans="1:29" ht="15">
      <c r="A4" s="504" t="s">
        <v>515</v>
      </c>
      <c r="B4" s="505"/>
      <c r="C4" s="3782" t="s">
        <v>516</v>
      </c>
      <c r="D4" s="3783"/>
      <c r="E4" s="3784" t="s">
        <v>517</v>
      </c>
      <c r="F4" s="3785"/>
      <c r="G4" s="3782" t="s">
        <v>518</v>
      </c>
      <c r="H4" s="3783"/>
      <c r="I4" s="3782" t="s">
        <v>519</v>
      </c>
      <c r="J4" s="3783"/>
      <c r="K4" s="506" t="s">
        <v>520</v>
      </c>
      <c r="L4" s="2011"/>
      <c r="M4" s="2012"/>
      <c r="N4" s="2012"/>
      <c r="O4" s="2012"/>
      <c r="P4" s="3848" t="s">
        <v>521</v>
      </c>
      <c r="Q4" s="3787"/>
      <c r="R4" s="3792" t="s">
        <v>517</v>
      </c>
      <c r="S4" s="3793"/>
      <c r="T4" s="3792" t="s">
        <v>518</v>
      </c>
      <c r="U4" s="3793"/>
      <c r="V4" s="3798" t="s">
        <v>519</v>
      </c>
      <c r="W4" s="3798"/>
      <c r="X4" s="3438"/>
      <c r="Y4" s="3792" t="s">
        <v>521</v>
      </c>
      <c r="Z4" s="3793"/>
      <c r="AA4" s="3779" t="s">
        <v>517</v>
      </c>
      <c r="AB4" s="3779" t="s">
        <v>518</v>
      </c>
      <c r="AC4" s="3779" t="s">
        <v>519</v>
      </c>
    </row>
    <row r="5" spans="1:29" ht="15">
      <c r="A5" s="507"/>
      <c r="B5" s="508"/>
      <c r="C5" s="3820" t="s">
        <v>3044</v>
      </c>
      <c r="D5" s="3802"/>
      <c r="E5" s="3821" t="s">
        <v>3050</v>
      </c>
      <c r="F5" s="3810"/>
      <c r="G5" s="3820" t="s">
        <v>3051</v>
      </c>
      <c r="H5" s="3802"/>
      <c r="I5" s="3820" t="s">
        <v>3052</v>
      </c>
      <c r="J5" s="3802"/>
      <c r="K5" s="506"/>
      <c r="L5" s="2011"/>
      <c r="M5" s="2012"/>
      <c r="N5" s="2012"/>
      <c r="O5" s="2012"/>
      <c r="P5" s="3849"/>
      <c r="Q5" s="3789"/>
      <c r="R5" s="3794"/>
      <c r="S5" s="3795"/>
      <c r="T5" s="3794"/>
      <c r="U5" s="3795"/>
      <c r="V5" s="3798"/>
      <c r="W5" s="3798"/>
      <c r="X5" s="3438"/>
      <c r="Y5" s="3794"/>
      <c r="Z5" s="3795"/>
      <c r="AA5" s="3780"/>
      <c r="AB5" s="3780"/>
      <c r="AC5" s="3780"/>
    </row>
    <row r="6" spans="1:29" ht="15.75" thickBot="1">
      <c r="A6" s="509"/>
      <c r="B6" s="510"/>
      <c r="C6" s="3806" t="s">
        <v>2897</v>
      </c>
      <c r="D6" s="3800"/>
      <c r="E6" s="3811" t="s">
        <v>2897</v>
      </c>
      <c r="F6" s="3808"/>
      <c r="G6" s="3806" t="s">
        <v>2897</v>
      </c>
      <c r="H6" s="3800"/>
      <c r="I6" s="3806" t="s">
        <v>2897</v>
      </c>
      <c r="J6" s="3800"/>
      <c r="K6" s="506" t="s">
        <v>522</v>
      </c>
      <c r="L6" s="2011"/>
      <c r="M6" s="2012"/>
      <c r="N6" s="2012"/>
      <c r="O6" s="2012"/>
      <c r="P6" s="3850"/>
      <c r="Q6" s="3791"/>
      <c r="R6" s="3794"/>
      <c r="S6" s="3795"/>
      <c r="T6" s="3796"/>
      <c r="U6" s="3797"/>
      <c r="V6" s="3798"/>
      <c r="W6" s="3798"/>
      <c r="X6" s="3438"/>
      <c r="Y6" s="3796"/>
      <c r="Z6" s="3797"/>
      <c r="AA6" s="3781"/>
      <c r="AB6" s="3781"/>
      <c r="AC6" s="3781"/>
    </row>
    <row r="7" spans="1:29" s="1201" customFormat="1" ht="15.75" thickBot="1">
      <c r="A7" s="2625"/>
      <c r="B7" s="2632" t="s">
        <v>523</v>
      </c>
      <c r="C7" s="511">
        <f>'数据-取费表'!B2</f>
        <v>44412</v>
      </c>
      <c r="D7" s="512">
        <v>100</v>
      </c>
      <c r="E7" s="513">
        <f>C7</f>
        <v>44412</v>
      </c>
      <c r="F7" s="514">
        <f>SUMIF(59:59,YEAR(E7)&amp;"-"&amp;MONTH(E7),60:60)</f>
        <v>100</v>
      </c>
      <c r="G7" s="513">
        <f>C7</f>
        <v>44412</v>
      </c>
      <c r="H7" s="512">
        <f>SUMIF(59:59,YEAR(G7)&amp;"-"&amp;MONTH(G7),60:60)</f>
        <v>100</v>
      </c>
      <c r="I7" s="513">
        <f>C7</f>
        <v>44412</v>
      </c>
      <c r="J7" s="512">
        <f>SUMIF(59:59,YEAR(I7)&amp;"-"&amp;MONTH(I7),60:60)</f>
        <v>100</v>
      </c>
      <c r="K7" s="516"/>
      <c r="L7" s="2013"/>
      <c r="M7" s="2014"/>
      <c r="N7" s="2014"/>
      <c r="O7" s="2014"/>
      <c r="P7" s="3805" t="s">
        <v>524</v>
      </c>
      <c r="Q7" s="3805"/>
      <c r="R7" s="1499" t="s">
        <v>8</v>
      </c>
      <c r="S7" s="1500">
        <f t="shared" ref="S7:S15" si="0">F7</f>
        <v>100</v>
      </c>
      <c r="T7" s="1499" t="s">
        <v>8</v>
      </c>
      <c r="U7" s="1500">
        <f t="shared" ref="U7:U15" si="1">H7</f>
        <v>100</v>
      </c>
      <c r="V7" s="1499" t="s">
        <v>8</v>
      </c>
      <c r="W7" s="1500">
        <f t="shared" ref="W7:W15" si="2">J7</f>
        <v>100</v>
      </c>
      <c r="X7" s="1501"/>
      <c r="Y7" s="3803" t="s">
        <v>524</v>
      </c>
      <c r="Z7" s="3804"/>
      <c r="AA7" s="1502">
        <f>D7/F7</f>
        <v>1</v>
      </c>
      <c r="AB7" s="1502">
        <f>D7/H7</f>
        <v>1</v>
      </c>
      <c r="AC7" s="1502">
        <f>D7/J7</f>
        <v>1</v>
      </c>
    </row>
    <row r="8" spans="1:29" s="1201" customFormat="1" ht="15.75" thickBot="1">
      <c r="A8" s="2626"/>
      <c r="B8" s="2633" t="s">
        <v>525</v>
      </c>
      <c r="C8" s="517" t="s">
        <v>570</v>
      </c>
      <c r="D8" s="512">
        <v>100</v>
      </c>
      <c r="E8" s="517" t="s">
        <v>3053</v>
      </c>
      <c r="F8" s="514">
        <f>SUMIF(62:62,E8,63:63)-SUMIF(62:62,C8,63:63)+100</f>
        <v>100</v>
      </c>
      <c r="G8" s="517" t="s">
        <v>3053</v>
      </c>
      <c r="H8" s="512">
        <f>SUMIF(62:62,G8,63:63)-SUMIF(62:62,C8,63:63)+100</f>
        <v>100</v>
      </c>
      <c r="I8" s="517" t="s">
        <v>3053</v>
      </c>
      <c r="J8" s="512">
        <f>SUMIF(62:62,I8,63:63)-SUMIF(62:62,C8,63:63)+100</f>
        <v>100</v>
      </c>
      <c r="K8" s="516"/>
      <c r="L8" s="2013"/>
      <c r="M8" s="2014"/>
      <c r="N8" s="2014"/>
      <c r="O8" s="2014"/>
      <c r="P8" s="3805" t="s">
        <v>527</v>
      </c>
      <c r="Q8" s="3804"/>
      <c r="R8" s="1499" t="s">
        <v>8</v>
      </c>
      <c r="S8" s="1500">
        <f t="shared" si="0"/>
        <v>100</v>
      </c>
      <c r="T8" s="1499" t="s">
        <v>8</v>
      </c>
      <c r="U8" s="1500">
        <f t="shared" si="1"/>
        <v>100</v>
      </c>
      <c r="V8" s="1499" t="s">
        <v>8</v>
      </c>
      <c r="W8" s="1500">
        <f t="shared" si="2"/>
        <v>100</v>
      </c>
      <c r="X8" s="1501"/>
      <c r="Y8" s="3803" t="s">
        <v>527</v>
      </c>
      <c r="Z8" s="3804"/>
      <c r="AA8" s="1502">
        <f t="shared" ref="AA8:AA47" si="3">D8/F8</f>
        <v>1</v>
      </c>
      <c r="AB8" s="1502">
        <f t="shared" ref="AB8:AB47" si="4">D8/H8</f>
        <v>1</v>
      </c>
      <c r="AC8" s="1502">
        <f t="shared" ref="AC8:AC47" si="5">D8/J8</f>
        <v>1</v>
      </c>
    </row>
    <row r="9" spans="1:29" s="1201" customFormat="1" ht="15">
      <c r="A9" s="2627"/>
      <c r="B9" s="2634" t="s">
        <v>2735</v>
      </c>
      <c r="C9" s="3309" t="s">
        <v>3045</v>
      </c>
      <c r="D9" s="250">
        <v>100</v>
      </c>
      <c r="E9" s="847" t="s">
        <v>1667</v>
      </c>
      <c r="F9" s="250">
        <f>SUMIF(64:64,E9,65:65)-SUMIF(64:64,C9,65:65)+100</f>
        <v>100</v>
      </c>
      <c r="G9" s="845" t="s">
        <v>1667</v>
      </c>
      <c r="H9" s="250">
        <f>SUMIF(64:64,G9,65:65)-SUMIF(64:64,C9,65:65)+100</f>
        <v>100</v>
      </c>
      <c r="I9" s="845" t="s">
        <v>1667</v>
      </c>
      <c r="J9" s="250">
        <f>SUMIF(64:64,I9,65:65)-SUMIF(64:64,C9,65:65)+100</f>
        <v>100</v>
      </c>
      <c r="K9" s="516"/>
      <c r="L9" s="2013"/>
      <c r="M9" s="2014"/>
      <c r="N9" s="2014"/>
      <c r="O9" s="2014"/>
      <c r="P9" s="3772" t="s">
        <v>529</v>
      </c>
      <c r="Q9" s="3433" t="str">
        <f t="shared" ref="Q9:Q15" si="6">B9</f>
        <v>用途</v>
      </c>
      <c r="R9" s="1499" t="s">
        <v>8</v>
      </c>
      <c r="S9" s="1500">
        <f t="shared" si="0"/>
        <v>100</v>
      </c>
      <c r="T9" s="1499" t="s">
        <v>8</v>
      </c>
      <c r="U9" s="1500">
        <f t="shared" si="1"/>
        <v>100</v>
      </c>
      <c r="V9" s="1499" t="s">
        <v>8</v>
      </c>
      <c r="W9" s="1500">
        <f t="shared" si="2"/>
        <v>100</v>
      </c>
      <c r="X9" s="1501"/>
      <c r="Y9" s="3675" t="s">
        <v>530</v>
      </c>
      <c r="Z9" s="3432" t="str">
        <f t="shared" ref="Z9:Z15" si="7">Q9</f>
        <v>用途</v>
      </c>
      <c r="AA9" s="1502">
        <f t="shared" si="3"/>
        <v>1</v>
      </c>
      <c r="AB9" s="1502">
        <f t="shared" si="4"/>
        <v>1</v>
      </c>
      <c r="AC9" s="1502">
        <f t="shared" si="5"/>
        <v>1</v>
      </c>
    </row>
    <row r="10" spans="1:29" s="1290" customFormat="1" ht="27.75" thickBot="1">
      <c r="A10" s="2628"/>
      <c r="B10" s="2633" t="s">
        <v>2736</v>
      </c>
      <c r="C10" s="848" t="s">
        <v>3046</v>
      </c>
      <c r="D10" s="251">
        <v>100</v>
      </c>
      <c r="E10" s="848" t="s">
        <v>3292</v>
      </c>
      <c r="F10" s="251">
        <f>SUMIF(66:66,E10,67:67)-SUMIF(66:66,C10,67:67)+100</f>
        <v>101</v>
      </c>
      <c r="G10" s="849" t="s">
        <v>3292</v>
      </c>
      <c r="H10" s="251">
        <f>SUMIF(66:66,G10,67:67)-SUMIF(66:66,C10,67:67)+100</f>
        <v>101</v>
      </c>
      <c r="I10" s="848" t="s">
        <v>3106</v>
      </c>
      <c r="J10" s="251">
        <f>SUMIF(66:66,I10,67:67)-SUMIF(66:66,C10,67:67)+100</f>
        <v>99</v>
      </c>
      <c r="K10" s="3395">
        <v>1</v>
      </c>
      <c r="L10" s="2016"/>
      <c r="M10" s="2055"/>
      <c r="N10" s="2055"/>
      <c r="O10" s="2055"/>
      <c r="P10" s="3772"/>
      <c r="Q10" s="3433" t="str">
        <f t="shared" si="6"/>
        <v>土地使用年限（年）</v>
      </c>
      <c r="R10" s="1499" t="s">
        <v>8</v>
      </c>
      <c r="S10" s="1500">
        <f t="shared" si="0"/>
        <v>101</v>
      </c>
      <c r="T10" s="1499" t="s">
        <v>8</v>
      </c>
      <c r="U10" s="1500">
        <f t="shared" si="1"/>
        <v>101</v>
      </c>
      <c r="V10" s="1499" t="s">
        <v>8</v>
      </c>
      <c r="W10" s="1500">
        <f t="shared" si="2"/>
        <v>99</v>
      </c>
      <c r="X10" s="1501"/>
      <c r="Y10" s="3675"/>
      <c r="Z10" s="3432" t="str">
        <f t="shared" si="7"/>
        <v>土地使用年限（年）</v>
      </c>
      <c r="AA10" s="1502">
        <f t="shared" si="3"/>
        <v>0.99009900990099009</v>
      </c>
      <c r="AB10" s="1502">
        <f t="shared" si="4"/>
        <v>0.99009900990099009</v>
      </c>
      <c r="AC10" s="1502">
        <f t="shared" si="5"/>
        <v>1.0101010101010102</v>
      </c>
    </row>
    <row r="11" spans="1:29" ht="15.75" hidden="1" thickBot="1">
      <c r="A11" s="2629"/>
      <c r="B11" s="2633" t="s">
        <v>2737</v>
      </c>
      <c r="C11" s="525"/>
      <c r="D11" s="251">
        <v>100</v>
      </c>
      <c r="E11" s="525"/>
      <c r="F11" s="251">
        <f>LOOKUP(E11,69:69,70:70)-LOOKUP(C11,69:69,70:70)+100</f>
        <v>100</v>
      </c>
      <c r="G11" s="526"/>
      <c r="H11" s="251">
        <f>LOOKUP(G11,69:69,70:70)-LOOKUP(C11,69:69,70:70)+100</f>
        <v>100</v>
      </c>
      <c r="I11" s="525"/>
      <c r="J11" s="251">
        <f>LOOKUP(I11,69:69,70:70)-LOOKUP(C11,69:69,70:70)+100</f>
        <v>100</v>
      </c>
      <c r="K11" s="576"/>
      <c r="L11" s="2018"/>
      <c r="M11" s="2012"/>
      <c r="N11" s="2012"/>
      <c r="O11" s="2012"/>
      <c r="P11" s="3772"/>
      <c r="Q11" s="3433" t="str">
        <f t="shared" si="6"/>
        <v>容积率</v>
      </c>
      <c r="R11" s="1499" t="s">
        <v>8</v>
      </c>
      <c r="S11" s="1500">
        <f t="shared" si="0"/>
        <v>100</v>
      </c>
      <c r="T11" s="1499" t="s">
        <v>8</v>
      </c>
      <c r="U11" s="1500">
        <f t="shared" si="1"/>
        <v>100</v>
      </c>
      <c r="V11" s="1499" t="s">
        <v>8</v>
      </c>
      <c r="W11" s="1500">
        <f t="shared" si="2"/>
        <v>100</v>
      </c>
      <c r="X11" s="1501"/>
      <c r="Y11" s="3675"/>
      <c r="Z11" s="3432" t="str">
        <f t="shared" si="7"/>
        <v>容积率</v>
      </c>
      <c r="AA11" s="1502">
        <f t="shared" si="3"/>
        <v>1</v>
      </c>
      <c r="AB11" s="1502">
        <f t="shared" si="4"/>
        <v>1</v>
      </c>
      <c r="AC11" s="1502">
        <f t="shared" si="5"/>
        <v>1</v>
      </c>
    </row>
    <row r="12" spans="1:29" s="1201" customFormat="1" ht="15.75" hidden="1" thickBot="1">
      <c r="A12" s="2630"/>
      <c r="B12" s="2636">
        <v>111</v>
      </c>
      <c r="C12" s="520"/>
      <c r="D12" s="530">
        <v>100</v>
      </c>
      <c r="E12" s="520"/>
      <c r="F12" s="251">
        <f>SUMIF(71:71,E12,72:72)-SUMIF(71:71,C12,72:72)+100</f>
        <v>100</v>
      </c>
      <c r="G12" s="897"/>
      <c r="H12" s="251">
        <f>SUMIF(71:71,G12,72:72)-SUMIF(71:71,C12,72:72)+100</f>
        <v>100</v>
      </c>
      <c r="I12" s="520"/>
      <c r="J12" s="251">
        <f>SUMIF(71:71,I12,72:72)-SUMIF(71:71,C12,72:72)+100</f>
        <v>100</v>
      </c>
      <c r="K12" s="573"/>
      <c r="L12" s="2013"/>
      <c r="M12" s="2014"/>
      <c r="N12" s="2014"/>
      <c r="O12" s="2014"/>
      <c r="P12" s="3772"/>
      <c r="Q12" s="3433">
        <f t="shared" si="6"/>
        <v>111</v>
      </c>
      <c r="R12" s="1499" t="s">
        <v>8</v>
      </c>
      <c r="S12" s="1500">
        <f t="shared" si="0"/>
        <v>100</v>
      </c>
      <c r="T12" s="1499" t="s">
        <v>8</v>
      </c>
      <c r="U12" s="1500">
        <f t="shared" si="1"/>
        <v>100</v>
      </c>
      <c r="V12" s="1499" t="s">
        <v>8</v>
      </c>
      <c r="W12" s="1500">
        <f t="shared" si="2"/>
        <v>100</v>
      </c>
      <c r="X12" s="1501"/>
      <c r="Y12" s="3675"/>
      <c r="Z12" s="3432">
        <f t="shared" si="7"/>
        <v>111</v>
      </c>
      <c r="AA12" s="1502">
        <f>D12/F12</f>
        <v>1</v>
      </c>
      <c r="AB12" s="1502">
        <f>D12/H12</f>
        <v>1</v>
      </c>
      <c r="AC12" s="1502">
        <f>D12/J12</f>
        <v>1</v>
      </c>
    </row>
    <row r="13" spans="1:29" ht="15.75" hidden="1" thickBot="1">
      <c r="A13" s="2630"/>
      <c r="B13" s="2636">
        <v>111</v>
      </c>
      <c r="C13" s="531"/>
      <c r="D13" s="532">
        <v>100</v>
      </c>
      <c r="E13" s="520"/>
      <c r="F13" s="251">
        <f>SUMIF(73:73,E13,74:74)-SUMIF(73:73,C13,74:74)+100</f>
        <v>100</v>
      </c>
      <c r="G13" s="897"/>
      <c r="H13" s="532">
        <f>SUMIF(73:73,G13,74:74)-SUMIF(73:73,C13,74:74)+100</f>
        <v>100</v>
      </c>
      <c r="I13" s="520"/>
      <c r="J13" s="532">
        <f>SUMIF(73:73,I13,74:74)-SUMIF(73:73,C13,74:74)+100</f>
        <v>100</v>
      </c>
      <c r="K13" s="573"/>
      <c r="L13" s="2020"/>
      <c r="M13" s="2012"/>
      <c r="N13" s="2012"/>
      <c r="O13" s="2012"/>
      <c r="P13" s="3772"/>
      <c r="Q13" s="3433">
        <f t="shared" si="6"/>
        <v>111</v>
      </c>
      <c r="R13" s="1499" t="s">
        <v>8</v>
      </c>
      <c r="S13" s="1500">
        <f t="shared" si="0"/>
        <v>100</v>
      </c>
      <c r="T13" s="1499" t="s">
        <v>8</v>
      </c>
      <c r="U13" s="1500">
        <f t="shared" si="1"/>
        <v>100</v>
      </c>
      <c r="V13" s="1499" t="s">
        <v>8</v>
      </c>
      <c r="W13" s="1500">
        <f t="shared" si="2"/>
        <v>100</v>
      </c>
      <c r="X13" s="1501"/>
      <c r="Y13" s="3675"/>
      <c r="Z13" s="3432">
        <f t="shared" si="7"/>
        <v>111</v>
      </c>
      <c r="AA13" s="1502">
        <f t="shared" si="3"/>
        <v>1</v>
      </c>
      <c r="AB13" s="1502">
        <f t="shared" si="4"/>
        <v>1</v>
      </c>
      <c r="AC13" s="1502">
        <f t="shared" si="5"/>
        <v>1</v>
      </c>
    </row>
    <row r="14" spans="1:29" ht="15.75" hidden="1" thickBot="1">
      <c r="A14" s="2631"/>
      <c r="B14" s="2637">
        <v>111</v>
      </c>
      <c r="C14" s="537"/>
      <c r="D14" s="538">
        <v>100</v>
      </c>
      <c r="E14" s="898"/>
      <c r="F14" s="538">
        <f>SUMIF(75:75,E14,76:76)-SUMIF(75:75,C14,76:76)+100</f>
        <v>100</v>
      </c>
      <c r="G14" s="897"/>
      <c r="H14" s="538">
        <f>SUMIF(75:75,G14,76:76)-SUMIF(75:75,C14,76:76)+100</f>
        <v>100</v>
      </c>
      <c r="I14" s="520"/>
      <c r="J14" s="538">
        <f>SUMIF(75:75,I14,76:76)-SUMIF(75:75,C14,76:76)+100</f>
        <v>100</v>
      </c>
      <c r="K14" s="573"/>
      <c r="L14" s="2020"/>
      <c r="M14" s="2012"/>
      <c r="N14" s="2012"/>
      <c r="O14" s="2012"/>
      <c r="P14" s="3772"/>
      <c r="Q14" s="3433">
        <f t="shared" si="6"/>
        <v>111</v>
      </c>
      <c r="R14" s="1499" t="s">
        <v>8</v>
      </c>
      <c r="S14" s="1500">
        <f t="shared" si="0"/>
        <v>100</v>
      </c>
      <c r="T14" s="1499" t="s">
        <v>8</v>
      </c>
      <c r="U14" s="1500">
        <f t="shared" si="1"/>
        <v>100</v>
      </c>
      <c r="V14" s="1499" t="s">
        <v>8</v>
      </c>
      <c r="W14" s="1500">
        <f t="shared" si="2"/>
        <v>100</v>
      </c>
      <c r="X14" s="1501"/>
      <c r="Y14" s="3675"/>
      <c r="Z14" s="3432">
        <f t="shared" si="7"/>
        <v>111</v>
      </c>
      <c r="AA14" s="1502">
        <f t="shared" si="3"/>
        <v>1</v>
      </c>
      <c r="AB14" s="1502">
        <f t="shared" si="4"/>
        <v>1</v>
      </c>
      <c r="AC14" s="1502">
        <f t="shared" si="5"/>
        <v>1</v>
      </c>
    </row>
    <row r="15" spans="1:29" ht="108">
      <c r="A15" s="2623" t="s">
        <v>2733</v>
      </c>
      <c r="B15" s="539" t="s">
        <v>536</v>
      </c>
      <c r="C15" s="540" t="str">
        <f>估价对象房地状况!C5</f>
        <v>卫生大厦、新浪总部大厦、百度科技园、网易大厦、腾讯北京总部大楼、联想总部等，办公集聚程度较好</v>
      </c>
      <c r="D15" s="541">
        <v>100</v>
      </c>
      <c r="E15" s="3312" t="s">
        <v>3062</v>
      </c>
      <c r="F15" s="541">
        <f>SUMIF(77:77,E16,78:78)-SUMIF(77:77,C16,78:78)+100</f>
        <v>100</v>
      </c>
      <c r="G15" s="3318" t="s">
        <v>3063</v>
      </c>
      <c r="H15" s="541">
        <f>SUMIF(77:77,G16,78:78)-SUMIF(77:77,C16,78:78)+100</f>
        <v>100</v>
      </c>
      <c r="I15" s="3318" t="s">
        <v>3141</v>
      </c>
      <c r="J15" s="541">
        <f>SUMIF(77:77,I16,78:78)-SUMIF(77:77,C16,78:78)+100</f>
        <v>100</v>
      </c>
      <c r="K15" s="885">
        <v>2</v>
      </c>
      <c r="L15" s="2020"/>
      <c r="M15" s="2012"/>
      <c r="N15" s="2012"/>
      <c r="O15" s="2012"/>
      <c r="P15" s="3774" t="s">
        <v>534</v>
      </c>
      <c r="Q15" s="3436" t="str">
        <f t="shared" si="6"/>
        <v>办公集聚程度</v>
      </c>
      <c r="R15" s="1504" t="s">
        <v>8</v>
      </c>
      <c r="S15" s="1505">
        <f t="shared" si="0"/>
        <v>100</v>
      </c>
      <c r="T15" s="1504" t="s">
        <v>8</v>
      </c>
      <c r="U15" s="1505">
        <f t="shared" si="1"/>
        <v>100</v>
      </c>
      <c r="V15" s="1504" t="s">
        <v>8</v>
      </c>
      <c r="W15" s="1505">
        <f t="shared" si="2"/>
        <v>100</v>
      </c>
      <c r="X15" s="3438"/>
      <c r="Y15" s="3774" t="s">
        <v>534</v>
      </c>
      <c r="Z15" s="3437" t="str">
        <f t="shared" si="7"/>
        <v>办公集聚程度</v>
      </c>
      <c r="AA15" s="3442">
        <f t="shared" si="3"/>
        <v>1</v>
      </c>
      <c r="AB15" s="3442">
        <f t="shared" si="4"/>
        <v>1</v>
      </c>
      <c r="AC15" s="3442">
        <f t="shared" si="5"/>
        <v>1</v>
      </c>
    </row>
    <row r="16" spans="1:29" ht="15">
      <c r="A16" s="524"/>
      <c r="B16" s="545"/>
      <c r="C16" s="546" t="s">
        <v>3042</v>
      </c>
      <c r="D16" s="547"/>
      <c r="E16" s="568" t="s">
        <v>3042</v>
      </c>
      <c r="F16" s="547"/>
      <c r="G16" s="546" t="s">
        <v>3042</v>
      </c>
      <c r="H16" s="551"/>
      <c r="I16" s="568" t="s">
        <v>3042</v>
      </c>
      <c r="J16" s="547"/>
      <c r="K16" s="886"/>
      <c r="L16" s="2020"/>
      <c r="M16" s="2012"/>
      <c r="N16" s="2012"/>
      <c r="O16" s="2012"/>
      <c r="P16" s="3775"/>
      <c r="Q16" s="3436"/>
      <c r="R16" s="1504"/>
      <c r="S16" s="1505"/>
      <c r="T16" s="1504"/>
      <c r="U16" s="1505"/>
      <c r="V16" s="1504"/>
      <c r="W16" s="1505"/>
      <c r="X16" s="3438"/>
      <c r="Y16" s="3775"/>
      <c r="Z16" s="3437"/>
      <c r="AA16" s="3442">
        <v>1</v>
      </c>
      <c r="AB16" s="3442">
        <v>1</v>
      </c>
      <c r="AC16" s="3442">
        <v>1</v>
      </c>
    </row>
    <row r="17" spans="1:29" ht="142.5">
      <c r="A17" s="524"/>
      <c r="B17" s="552" t="s">
        <v>296</v>
      </c>
      <c r="C17" s="565" t="str">
        <f>估价对象房地状况!C6</f>
        <v>紧邻地铁16号线（西北旺站），周边有333路、384路、438路、570路、575路、623路、902路、908路、909路、快速直达专线152路、专143路等多条公交线路，交通便捷度好</v>
      </c>
      <c r="D17" s="551">
        <v>100</v>
      </c>
      <c r="E17" s="3313" t="s">
        <v>3054</v>
      </c>
      <c r="F17" s="551">
        <f>SUMIF(79:79,E18,80:80)-SUMIF(79:79,C18,80:80)+100</f>
        <v>100</v>
      </c>
      <c r="G17" s="3319" t="s">
        <v>3059</v>
      </c>
      <c r="H17" s="557">
        <f>SUMIF(79:79,G18,80:80)-SUMIF(79:79,C18,80:80)+100</f>
        <v>100</v>
      </c>
      <c r="I17" s="3321" t="s">
        <v>3064</v>
      </c>
      <c r="J17" s="557">
        <f>SUMIF(79:79,I18,80:80)-SUMIF(79:79,C18,80:80)+100</f>
        <v>100</v>
      </c>
      <c r="K17" s="885">
        <v>5</v>
      </c>
      <c r="L17" s="2020"/>
      <c r="M17" s="2012"/>
      <c r="N17" s="2012"/>
      <c r="O17" s="2012"/>
      <c r="P17" s="3775"/>
      <c r="Q17" s="3436" t="str">
        <f>B17</f>
        <v>交通便捷度</v>
      </c>
      <c r="R17" s="1504" t="s">
        <v>8</v>
      </c>
      <c r="S17" s="1505">
        <f>F17</f>
        <v>100</v>
      </c>
      <c r="T17" s="1504" t="s">
        <v>8</v>
      </c>
      <c r="U17" s="1505">
        <f>H17</f>
        <v>100</v>
      </c>
      <c r="V17" s="1504" t="s">
        <v>8</v>
      </c>
      <c r="W17" s="1505">
        <f>J17</f>
        <v>100</v>
      </c>
      <c r="X17" s="3438"/>
      <c r="Y17" s="3775"/>
      <c r="Z17" s="3437" t="str">
        <f>Q17</f>
        <v>交通便捷度</v>
      </c>
      <c r="AA17" s="3442">
        <f t="shared" si="3"/>
        <v>1</v>
      </c>
      <c r="AB17" s="3442">
        <f t="shared" si="4"/>
        <v>1</v>
      </c>
      <c r="AC17" s="3442">
        <f t="shared" si="5"/>
        <v>1</v>
      </c>
    </row>
    <row r="18" spans="1:29" ht="15">
      <c r="A18" s="524"/>
      <c r="B18" s="558"/>
      <c r="C18" s="559" t="s">
        <v>3042</v>
      </c>
      <c r="D18" s="551"/>
      <c r="E18" s="561" t="s">
        <v>3042</v>
      </c>
      <c r="F18" s="551"/>
      <c r="G18" s="560" t="s">
        <v>3042</v>
      </c>
      <c r="H18" s="547"/>
      <c r="I18" s="560" t="s">
        <v>3042</v>
      </c>
      <c r="J18" s="547"/>
      <c r="K18" s="886"/>
      <c r="L18" s="2020"/>
      <c r="M18" s="2012"/>
      <c r="N18" s="2012"/>
      <c r="O18" s="2012"/>
      <c r="P18" s="3775"/>
      <c r="Q18" s="3436"/>
      <c r="R18" s="1504"/>
      <c r="S18" s="1505"/>
      <c r="T18" s="1504"/>
      <c r="U18" s="1505"/>
      <c r="V18" s="1504"/>
      <c r="W18" s="1505"/>
      <c r="X18" s="3438"/>
      <c r="Y18" s="3775"/>
      <c r="Z18" s="3437"/>
      <c r="AA18" s="3442">
        <v>1</v>
      </c>
      <c r="AB18" s="3442">
        <v>1</v>
      </c>
      <c r="AC18" s="3442">
        <v>1</v>
      </c>
    </row>
    <row r="19" spans="1:29" ht="279.95" customHeight="1">
      <c r="A19" s="524"/>
      <c r="B19" s="2443" t="s">
        <v>2527</v>
      </c>
      <c r="C19" s="565"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3314" t="s">
        <v>3055</v>
      </c>
      <c r="F19" s="557">
        <f>SUMIF(81:81,E20,82:82)-SUMIF(81:81,C20,82:82)+100</f>
        <v>100</v>
      </c>
      <c r="G19" s="3320" t="s">
        <v>3060</v>
      </c>
      <c r="H19" s="551">
        <f>SUMIF(81:81,G20,82:82)-SUMIF(81:81,C20,82:82)+100</f>
        <v>100</v>
      </c>
      <c r="I19" s="3320" t="s">
        <v>3065</v>
      </c>
      <c r="J19" s="551">
        <f>SUMIF(81:81,I20,82:82)-SUMIF(81:81,C20,82:82)+100</f>
        <v>100</v>
      </c>
      <c r="K19" s="885">
        <v>2</v>
      </c>
      <c r="L19" s="2020"/>
      <c r="M19" s="2012"/>
      <c r="N19" s="2012"/>
      <c r="O19" s="2012"/>
      <c r="P19" s="3775"/>
      <c r="Q19" s="3436" t="str">
        <f>B19</f>
        <v>公共配套设施</v>
      </c>
      <c r="R19" s="1504" t="s">
        <v>8</v>
      </c>
      <c r="S19" s="1505">
        <f>F19</f>
        <v>100</v>
      </c>
      <c r="T19" s="1504" t="s">
        <v>8</v>
      </c>
      <c r="U19" s="1505">
        <f>H19</f>
        <v>100</v>
      </c>
      <c r="V19" s="1504" t="s">
        <v>8</v>
      </c>
      <c r="W19" s="1505">
        <f>J19</f>
        <v>100</v>
      </c>
      <c r="X19" s="3438"/>
      <c r="Y19" s="3775"/>
      <c r="Z19" s="3437" t="str">
        <f>Q19</f>
        <v>公共配套设施</v>
      </c>
      <c r="AA19" s="3442">
        <f t="shared" si="3"/>
        <v>1</v>
      </c>
      <c r="AB19" s="3442">
        <f t="shared" si="4"/>
        <v>1</v>
      </c>
      <c r="AC19" s="3442">
        <f t="shared" si="5"/>
        <v>1</v>
      </c>
    </row>
    <row r="20" spans="1:29" ht="15">
      <c r="A20" s="524"/>
      <c r="B20" s="558"/>
      <c r="C20" s="546" t="s">
        <v>3042</v>
      </c>
      <c r="D20" s="547"/>
      <c r="E20" s="550" t="s">
        <v>3042</v>
      </c>
      <c r="F20" s="547"/>
      <c r="G20" s="548" t="s">
        <v>3042</v>
      </c>
      <c r="H20" s="547"/>
      <c r="I20" s="548" t="s">
        <v>3042</v>
      </c>
      <c r="J20" s="547"/>
      <c r="K20" s="886"/>
      <c r="L20" s="2020"/>
      <c r="M20" s="2012"/>
      <c r="N20" s="2012"/>
      <c r="O20" s="2012"/>
      <c r="P20" s="3775"/>
      <c r="Q20" s="3436"/>
      <c r="R20" s="1504"/>
      <c r="S20" s="1505"/>
      <c r="T20" s="1504"/>
      <c r="U20" s="1505"/>
      <c r="V20" s="1504"/>
      <c r="W20" s="1505"/>
      <c r="X20" s="3438"/>
      <c r="Y20" s="3775"/>
      <c r="Z20" s="3437"/>
      <c r="AA20" s="3442">
        <v>1</v>
      </c>
      <c r="AB20" s="3442">
        <v>1</v>
      </c>
      <c r="AC20" s="3442">
        <v>1</v>
      </c>
    </row>
    <row r="21" spans="1:29" ht="15">
      <c r="A21" s="524"/>
      <c r="B21" s="2431" t="s">
        <v>2528</v>
      </c>
      <c r="C21" s="565" t="str">
        <f>估价对象房地状况!C8</f>
        <v>七通</v>
      </c>
      <c r="D21" s="557">
        <v>100</v>
      </c>
      <c r="E21" s="3315" t="s">
        <v>3056</v>
      </c>
      <c r="F21" s="557">
        <f>SUMIF(83:83,E22,84:84)-SUMIF(83:83,C22,84:84)+100</f>
        <v>100</v>
      </c>
      <c r="G21" s="562"/>
      <c r="H21" s="557">
        <f>SUMIF(83:83,G22,84:84)-SUMIF(83:83,C22,84:84)+100</f>
        <v>100</v>
      </c>
      <c r="I21" s="562"/>
      <c r="J21" s="557">
        <f>SUMIF(83:83,I22,84:84)-SUMIF(83:83,C22,84:84)+100</f>
        <v>100</v>
      </c>
      <c r="K21" s="885"/>
      <c r="L21" s="2020"/>
      <c r="M21" s="2012"/>
      <c r="N21" s="2012"/>
      <c r="O21" s="2012"/>
      <c r="P21" s="3775"/>
      <c r="Q21" s="3436" t="str">
        <f>B21</f>
        <v>基础设施水平</v>
      </c>
      <c r="R21" s="1504" t="s">
        <v>8</v>
      </c>
      <c r="S21" s="1505">
        <f>F21</f>
        <v>100</v>
      </c>
      <c r="T21" s="1504" t="s">
        <v>8</v>
      </c>
      <c r="U21" s="1505">
        <f>H21</f>
        <v>100</v>
      </c>
      <c r="V21" s="1504" t="s">
        <v>8</v>
      </c>
      <c r="W21" s="1505">
        <f>J21</f>
        <v>100</v>
      </c>
      <c r="X21" s="3438"/>
      <c r="Y21" s="3775"/>
      <c r="Z21" s="3437" t="str">
        <f>Q21</f>
        <v>基础设施水平</v>
      </c>
      <c r="AA21" s="3442">
        <f t="shared" ref="AA21" si="8">D21/F21</f>
        <v>1</v>
      </c>
      <c r="AB21" s="3442">
        <f t="shared" ref="AB21" si="9">D21/H21</f>
        <v>1</v>
      </c>
      <c r="AC21" s="3442">
        <f t="shared" ref="AC21" si="10">D21/J21</f>
        <v>1</v>
      </c>
    </row>
    <row r="22" spans="1:29" ht="15">
      <c r="A22" s="524"/>
      <c r="B22" s="570"/>
      <c r="C22" s="559" t="s">
        <v>3027</v>
      </c>
      <c r="D22" s="547"/>
      <c r="E22" s="568" t="s">
        <v>3027</v>
      </c>
      <c r="F22" s="547"/>
      <c r="G22" s="546" t="s">
        <v>3027</v>
      </c>
      <c r="H22" s="547"/>
      <c r="I22" s="546" t="s">
        <v>3027</v>
      </c>
      <c r="J22" s="547"/>
      <c r="K22" s="2442"/>
      <c r="L22" s="2020"/>
      <c r="M22" s="2012"/>
      <c r="N22" s="2012"/>
      <c r="O22" s="2012"/>
      <c r="P22" s="3775"/>
      <c r="Q22" s="3436"/>
      <c r="R22" s="1504"/>
      <c r="S22" s="1505"/>
      <c r="T22" s="1504"/>
      <c r="U22" s="1505"/>
      <c r="V22" s="1504"/>
      <c r="W22" s="1505"/>
      <c r="X22" s="3438"/>
      <c r="Y22" s="3775"/>
      <c r="Z22" s="3437"/>
      <c r="AA22" s="3442">
        <v>1</v>
      </c>
      <c r="AB22" s="3442">
        <v>1</v>
      </c>
      <c r="AC22" s="3442">
        <v>1</v>
      </c>
    </row>
    <row r="23" spans="1:29" ht="128.25">
      <c r="A23" s="524"/>
      <c r="B23" s="552" t="s">
        <v>772</v>
      </c>
      <c r="C23" s="565" t="str">
        <f>估价对象房地状况!C9</f>
        <v>区域自然环境：百望山、药用植物园、百旺公园、首师大附中口袋公园、中关村公园、小关村公园、京密引水渠等；人文环境：西北旺镇政府；综合评价环境状况较好</v>
      </c>
      <c r="D23" s="551">
        <v>100</v>
      </c>
      <c r="E23" s="3316" t="s">
        <v>3057</v>
      </c>
      <c r="F23" s="551">
        <f>SUMIF(85:85,E24,86:86)-SUMIF(85:85,C24,86:86)+100</f>
        <v>97</v>
      </c>
      <c r="G23" s="3321" t="s">
        <v>3061</v>
      </c>
      <c r="H23" s="551">
        <f>SUMIF(85:85,G24,86:86)-SUMIF(85:85,C24,86:86)+100</f>
        <v>94</v>
      </c>
      <c r="I23" s="3321" t="s">
        <v>3066</v>
      </c>
      <c r="J23" s="551">
        <f>SUMIF(85:85,I24,86:86)-SUMIF(85:85,C24,86:86)+100</f>
        <v>94</v>
      </c>
      <c r="K23" s="885">
        <v>3</v>
      </c>
      <c r="L23" s="2020"/>
      <c r="M23" s="2012"/>
      <c r="N23" s="2012"/>
      <c r="O23" s="2012"/>
      <c r="P23" s="3775"/>
      <c r="Q23" s="3436" t="str">
        <f>B23</f>
        <v>环境质量</v>
      </c>
      <c r="R23" s="1504" t="s">
        <v>8</v>
      </c>
      <c r="S23" s="1505">
        <f>F23</f>
        <v>97</v>
      </c>
      <c r="T23" s="1504" t="s">
        <v>8</v>
      </c>
      <c r="U23" s="1505">
        <f>H23</f>
        <v>94</v>
      </c>
      <c r="V23" s="1504" t="s">
        <v>8</v>
      </c>
      <c r="W23" s="1505">
        <f>J23</f>
        <v>94</v>
      </c>
      <c r="X23" s="3438"/>
      <c r="Y23" s="3775"/>
      <c r="Z23" s="3437" t="str">
        <f>Q23</f>
        <v>环境质量</v>
      </c>
      <c r="AA23" s="3442">
        <f t="shared" si="3"/>
        <v>1.0309278350515463</v>
      </c>
      <c r="AB23" s="3442">
        <f t="shared" si="4"/>
        <v>1.0638297872340425</v>
      </c>
      <c r="AC23" s="3442">
        <f t="shared" si="5"/>
        <v>1.0638297872340425</v>
      </c>
    </row>
    <row r="24" spans="1:29" ht="15">
      <c r="A24" s="524"/>
      <c r="B24" s="570"/>
      <c r="C24" s="546" t="s">
        <v>3041</v>
      </c>
      <c r="D24" s="547"/>
      <c r="E24" s="550" t="s">
        <v>3042</v>
      </c>
      <c r="F24" s="547"/>
      <c r="G24" s="548" t="s">
        <v>3040</v>
      </c>
      <c r="H24" s="547"/>
      <c r="I24" s="548" t="s">
        <v>3040</v>
      </c>
      <c r="J24" s="547"/>
      <c r="K24" s="886"/>
      <c r="L24" s="2020"/>
      <c r="M24" s="2012"/>
      <c r="N24" s="2012"/>
      <c r="O24" s="2012"/>
      <c r="P24" s="3775"/>
      <c r="Q24" s="3436"/>
      <c r="R24" s="1504"/>
      <c r="S24" s="1505"/>
      <c r="T24" s="1504"/>
      <c r="U24" s="1505"/>
      <c r="V24" s="1504"/>
      <c r="W24" s="1505"/>
      <c r="X24" s="3438"/>
      <c r="Y24" s="3775"/>
      <c r="Z24" s="3437"/>
      <c r="AA24" s="3442">
        <v>1</v>
      </c>
      <c r="AB24" s="3442">
        <v>1</v>
      </c>
      <c r="AC24" s="3442">
        <v>1</v>
      </c>
    </row>
    <row r="25" spans="1:29" ht="27.75">
      <c r="A25" s="507"/>
      <c r="B25" s="552" t="s">
        <v>542</v>
      </c>
      <c r="C25" s="3310" t="s">
        <v>3712</v>
      </c>
      <c r="D25" s="532">
        <v>100</v>
      </c>
      <c r="E25" s="3317" t="s">
        <v>3058</v>
      </c>
      <c r="F25" s="532">
        <f>SUMIF(87:87,E26,88:88)-SUMIF(87:87,C26,88:88)+100</f>
        <v>100</v>
      </c>
      <c r="G25" s="3310" t="s">
        <v>3058</v>
      </c>
      <c r="H25" s="532">
        <f>SUMIF(87:87,G26,88:88)-SUMIF(87:87,C26,88:88)+100</f>
        <v>100</v>
      </c>
      <c r="I25" s="3317" t="s">
        <v>3067</v>
      </c>
      <c r="J25" s="532">
        <f>SUMIF(87:87,I26,88:88)-SUMIF(87:87,C26,88:88)+100</f>
        <v>103</v>
      </c>
      <c r="K25" s="885">
        <v>3</v>
      </c>
      <c r="L25" s="2020"/>
      <c r="M25" s="2012"/>
      <c r="N25" s="2012"/>
      <c r="O25" s="2012"/>
      <c r="P25" s="3775"/>
      <c r="Q25" s="3436" t="str">
        <f>B25</f>
        <v>毗邻道路的类型与等级</v>
      </c>
      <c r="R25" s="1504" t="s">
        <v>8</v>
      </c>
      <c r="S25" s="1505">
        <f>F25</f>
        <v>100</v>
      </c>
      <c r="T25" s="1504" t="s">
        <v>8</v>
      </c>
      <c r="U25" s="1505">
        <f>H25</f>
        <v>100</v>
      </c>
      <c r="V25" s="1504" t="s">
        <v>8</v>
      </c>
      <c r="W25" s="1505">
        <f>J25</f>
        <v>103</v>
      </c>
      <c r="X25" s="3438"/>
      <c r="Y25" s="3775"/>
      <c r="Z25" s="3437" t="str">
        <f>Q25</f>
        <v>毗邻道路的类型与等级</v>
      </c>
      <c r="AA25" s="3442">
        <f t="shared" si="3"/>
        <v>1</v>
      </c>
      <c r="AB25" s="3442">
        <f t="shared" si="4"/>
        <v>1</v>
      </c>
      <c r="AC25" s="3442">
        <f t="shared" si="5"/>
        <v>0.970873786407767</v>
      </c>
    </row>
    <row r="26" spans="1:29" ht="15">
      <c r="A26" s="507"/>
      <c r="B26" s="558"/>
      <c r="C26" s="572" t="s">
        <v>3068</v>
      </c>
      <c r="D26" s="532"/>
      <c r="E26" s="575" t="s">
        <v>3068</v>
      </c>
      <c r="F26" s="532"/>
      <c r="G26" s="572" t="s">
        <v>3068</v>
      </c>
      <c r="H26" s="532"/>
      <c r="I26" s="575" t="s">
        <v>3070</v>
      </c>
      <c r="J26" s="532"/>
      <c r="K26" s="886"/>
      <c r="L26" s="2020"/>
      <c r="M26" s="2012"/>
      <c r="N26" s="2012"/>
      <c r="O26" s="2012"/>
      <c r="P26" s="3775"/>
      <c r="Q26" s="3436"/>
      <c r="R26" s="1504"/>
      <c r="S26" s="1505"/>
      <c r="T26" s="1504"/>
      <c r="U26" s="1505"/>
      <c r="V26" s="1504"/>
      <c r="W26" s="1505"/>
      <c r="X26" s="3438"/>
      <c r="Y26" s="3775"/>
      <c r="Z26" s="3437"/>
      <c r="AA26" s="3442">
        <v>1</v>
      </c>
      <c r="AB26" s="3442">
        <v>1</v>
      </c>
      <c r="AC26" s="3442">
        <v>1</v>
      </c>
    </row>
    <row r="27" spans="1:29" ht="15" hidden="1">
      <c r="A27" s="524"/>
      <c r="B27" s="558" t="s">
        <v>755</v>
      </c>
      <c r="C27" s="572"/>
      <c r="D27" s="532">
        <v>100</v>
      </c>
      <c r="E27" s="575"/>
      <c r="F27" s="532">
        <f>SUMIF(89:89,E27,90:90)-SUMIF(89:89,C27,90:90)+100</f>
        <v>100</v>
      </c>
      <c r="G27" s="572"/>
      <c r="H27" s="532">
        <f>SUMIF(89:89,G27,90:90)-SUMIF(89:89,C27,90:90)+100</f>
        <v>100</v>
      </c>
      <c r="I27" s="575"/>
      <c r="J27" s="532">
        <f>SUMIF(89:89,I27,90:90)-SUMIF(89:89,C27,90:90)+100</f>
        <v>100</v>
      </c>
      <c r="K27" s="576">
        <v>1</v>
      </c>
      <c r="L27" s="2020"/>
      <c r="M27" s="2012"/>
      <c r="N27" s="2012"/>
      <c r="O27" s="2012"/>
      <c r="P27" s="3775"/>
      <c r="Q27" s="3436" t="str">
        <f t="shared" ref="Q27:Q47" si="11">B27</f>
        <v>楼层</v>
      </c>
      <c r="R27" s="1504" t="s">
        <v>8</v>
      </c>
      <c r="S27" s="1505">
        <f>F27</f>
        <v>100</v>
      </c>
      <c r="T27" s="1504" t="s">
        <v>8</v>
      </c>
      <c r="U27" s="1505">
        <f>H27</f>
        <v>100</v>
      </c>
      <c r="V27" s="1504" t="s">
        <v>8</v>
      </c>
      <c r="W27" s="1505">
        <f>J27</f>
        <v>100</v>
      </c>
      <c r="X27" s="3438"/>
      <c r="Y27" s="3775"/>
      <c r="Z27" s="3437" t="str">
        <f>Q27</f>
        <v>楼层</v>
      </c>
      <c r="AA27" s="3442">
        <f t="shared" si="3"/>
        <v>1</v>
      </c>
      <c r="AB27" s="3442">
        <f t="shared" si="4"/>
        <v>1</v>
      </c>
      <c r="AC27" s="3442">
        <f t="shared" si="5"/>
        <v>1</v>
      </c>
    </row>
    <row r="28" spans="1:29" s="1201" customFormat="1" ht="15" hidden="1">
      <c r="A28" s="528"/>
      <c r="B28" s="552" t="s">
        <v>773</v>
      </c>
      <c r="C28" s="900"/>
      <c r="D28" s="862">
        <v>100</v>
      </c>
      <c r="E28" s="888"/>
      <c r="F28" s="862">
        <f>SUMIF(91:91,E28,92:92)-SUMIF(91:91,C28,92:92)+100</f>
        <v>100</v>
      </c>
      <c r="G28" s="900"/>
      <c r="H28" s="862">
        <f>SUMIF(91:91,G28,92:92)-SUMIF(91:91,C28,92:92)+100</f>
        <v>100</v>
      </c>
      <c r="I28" s="888"/>
      <c r="J28" s="862">
        <f>SUMIF(91:91,I28,92:92)-SUMIF(91:91,C28,92:92)+100</f>
        <v>100</v>
      </c>
      <c r="K28" s="576"/>
      <c r="L28" s="2013"/>
      <c r="M28" s="2014"/>
      <c r="N28" s="2014"/>
      <c r="O28" s="2014"/>
      <c r="P28" s="3775"/>
      <c r="Q28" s="3433" t="str">
        <f t="shared" si="11"/>
        <v>朝向</v>
      </c>
      <c r="R28" s="1499" t="s">
        <v>8</v>
      </c>
      <c r="S28" s="1500">
        <f>F28</f>
        <v>100</v>
      </c>
      <c r="T28" s="1499" t="s">
        <v>8</v>
      </c>
      <c r="U28" s="1500">
        <f>H28</f>
        <v>100</v>
      </c>
      <c r="V28" s="1499" t="s">
        <v>8</v>
      </c>
      <c r="W28" s="1500">
        <f>J28</f>
        <v>100</v>
      </c>
      <c r="X28" s="1501"/>
      <c r="Y28" s="3775"/>
      <c r="Z28" s="3432" t="str">
        <f>Q28</f>
        <v>朝向</v>
      </c>
      <c r="AA28" s="3442">
        <f>D28/F28</f>
        <v>1</v>
      </c>
      <c r="AB28" s="3442">
        <f>D28/H28</f>
        <v>1</v>
      </c>
      <c r="AC28" s="3442">
        <f>D28/J28</f>
        <v>1</v>
      </c>
    </row>
    <row r="29" spans="1:29" ht="15.75" thickBot="1">
      <c r="A29" s="524"/>
      <c r="B29" s="3327" t="s">
        <v>3095</v>
      </c>
      <c r="C29" s="3329" t="s">
        <v>3093</v>
      </c>
      <c r="D29" s="532">
        <v>100</v>
      </c>
      <c r="E29" s="3330" t="s">
        <v>3093</v>
      </c>
      <c r="F29" s="532">
        <f>SUMIF(93:93,E29,94:94)-SUMIF(93:93,C29,94:94)+100</f>
        <v>100</v>
      </c>
      <c r="G29" s="897" t="str">
        <f>D93</f>
        <v>高层/10层</v>
      </c>
      <c r="H29" s="532">
        <f>SUMIF(93:93,G29,94:94)-SUMIF(93:93,C29,94:94)+100</f>
        <v>101</v>
      </c>
      <c r="I29" s="520" t="str">
        <f>E93</f>
        <v xml:space="preserve"> 中层/9层</v>
      </c>
      <c r="J29" s="532">
        <f>SUMIF(93:93,I29,94:94)-SUMIF(93:93,C29,94:94)+100</f>
        <v>100</v>
      </c>
      <c r="K29" s="573"/>
      <c r="L29" s="2020"/>
      <c r="M29" s="2012"/>
      <c r="N29" s="2012"/>
      <c r="O29" s="2012"/>
      <c r="P29" s="3775"/>
      <c r="Q29" s="3436" t="str">
        <f t="shared" si="11"/>
        <v>楼层</v>
      </c>
      <c r="R29" s="1504" t="s">
        <v>8</v>
      </c>
      <c r="S29" s="1505">
        <f t="shared" ref="S29:S47" si="12">F29</f>
        <v>100</v>
      </c>
      <c r="T29" s="1504" t="s">
        <v>8</v>
      </c>
      <c r="U29" s="1505">
        <f t="shared" ref="U29:U47" si="13">H29</f>
        <v>101</v>
      </c>
      <c r="V29" s="1504" t="s">
        <v>8</v>
      </c>
      <c r="W29" s="1505">
        <f t="shared" ref="W29:W47" si="14">J29</f>
        <v>100</v>
      </c>
      <c r="X29" s="3438"/>
      <c r="Y29" s="3775"/>
      <c r="Z29" s="3437" t="str">
        <f t="shared" ref="Z29:Z47" si="15">Q29</f>
        <v>楼层</v>
      </c>
      <c r="AA29" s="3442">
        <f t="shared" si="3"/>
        <v>1</v>
      </c>
      <c r="AB29" s="3442">
        <f t="shared" si="4"/>
        <v>0.99009900990099009</v>
      </c>
      <c r="AC29" s="3442">
        <f t="shared" si="5"/>
        <v>1</v>
      </c>
    </row>
    <row r="30" spans="1:29" ht="15.75" hidden="1" thickBot="1">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0"/>
      <c r="M30" s="2012"/>
      <c r="N30" s="2012"/>
      <c r="O30" s="2012"/>
      <c r="P30" s="3775"/>
      <c r="Q30" s="3436">
        <f t="shared" si="11"/>
        <v>111</v>
      </c>
      <c r="R30" s="1504" t="s">
        <v>8</v>
      </c>
      <c r="S30" s="1505">
        <f t="shared" si="12"/>
        <v>100</v>
      </c>
      <c r="T30" s="1504" t="s">
        <v>8</v>
      </c>
      <c r="U30" s="1505">
        <f t="shared" si="13"/>
        <v>100</v>
      </c>
      <c r="V30" s="1504" t="s">
        <v>8</v>
      </c>
      <c r="W30" s="1505">
        <f t="shared" si="14"/>
        <v>100</v>
      </c>
      <c r="X30" s="3438"/>
      <c r="Y30" s="3775"/>
      <c r="Z30" s="3437">
        <f t="shared" si="15"/>
        <v>111</v>
      </c>
      <c r="AA30" s="3442">
        <f t="shared" si="3"/>
        <v>1</v>
      </c>
      <c r="AB30" s="3442">
        <f t="shared" si="4"/>
        <v>1</v>
      </c>
      <c r="AC30" s="3442">
        <f t="shared" si="5"/>
        <v>1</v>
      </c>
    </row>
    <row r="31" spans="1:29" ht="15.75" hidden="1" thickBot="1">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0"/>
      <c r="M31" s="2012"/>
      <c r="N31" s="2012"/>
      <c r="O31" s="2012"/>
      <c r="P31" s="3775"/>
      <c r="Q31" s="3436">
        <f t="shared" si="11"/>
        <v>111</v>
      </c>
      <c r="R31" s="1504" t="s">
        <v>8</v>
      </c>
      <c r="S31" s="1505">
        <f t="shared" si="12"/>
        <v>100</v>
      </c>
      <c r="T31" s="1504" t="s">
        <v>8</v>
      </c>
      <c r="U31" s="1505">
        <f t="shared" si="13"/>
        <v>100</v>
      </c>
      <c r="V31" s="1504" t="s">
        <v>8</v>
      </c>
      <c r="W31" s="1505">
        <f t="shared" si="14"/>
        <v>100</v>
      </c>
      <c r="X31" s="3438"/>
      <c r="Y31" s="3775"/>
      <c r="Z31" s="3437">
        <f t="shared" si="15"/>
        <v>111</v>
      </c>
      <c r="AA31" s="3442">
        <f t="shared" si="3"/>
        <v>1</v>
      </c>
      <c r="AB31" s="3442">
        <f t="shared" si="4"/>
        <v>1</v>
      </c>
      <c r="AC31" s="3442">
        <f t="shared" si="5"/>
        <v>1</v>
      </c>
    </row>
    <row r="32" spans="1:29" ht="15.75" hidden="1"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0"/>
      <c r="M32" s="2012"/>
      <c r="N32" s="2012"/>
      <c r="O32" s="2012"/>
      <c r="P32" s="3775"/>
      <c r="Q32" s="3436">
        <f t="shared" si="11"/>
        <v>111</v>
      </c>
      <c r="R32" s="1504" t="s">
        <v>8</v>
      </c>
      <c r="S32" s="1505">
        <f t="shared" si="12"/>
        <v>100</v>
      </c>
      <c r="T32" s="1504" t="s">
        <v>8</v>
      </c>
      <c r="U32" s="1505">
        <f t="shared" si="13"/>
        <v>100</v>
      </c>
      <c r="V32" s="1504" t="s">
        <v>8</v>
      </c>
      <c r="W32" s="1505">
        <f t="shared" si="14"/>
        <v>100</v>
      </c>
      <c r="X32" s="3438"/>
      <c r="Y32" s="3775"/>
      <c r="Z32" s="3437">
        <f t="shared" si="15"/>
        <v>111</v>
      </c>
      <c r="AA32" s="3442">
        <f t="shared" si="3"/>
        <v>1</v>
      </c>
      <c r="AB32" s="3442">
        <f t="shared" si="4"/>
        <v>1</v>
      </c>
      <c r="AC32" s="3442">
        <f t="shared" si="5"/>
        <v>1</v>
      </c>
    </row>
    <row r="33" spans="1:29" ht="15">
      <c r="A33" s="2620" t="s">
        <v>2734</v>
      </c>
      <c r="B33" s="168" t="s">
        <v>774</v>
      </c>
      <c r="C33" s="903" t="s">
        <v>3710</v>
      </c>
      <c r="D33" s="589">
        <v>100</v>
      </c>
      <c r="E33" s="903" t="s">
        <v>3088</v>
      </c>
      <c r="F33" s="567">
        <f>SUMIF(101:101,E33,102:102)-SUMIF(101:101,C33,102:102)+100</f>
        <v>103</v>
      </c>
      <c r="G33" s="903" t="s">
        <v>3088</v>
      </c>
      <c r="H33" s="532">
        <f>SUMIF(101:101,G33,102:102)-SUMIF(101:101,C33,102:102)+100</f>
        <v>103</v>
      </c>
      <c r="I33" s="903" t="s">
        <v>3088</v>
      </c>
      <c r="J33" s="589">
        <f>SUMIF(101:101,I33,102:102)-SUMIF(101:101,C33,102:102)+100</f>
        <v>103</v>
      </c>
      <c r="K33" s="576">
        <v>3</v>
      </c>
      <c r="L33" s="2020"/>
      <c r="M33" s="2012"/>
      <c r="N33" s="2012"/>
      <c r="O33" s="2012"/>
      <c r="P33" s="3776" t="s">
        <v>544</v>
      </c>
      <c r="Q33" s="3436" t="str">
        <f t="shared" si="11"/>
        <v>建筑类型</v>
      </c>
      <c r="R33" s="1504" t="s">
        <v>8</v>
      </c>
      <c r="S33" s="1505">
        <f t="shared" si="12"/>
        <v>103</v>
      </c>
      <c r="T33" s="1504" t="s">
        <v>8</v>
      </c>
      <c r="U33" s="1505">
        <f t="shared" si="13"/>
        <v>103</v>
      </c>
      <c r="V33" s="1504" t="s">
        <v>8</v>
      </c>
      <c r="W33" s="1505">
        <f t="shared" si="14"/>
        <v>103</v>
      </c>
      <c r="X33" s="3438"/>
      <c r="Y33" s="3777" t="s">
        <v>544</v>
      </c>
      <c r="Z33" s="3437" t="str">
        <f t="shared" si="15"/>
        <v>建筑类型</v>
      </c>
      <c r="AA33" s="3442">
        <f t="shared" si="3"/>
        <v>0.970873786407767</v>
      </c>
      <c r="AB33" s="3442">
        <f t="shared" si="4"/>
        <v>0.970873786407767</v>
      </c>
      <c r="AC33" s="3442">
        <f t="shared" si="5"/>
        <v>0.970873786407767</v>
      </c>
    </row>
    <row r="34" spans="1:29" s="1291" customFormat="1" ht="15">
      <c r="A34" s="595"/>
      <c r="B34" s="519" t="s">
        <v>720</v>
      </c>
      <c r="C34" s="3326">
        <f>面积信息!F5</f>
        <v>101.68</v>
      </c>
      <c r="D34" s="251">
        <v>100</v>
      </c>
      <c r="E34" s="526">
        <v>12000</v>
      </c>
      <c r="F34" s="850">
        <f>LOOKUP(E34,104:104,105:105)-LOOKUP(C34,104:104,105:105)+100</f>
        <v>99</v>
      </c>
      <c r="G34" s="525">
        <v>1200</v>
      </c>
      <c r="H34" s="251">
        <f>LOOKUP(G34,104:104,105:105)-LOOKUP(C34,104:104,105:105)+100</f>
        <v>100</v>
      </c>
      <c r="I34" s="525">
        <v>1200</v>
      </c>
      <c r="J34" s="251">
        <f>LOOKUP(I34,104:104,105:105)-LOOKUP(C34,104:104,105:105)+100</f>
        <v>100</v>
      </c>
      <c r="K34" s="573"/>
      <c r="L34" s="2018"/>
      <c r="M34" s="2048"/>
      <c r="N34" s="2048"/>
      <c r="O34" s="2048"/>
      <c r="P34" s="3777"/>
      <c r="Q34" s="1532" t="str">
        <f t="shared" si="11"/>
        <v>项目建筑规模</v>
      </c>
      <c r="R34" s="1508" t="s">
        <v>8</v>
      </c>
      <c r="S34" s="1509">
        <f t="shared" si="12"/>
        <v>99</v>
      </c>
      <c r="T34" s="1508" t="s">
        <v>8</v>
      </c>
      <c r="U34" s="1509">
        <f t="shared" si="13"/>
        <v>100</v>
      </c>
      <c r="V34" s="1508" t="s">
        <v>8</v>
      </c>
      <c r="W34" s="1509">
        <f t="shared" si="14"/>
        <v>100</v>
      </c>
      <c r="X34" s="1510"/>
      <c r="Y34" s="3777"/>
      <c r="Z34" s="1511" t="str">
        <f t="shared" si="15"/>
        <v>项目建筑规模</v>
      </c>
      <c r="AA34" s="3442">
        <f t="shared" si="3"/>
        <v>1.0101010101010102</v>
      </c>
      <c r="AB34" s="3442">
        <f t="shared" si="4"/>
        <v>1</v>
      </c>
      <c r="AC34" s="3442">
        <f t="shared" si="5"/>
        <v>1</v>
      </c>
    </row>
    <row r="35" spans="1:29" ht="15">
      <c r="A35" s="586"/>
      <c r="B35" s="519" t="s">
        <v>721</v>
      </c>
      <c r="C35" s="566" t="s">
        <v>3072</v>
      </c>
      <c r="D35" s="532">
        <v>100</v>
      </c>
      <c r="E35" s="566" t="s">
        <v>3072</v>
      </c>
      <c r="F35" s="567">
        <f>SUMIF(106:106,E35,107:107)-SUMIF(106:106,C35,107:107)+100</f>
        <v>100</v>
      </c>
      <c r="G35" s="566" t="s">
        <v>3072</v>
      </c>
      <c r="H35" s="532">
        <f>SUMIF(106:106,G35,107:107)-SUMIF(106:106,C35,107:107)+100</f>
        <v>100</v>
      </c>
      <c r="I35" s="566" t="s">
        <v>3072</v>
      </c>
      <c r="J35" s="532">
        <f>SUMIF(106:106,I35,107:107)-SUMIF(106:106,C35,107:107)+100</f>
        <v>100</v>
      </c>
      <c r="K35" s="576"/>
      <c r="L35" s="2020"/>
      <c r="M35" s="2012"/>
      <c r="N35" s="2012"/>
      <c r="O35" s="2012"/>
      <c r="P35" s="3777"/>
      <c r="Q35" s="3436" t="str">
        <f t="shared" si="11"/>
        <v>建筑结构</v>
      </c>
      <c r="R35" s="1504" t="s">
        <v>8</v>
      </c>
      <c r="S35" s="1505">
        <f t="shared" si="12"/>
        <v>100</v>
      </c>
      <c r="T35" s="1504" t="s">
        <v>8</v>
      </c>
      <c r="U35" s="1505">
        <f t="shared" si="13"/>
        <v>100</v>
      </c>
      <c r="V35" s="1504" t="s">
        <v>8</v>
      </c>
      <c r="W35" s="1505">
        <f t="shared" si="14"/>
        <v>100</v>
      </c>
      <c r="X35" s="3438"/>
      <c r="Y35" s="3777"/>
      <c r="Z35" s="3437" t="str">
        <f t="shared" si="15"/>
        <v>建筑结构</v>
      </c>
      <c r="AA35" s="3442">
        <f t="shared" si="3"/>
        <v>1</v>
      </c>
      <c r="AB35" s="3442">
        <f t="shared" si="4"/>
        <v>1</v>
      </c>
      <c r="AC35" s="3442">
        <f t="shared" si="5"/>
        <v>1</v>
      </c>
    </row>
    <row r="36" spans="1:29" ht="15">
      <c r="A36" s="586"/>
      <c r="B36" s="519" t="s">
        <v>757</v>
      </c>
      <c r="C36" s="566" t="s">
        <v>3074</v>
      </c>
      <c r="D36" s="532">
        <v>100</v>
      </c>
      <c r="E36" s="566" t="s">
        <v>3074</v>
      </c>
      <c r="F36" s="567">
        <f>SUMIF(108:108,E36,109:109)-SUMIF(108:108,C36,109:109)+100</f>
        <v>100</v>
      </c>
      <c r="G36" s="566" t="s">
        <v>3074</v>
      </c>
      <c r="H36" s="532">
        <f>SUMIF(108:108,G36,109:109)-SUMIF(108:108,C36,109:109)+100</f>
        <v>100</v>
      </c>
      <c r="I36" s="566" t="s">
        <v>3074</v>
      </c>
      <c r="J36" s="532">
        <f>SUMIF(108:108,I36,109:109)-SUMIF(108:108,C36,109:109)+100</f>
        <v>100</v>
      </c>
      <c r="K36" s="576">
        <v>1</v>
      </c>
      <c r="L36" s="2020"/>
      <c r="M36" s="2012"/>
      <c r="N36" s="2012"/>
      <c r="O36" s="2012"/>
      <c r="P36" s="3777"/>
      <c r="Q36" s="3436" t="str">
        <f t="shared" si="11"/>
        <v>公共部分装修</v>
      </c>
      <c r="R36" s="1504" t="s">
        <v>8</v>
      </c>
      <c r="S36" s="1505">
        <f t="shared" si="12"/>
        <v>100</v>
      </c>
      <c r="T36" s="1504" t="s">
        <v>8</v>
      </c>
      <c r="U36" s="1505">
        <f t="shared" si="13"/>
        <v>100</v>
      </c>
      <c r="V36" s="1504" t="s">
        <v>8</v>
      </c>
      <c r="W36" s="1505">
        <f t="shared" si="14"/>
        <v>100</v>
      </c>
      <c r="X36" s="3438"/>
      <c r="Y36" s="3777"/>
      <c r="Z36" s="3437" t="str">
        <f t="shared" si="15"/>
        <v>公共部分装修</v>
      </c>
      <c r="AA36" s="3442">
        <f t="shared" si="3"/>
        <v>1</v>
      </c>
      <c r="AB36" s="3442">
        <f t="shared" si="4"/>
        <v>1</v>
      </c>
      <c r="AC36" s="3442">
        <f t="shared" si="5"/>
        <v>1</v>
      </c>
    </row>
    <row r="37" spans="1:29" ht="15">
      <c r="A37" s="586"/>
      <c r="B37" s="519" t="s">
        <v>758</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0"/>
      <c r="M37" s="2012"/>
      <c r="N37" s="2012"/>
      <c r="O37" s="2012"/>
      <c r="P37" s="3777"/>
      <c r="Q37" s="3436" t="str">
        <f t="shared" si="11"/>
        <v>成新度</v>
      </c>
      <c r="R37" s="1504" t="s">
        <v>8</v>
      </c>
      <c r="S37" s="1505">
        <f t="shared" si="12"/>
        <v>97</v>
      </c>
      <c r="T37" s="1504" t="s">
        <v>8</v>
      </c>
      <c r="U37" s="1505">
        <f t="shared" si="13"/>
        <v>97</v>
      </c>
      <c r="V37" s="1504" t="s">
        <v>8</v>
      </c>
      <c r="W37" s="1505">
        <f t="shared" si="14"/>
        <v>97</v>
      </c>
      <c r="X37" s="3438"/>
      <c r="Y37" s="3777"/>
      <c r="Z37" s="3437" t="str">
        <f t="shared" si="15"/>
        <v>成新度</v>
      </c>
      <c r="AA37" s="3442">
        <f t="shared" si="3"/>
        <v>1.0309278350515463</v>
      </c>
      <c r="AB37" s="3442">
        <f t="shared" si="4"/>
        <v>1.0309278350515463</v>
      </c>
      <c r="AC37" s="3442">
        <f t="shared" si="5"/>
        <v>1.0309278350515463</v>
      </c>
    </row>
    <row r="38" spans="1:29" s="1201" customFormat="1" ht="15">
      <c r="A38" s="592"/>
      <c r="B38" s="519" t="s">
        <v>775</v>
      </c>
      <c r="C38" s="566" t="s">
        <v>3076</v>
      </c>
      <c r="D38" s="251">
        <v>100</v>
      </c>
      <c r="E38" s="566" t="s">
        <v>3076</v>
      </c>
      <c r="F38" s="567">
        <f>SUMIF(113:113,E38,114:114)-SUMIF(113:113,C38,114:114)+100</f>
        <v>100</v>
      </c>
      <c r="G38" s="566" t="s">
        <v>3076</v>
      </c>
      <c r="H38" s="532">
        <f>SUMIF(113:113,G38,114:114)-SUMIF(113:113,C38,114:114)+100</f>
        <v>100</v>
      </c>
      <c r="I38" s="566" t="s">
        <v>3076</v>
      </c>
      <c r="J38" s="532">
        <f>SUMIF(113:113,I38,114:114)-SUMIF(113:113,C38,114:114)+100</f>
        <v>100</v>
      </c>
      <c r="K38" s="576">
        <v>2</v>
      </c>
      <c r="L38" s="2013"/>
      <c r="M38" s="2014"/>
      <c r="N38" s="2014"/>
      <c r="O38" s="2014"/>
      <c r="P38" s="3777"/>
      <c r="Q38" s="3433" t="str">
        <f t="shared" si="11"/>
        <v>写字楼等级</v>
      </c>
      <c r="R38" s="1499" t="s">
        <v>8</v>
      </c>
      <c r="S38" s="1500">
        <f t="shared" si="12"/>
        <v>100</v>
      </c>
      <c r="T38" s="1499" t="s">
        <v>8</v>
      </c>
      <c r="U38" s="1500">
        <f t="shared" si="13"/>
        <v>100</v>
      </c>
      <c r="V38" s="1499" t="s">
        <v>8</v>
      </c>
      <c r="W38" s="1500">
        <f t="shared" si="14"/>
        <v>100</v>
      </c>
      <c r="X38" s="1501"/>
      <c r="Y38" s="3777"/>
      <c r="Z38" s="3432" t="str">
        <f t="shared" si="15"/>
        <v>写字楼等级</v>
      </c>
      <c r="AA38" s="1502">
        <f t="shared" si="3"/>
        <v>1</v>
      </c>
      <c r="AB38" s="1502">
        <f t="shared" si="4"/>
        <v>1</v>
      </c>
      <c r="AC38" s="1502">
        <f t="shared" si="5"/>
        <v>1</v>
      </c>
    </row>
    <row r="39" spans="1:29" ht="15">
      <c r="A39" s="586"/>
      <c r="B39" s="519" t="s">
        <v>776</v>
      </c>
      <c r="C39" s="566" t="s">
        <v>3079</v>
      </c>
      <c r="D39" s="532">
        <v>100</v>
      </c>
      <c r="E39" s="566" t="s">
        <v>3079</v>
      </c>
      <c r="F39" s="567">
        <f>SUMIF(115:115,E39,116:116)-SUMIF(115:115,C39,116:116)+100</f>
        <v>100</v>
      </c>
      <c r="G39" s="566" t="s">
        <v>3079</v>
      </c>
      <c r="H39" s="532">
        <f>SUMIF(115:115,G39,116:116)-SUMIF(115:115,C39,116:116)+100</f>
        <v>100</v>
      </c>
      <c r="I39" s="566" t="s">
        <v>3079</v>
      </c>
      <c r="J39" s="532">
        <f>SUMIF(115:115,I39,116:116)-SUMIF(115:115,C39,116:116)+100</f>
        <v>100</v>
      </c>
      <c r="K39" s="576"/>
      <c r="L39" s="2020"/>
      <c r="M39" s="2012"/>
      <c r="N39" s="2012"/>
      <c r="O39" s="2012"/>
      <c r="P39" s="3777" t="s">
        <v>544</v>
      </c>
      <c r="Q39" s="3436" t="str">
        <f t="shared" si="11"/>
        <v>物业管理</v>
      </c>
      <c r="R39" s="1504" t="s">
        <v>8</v>
      </c>
      <c r="S39" s="1505">
        <f t="shared" si="12"/>
        <v>100</v>
      </c>
      <c r="T39" s="1504" t="s">
        <v>8</v>
      </c>
      <c r="U39" s="1505">
        <f t="shared" si="13"/>
        <v>100</v>
      </c>
      <c r="V39" s="1504" t="s">
        <v>8</v>
      </c>
      <c r="W39" s="1505">
        <f t="shared" si="14"/>
        <v>100</v>
      </c>
      <c r="X39" s="3438"/>
      <c r="Y39" s="3777" t="s">
        <v>544</v>
      </c>
      <c r="Z39" s="3437" t="str">
        <f t="shared" si="15"/>
        <v>物业管理</v>
      </c>
      <c r="AA39" s="3442">
        <f t="shared" si="3"/>
        <v>1</v>
      </c>
      <c r="AB39" s="3442">
        <f t="shared" si="4"/>
        <v>1</v>
      </c>
      <c r="AC39" s="3442">
        <f t="shared" si="5"/>
        <v>1</v>
      </c>
    </row>
    <row r="40" spans="1:29" ht="15">
      <c r="A40" s="586"/>
      <c r="B40" s="1805" t="s">
        <v>2546</v>
      </c>
      <c r="C40" s="566" t="s">
        <v>3081</v>
      </c>
      <c r="D40" s="532">
        <v>100</v>
      </c>
      <c r="E40" s="566" t="s">
        <v>3081</v>
      </c>
      <c r="F40" s="567">
        <f>SUMIF(117:117,E40,118:118)-SUMIF(117:117,C40,118:118)+100</f>
        <v>100</v>
      </c>
      <c r="G40" s="566" t="s">
        <v>3081</v>
      </c>
      <c r="H40" s="532">
        <f>SUMIF(117:117,G40,118:118)-SUMIF(117:117,C40,118:118)+100</f>
        <v>100</v>
      </c>
      <c r="I40" s="566" t="s">
        <v>3081</v>
      </c>
      <c r="J40" s="532">
        <f>SUMIF(117:117,I40,118:118)-SUMIF(117:117,C40,118:118)+100</f>
        <v>100</v>
      </c>
      <c r="K40" s="576">
        <v>2</v>
      </c>
      <c r="L40" s="2020"/>
      <c r="M40" s="2012"/>
      <c r="N40" s="2012"/>
      <c r="O40" s="2012"/>
      <c r="P40" s="3777"/>
      <c r="Q40" s="3436" t="str">
        <f t="shared" si="11"/>
        <v>市政基础设施</v>
      </c>
      <c r="R40" s="1504" t="s">
        <v>8</v>
      </c>
      <c r="S40" s="1505">
        <f t="shared" si="12"/>
        <v>100</v>
      </c>
      <c r="T40" s="1504" t="s">
        <v>8</v>
      </c>
      <c r="U40" s="1505">
        <f t="shared" si="13"/>
        <v>100</v>
      </c>
      <c r="V40" s="1504" t="s">
        <v>8</v>
      </c>
      <c r="W40" s="1505">
        <f t="shared" si="14"/>
        <v>100</v>
      </c>
      <c r="X40" s="3438"/>
      <c r="Y40" s="3777"/>
      <c r="Z40" s="3437" t="str">
        <f t="shared" si="15"/>
        <v>市政基础设施</v>
      </c>
      <c r="AA40" s="3442">
        <f t="shared" si="3"/>
        <v>1</v>
      </c>
      <c r="AB40" s="3442">
        <f t="shared" si="4"/>
        <v>1</v>
      </c>
      <c r="AC40" s="3442">
        <f t="shared" si="5"/>
        <v>1</v>
      </c>
    </row>
    <row r="41" spans="1:29" ht="15">
      <c r="A41" s="586"/>
      <c r="B41" s="519" t="s">
        <v>761</v>
      </c>
      <c r="C41" s="575" t="s">
        <v>3098</v>
      </c>
      <c r="D41" s="532">
        <v>100</v>
      </c>
      <c r="E41" s="575" t="s">
        <v>3098</v>
      </c>
      <c r="F41" s="567">
        <f>SUMIF(119:119,E41,120:120)-SUMIF(119:119,C41,120:120)+100</f>
        <v>100</v>
      </c>
      <c r="G41" s="575" t="s">
        <v>3098</v>
      </c>
      <c r="H41" s="532">
        <f>SUMIF(119:119,G41,120:120)-SUMIF(119:119,C41,120:120)+100</f>
        <v>100</v>
      </c>
      <c r="I41" s="575" t="s">
        <v>3098</v>
      </c>
      <c r="J41" s="532">
        <f>SUMIF(119:119,I41,120:120)-SUMIF(119:119,C41,120:120)+100</f>
        <v>100</v>
      </c>
      <c r="K41" s="576"/>
      <c r="L41" s="2020"/>
      <c r="M41" s="2012"/>
      <c r="N41" s="2012"/>
      <c r="O41" s="2012"/>
      <c r="P41" s="3777"/>
      <c r="Q41" s="3436" t="str">
        <f t="shared" si="11"/>
        <v>层高</v>
      </c>
      <c r="R41" s="1504" t="s">
        <v>8</v>
      </c>
      <c r="S41" s="1505">
        <f t="shared" si="12"/>
        <v>100</v>
      </c>
      <c r="T41" s="1504" t="s">
        <v>8</v>
      </c>
      <c r="U41" s="1505">
        <f t="shared" si="13"/>
        <v>100</v>
      </c>
      <c r="V41" s="1504" t="s">
        <v>8</v>
      </c>
      <c r="W41" s="1505">
        <f t="shared" si="14"/>
        <v>100</v>
      </c>
      <c r="X41" s="3438"/>
      <c r="Y41" s="3777"/>
      <c r="Z41" s="3437" t="str">
        <f t="shared" si="15"/>
        <v>层高</v>
      </c>
      <c r="AA41" s="3442">
        <f t="shared" si="3"/>
        <v>1</v>
      </c>
      <c r="AB41" s="3442">
        <f t="shared" si="4"/>
        <v>1</v>
      </c>
      <c r="AC41" s="3442">
        <f t="shared" si="5"/>
        <v>1</v>
      </c>
    </row>
    <row r="42" spans="1:29" s="1291" customFormat="1" ht="15" hidden="1">
      <c r="A42" s="595"/>
      <c r="B42" s="3435" t="s">
        <v>777</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8"/>
      <c r="M42" s="2048"/>
      <c r="N42" s="2048"/>
      <c r="O42" s="2048"/>
      <c r="P42" s="3777"/>
      <c r="Q42" s="1532" t="str">
        <f t="shared" si="11"/>
        <v>单套建筑面积</v>
      </c>
      <c r="R42" s="1508" t="s">
        <v>8</v>
      </c>
      <c r="S42" s="1509">
        <f t="shared" si="12"/>
        <v>100</v>
      </c>
      <c r="T42" s="1508" t="s">
        <v>8</v>
      </c>
      <c r="U42" s="1509">
        <f t="shared" si="13"/>
        <v>100</v>
      </c>
      <c r="V42" s="1508" t="s">
        <v>8</v>
      </c>
      <c r="W42" s="1509">
        <f t="shared" si="14"/>
        <v>100</v>
      </c>
      <c r="X42" s="1510"/>
      <c r="Y42" s="3777"/>
      <c r="Z42" s="1511" t="str">
        <f t="shared" si="15"/>
        <v>单套建筑面积</v>
      </c>
      <c r="AA42" s="3442">
        <f t="shared" si="3"/>
        <v>1</v>
      </c>
      <c r="AB42" s="3442">
        <f t="shared" si="4"/>
        <v>1</v>
      </c>
      <c r="AC42" s="3442">
        <f t="shared" si="5"/>
        <v>1</v>
      </c>
    </row>
    <row r="43" spans="1:29" ht="15">
      <c r="A43" s="586"/>
      <c r="B43" s="519" t="s">
        <v>764</v>
      </c>
      <c r="C43" s="566" t="s">
        <v>3074</v>
      </c>
      <c r="D43" s="532">
        <v>100</v>
      </c>
      <c r="E43" s="566" t="s">
        <v>3085</v>
      </c>
      <c r="F43" s="567">
        <f>SUMIF(123:123,E43,124:124)-SUMIF(123:123,C43,124:124)+100</f>
        <v>99</v>
      </c>
      <c r="G43" s="566" t="s">
        <v>3091</v>
      </c>
      <c r="H43" s="532">
        <f>SUMIF(123:123,G43,124:124)-SUMIF(123:123,C43,124:124)+100</f>
        <v>98</v>
      </c>
      <c r="I43" s="566" t="s">
        <v>3083</v>
      </c>
      <c r="J43" s="532">
        <f>SUMIF(123:123,I43,124:124)-SUMIF(123:123,C43,124:124)+100</f>
        <v>101</v>
      </c>
      <c r="K43" s="576">
        <v>1</v>
      </c>
      <c r="L43" s="2020"/>
      <c r="M43" s="2012"/>
      <c r="N43" s="2012"/>
      <c r="O43" s="2012"/>
      <c r="P43" s="3777"/>
      <c r="Q43" s="3436" t="str">
        <f t="shared" si="11"/>
        <v>内部装修</v>
      </c>
      <c r="R43" s="1504" t="s">
        <v>8</v>
      </c>
      <c r="S43" s="1505">
        <f t="shared" si="12"/>
        <v>99</v>
      </c>
      <c r="T43" s="1504" t="s">
        <v>8</v>
      </c>
      <c r="U43" s="1505">
        <f t="shared" si="13"/>
        <v>98</v>
      </c>
      <c r="V43" s="1504" t="s">
        <v>8</v>
      </c>
      <c r="W43" s="1505">
        <f t="shared" si="14"/>
        <v>101</v>
      </c>
      <c r="X43" s="3438"/>
      <c r="Y43" s="3777"/>
      <c r="Z43" s="3437" t="str">
        <f t="shared" si="15"/>
        <v>内部装修</v>
      </c>
      <c r="AA43" s="3442">
        <f t="shared" si="3"/>
        <v>1.0101010101010102</v>
      </c>
      <c r="AB43" s="3442">
        <f t="shared" si="4"/>
        <v>1.0204081632653061</v>
      </c>
      <c r="AC43" s="3442">
        <f t="shared" si="5"/>
        <v>0.99009900990099009</v>
      </c>
    </row>
    <row r="44" spans="1:29" ht="27">
      <c r="A44" s="586"/>
      <c r="B44" s="519" t="s">
        <v>729</v>
      </c>
      <c r="C44" s="566" t="s">
        <v>3042</v>
      </c>
      <c r="D44" s="532">
        <v>100</v>
      </c>
      <c r="E44" s="591" t="s">
        <v>3042</v>
      </c>
      <c r="F44" s="567">
        <f>SUMIF(125:125,E44,126:126)-SUMIF(125:125,C44,126:126)+100</f>
        <v>100</v>
      </c>
      <c r="G44" s="591" t="s">
        <v>3042</v>
      </c>
      <c r="H44" s="532">
        <f>SUMIF(125:125,G44,126:126)-SUMIF(125:125,C44,126:126)+100</f>
        <v>100</v>
      </c>
      <c r="I44" s="591" t="s">
        <v>3042</v>
      </c>
      <c r="J44" s="532">
        <f>SUMIF(125:125,I44,126:126)-SUMIF(125:125,C44,126:126)+100</f>
        <v>100</v>
      </c>
      <c r="K44" s="576"/>
      <c r="L44" s="2020"/>
      <c r="M44" s="2012"/>
      <c r="N44" s="2012"/>
      <c r="O44" s="2012"/>
      <c r="P44" s="3777"/>
      <c r="Q44" s="3436" t="str">
        <f t="shared" si="11"/>
        <v>内部装修维护情况</v>
      </c>
      <c r="R44" s="1504" t="s">
        <v>8</v>
      </c>
      <c r="S44" s="1505">
        <f t="shared" si="12"/>
        <v>100</v>
      </c>
      <c r="T44" s="1504" t="s">
        <v>8</v>
      </c>
      <c r="U44" s="1505">
        <f t="shared" si="13"/>
        <v>100</v>
      </c>
      <c r="V44" s="1504" t="s">
        <v>8</v>
      </c>
      <c r="W44" s="1505">
        <f t="shared" si="14"/>
        <v>100</v>
      </c>
      <c r="X44" s="3438"/>
      <c r="Y44" s="3777"/>
      <c r="Z44" s="3437" t="str">
        <f t="shared" si="15"/>
        <v>内部装修维护情况</v>
      </c>
      <c r="AA44" s="3442">
        <f t="shared" si="3"/>
        <v>1</v>
      </c>
      <c r="AB44" s="3442">
        <f t="shared" si="4"/>
        <v>1</v>
      </c>
      <c r="AC44" s="3442">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3"/>
      <c r="M45" s="2014"/>
      <c r="N45" s="2014"/>
      <c r="O45" s="2014"/>
      <c r="P45" s="3777"/>
      <c r="Q45" s="3433">
        <f t="shared" si="11"/>
        <v>111</v>
      </c>
      <c r="R45" s="1499" t="s">
        <v>8</v>
      </c>
      <c r="S45" s="1500">
        <f t="shared" si="12"/>
        <v>100</v>
      </c>
      <c r="T45" s="1499" t="s">
        <v>8</v>
      </c>
      <c r="U45" s="1500">
        <f t="shared" si="13"/>
        <v>100</v>
      </c>
      <c r="V45" s="1499" t="s">
        <v>8</v>
      </c>
      <c r="W45" s="1500">
        <f t="shared" si="14"/>
        <v>100</v>
      </c>
      <c r="X45" s="1501"/>
      <c r="Y45" s="3777"/>
      <c r="Z45" s="3432">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0"/>
      <c r="M46" s="2012"/>
      <c r="N46" s="2012"/>
      <c r="O46" s="2012"/>
      <c r="P46" s="3777"/>
      <c r="Q46" s="3436">
        <f t="shared" si="11"/>
        <v>111</v>
      </c>
      <c r="R46" s="1504" t="s">
        <v>8</v>
      </c>
      <c r="S46" s="1505">
        <f t="shared" si="12"/>
        <v>100</v>
      </c>
      <c r="T46" s="1504" t="s">
        <v>8</v>
      </c>
      <c r="U46" s="1505">
        <f t="shared" si="13"/>
        <v>100</v>
      </c>
      <c r="V46" s="1504" t="s">
        <v>8</v>
      </c>
      <c r="W46" s="1505">
        <f t="shared" si="14"/>
        <v>100</v>
      </c>
      <c r="X46" s="3438"/>
      <c r="Y46" s="3777"/>
      <c r="Z46" s="3437">
        <f t="shared" si="15"/>
        <v>111</v>
      </c>
      <c r="AA46" s="3442">
        <f t="shared" si="3"/>
        <v>1</v>
      </c>
      <c r="AB46" s="3442">
        <f t="shared" si="4"/>
        <v>1</v>
      </c>
      <c r="AC46" s="3442">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0"/>
      <c r="M47" s="2012"/>
      <c r="N47" s="2012"/>
      <c r="O47" s="2012"/>
      <c r="P47" s="3778"/>
      <c r="Q47" s="3436">
        <f t="shared" si="11"/>
        <v>111</v>
      </c>
      <c r="R47" s="1504" t="s">
        <v>8</v>
      </c>
      <c r="S47" s="1505">
        <f t="shared" si="12"/>
        <v>100</v>
      </c>
      <c r="T47" s="1504" t="s">
        <v>8</v>
      </c>
      <c r="U47" s="1505">
        <f t="shared" si="13"/>
        <v>100</v>
      </c>
      <c r="V47" s="1504" t="s">
        <v>8</v>
      </c>
      <c r="W47" s="1505">
        <f t="shared" si="14"/>
        <v>100</v>
      </c>
      <c r="X47" s="3438"/>
      <c r="Y47" s="3778"/>
      <c r="Z47" s="3437">
        <f t="shared" si="15"/>
        <v>111</v>
      </c>
      <c r="AA47" s="3442">
        <f t="shared" si="3"/>
        <v>1</v>
      </c>
      <c r="AB47" s="3442">
        <f t="shared" si="4"/>
        <v>1</v>
      </c>
      <c r="AC47" s="3442">
        <f t="shared" si="5"/>
        <v>1</v>
      </c>
    </row>
    <row r="48" spans="1:29" ht="15">
      <c r="A48" s="599" t="s">
        <v>730</v>
      </c>
      <c r="B48" s="874"/>
      <c r="C48" s="2466" t="s">
        <v>1</v>
      </c>
      <c r="D48" s="2467"/>
      <c r="E48" s="2468">
        <v>28000</v>
      </c>
      <c r="F48" s="2469"/>
      <c r="G48" s="2470">
        <v>32000</v>
      </c>
      <c r="H48" s="2471"/>
      <c r="I48" s="2468">
        <v>29166</v>
      </c>
      <c r="J48" s="2471"/>
      <c r="K48" s="1537"/>
      <c r="L48" s="2022"/>
      <c r="M48" s="2012"/>
      <c r="N48" s="2012"/>
      <c r="O48" s="2012"/>
      <c r="P48" s="3770" t="str">
        <f>A48</f>
        <v>成交单价（元/平方米）</v>
      </c>
      <c r="Q48" s="3772"/>
      <c r="R48" s="3773">
        <f>E48</f>
        <v>28000</v>
      </c>
      <c r="S48" s="3773"/>
      <c r="T48" s="3773">
        <f>G48</f>
        <v>32000</v>
      </c>
      <c r="U48" s="3773"/>
      <c r="V48" s="3773">
        <f>I48</f>
        <v>29166</v>
      </c>
      <c r="W48" s="3773"/>
      <c r="X48" s="1493"/>
      <c r="Y48" s="1512"/>
      <c r="Z48" s="1493"/>
      <c r="AA48" s="1493"/>
      <c r="AB48" s="1493"/>
      <c r="AC48" s="1493"/>
    </row>
    <row r="49" spans="1:29" ht="15.75" thickBot="1">
      <c r="A49" s="607" t="s">
        <v>2672</v>
      </c>
      <c r="B49" s="875"/>
      <c r="C49" s="2472">
        <f>R50</f>
        <v>31142</v>
      </c>
      <c r="D49" s="3008" t="s">
        <v>2964</v>
      </c>
      <c r="E49" s="2473">
        <f>R49</f>
        <v>29187</v>
      </c>
      <c r="F49" s="3009"/>
      <c r="G49" s="2472">
        <f>T49</f>
        <v>34084</v>
      </c>
      <c r="H49" s="3009"/>
      <c r="I49" s="2473">
        <f>V49</f>
        <v>30154</v>
      </c>
      <c r="J49" s="3009"/>
      <c r="K49" s="3017">
        <f>F49+H49+J49</f>
        <v>0</v>
      </c>
      <c r="L49" s="2022"/>
      <c r="M49" s="2012"/>
      <c r="N49" s="2012"/>
      <c r="O49" s="2012"/>
      <c r="P49" s="3770" t="str">
        <f>A49</f>
        <v>比较价格（元/平方米）</v>
      </c>
      <c r="Q49" s="3772"/>
      <c r="R49" s="3773">
        <f>IF(F1="售价",ROUND(PRODUCT(R48,AA7:AA47),0),ROUND(PRODUCT(R48,AA7:AA47),1))</f>
        <v>29187</v>
      </c>
      <c r="S49" s="3773"/>
      <c r="T49" s="3773">
        <f>IF(F1="售价",ROUND(PRODUCT(T48,AB7:AB47),0),ROUND(PRODUCT(T48,AB7:AB47),1))</f>
        <v>34084</v>
      </c>
      <c r="U49" s="3773"/>
      <c r="V49" s="3773">
        <f>IF(F1="售价",ROUND(PRODUCT(V48,AC7:AC47),0),ROUND(PRODUCT(V48,AC7:AC47),1))</f>
        <v>30154</v>
      </c>
      <c r="W49" s="3773"/>
      <c r="X49" s="1493"/>
      <c r="Y49" s="1493"/>
      <c r="Z49" s="1493"/>
      <c r="AA49" s="1493"/>
      <c r="AB49" s="1493"/>
      <c r="AC49" s="1493"/>
    </row>
    <row r="50" spans="1:29" ht="15.75" thickBot="1">
      <c r="A50" s="611" t="s">
        <v>2899</v>
      </c>
      <c r="B50" s="612"/>
      <c r="C50" s="2474">
        <f>R50</f>
        <v>31142</v>
      </c>
      <c r="D50" s="2474"/>
      <c r="E50" s="2474"/>
      <c r="F50" s="2474"/>
      <c r="G50" s="2474"/>
      <c r="H50" s="2474"/>
      <c r="I50" s="2474"/>
      <c r="J50" s="2474"/>
      <c r="K50" s="1538"/>
      <c r="L50" s="2022"/>
      <c r="M50" s="2012"/>
      <c r="N50" s="2012"/>
      <c r="O50" s="2012"/>
      <c r="P50" s="3847" t="str">
        <f>A50</f>
        <v>估价对象XX用房的比较价格（楼面单价，元/平方米）</v>
      </c>
      <c r="Q50" s="3770"/>
      <c r="R50" s="3771">
        <f>IF(F1="售价",ROUND(IF(D49="简单平均",AVERAGE(R49:V49),R49*F49+T49*H49+V49*J49),0),ROUND(IF(D49="简单平均",AVERAGE(R49:V49),R49*F49+T49*H49+V49*J49),1))</f>
        <v>31142</v>
      </c>
      <c r="S50" s="3771"/>
      <c r="T50" s="3771"/>
      <c r="U50" s="3771"/>
      <c r="V50" s="3771"/>
      <c r="W50" s="3771"/>
      <c r="X50" s="1493"/>
      <c r="Y50" s="1493"/>
      <c r="Z50" s="1493"/>
      <c r="AA50" s="1493"/>
      <c r="AB50" s="1493"/>
      <c r="AC50" s="1493"/>
    </row>
    <row r="51" spans="1:29">
      <c r="A51" s="3207"/>
      <c r="B51" s="3207"/>
      <c r="C51" s="3207"/>
      <c r="D51" s="3207"/>
      <c r="E51" s="3207"/>
      <c r="F51" s="3207"/>
      <c r="G51" s="3209"/>
      <c r="H51" s="3207"/>
      <c r="I51" s="3207"/>
      <c r="J51" s="3207"/>
      <c r="K51" s="3210"/>
      <c r="L51" s="2027"/>
      <c r="M51" s="2023"/>
      <c r="N51" s="2023"/>
      <c r="O51" s="2023"/>
      <c r="P51" s="2084"/>
      <c r="Q51" s="2023"/>
      <c r="R51" s="2023"/>
      <c r="S51" s="2023"/>
      <c r="T51" s="2023"/>
      <c r="U51" s="2023"/>
      <c r="V51" s="2023"/>
      <c r="W51" s="2023"/>
      <c r="X51" s="2023"/>
      <c r="Y51" s="2023"/>
      <c r="Z51" s="2023"/>
      <c r="AA51" s="2023"/>
      <c r="AB51" s="2023"/>
      <c r="AC51" s="2023"/>
    </row>
    <row r="52" spans="1:29">
      <c r="A52" s="3207"/>
      <c r="B52" s="3207"/>
      <c r="C52" s="3207"/>
      <c r="D52" s="3207"/>
      <c r="E52" s="3207"/>
      <c r="F52" s="3207"/>
      <c r="G52" s="3207"/>
      <c r="H52" s="3207"/>
      <c r="I52" s="3207"/>
      <c r="J52" s="3207"/>
      <c r="K52" s="3210"/>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7"/>
      <c r="B53" s="3207"/>
      <c r="C53" s="614" t="s">
        <v>551</v>
      </c>
      <c r="D53" s="615"/>
      <c r="E53" s="616">
        <f>IF(E48&lt;E49,E49/E48-1,E48/E49-1)</f>
        <v>4.2392857142857121E-2</v>
      </c>
      <c r="F53" s="617" t="str">
        <f>IF(OR(E53&gt;=0.3,E53&lt;=-0.3),"超过30%","")</f>
        <v/>
      </c>
      <c r="G53" s="616">
        <f>IF(G48&lt;G49,G49/G48-1,G48/G49-1)</f>
        <v>6.5125000000000099E-2</v>
      </c>
      <c r="H53" s="617" t="str">
        <f>IF(OR(G53&gt;=0.3,G53&lt;=-0.3),"超过30%","")</f>
        <v/>
      </c>
      <c r="I53" s="616">
        <f>IF(I48&lt;I49,I49/I48-1,I48/I49-1)</f>
        <v>3.3875060001371526E-2</v>
      </c>
      <c r="J53" s="617" t="str">
        <f>IF(OR(I53&gt;=0.3,I53&lt;=-0.3),"超过30%","")</f>
        <v/>
      </c>
      <c r="K53" s="3210"/>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7"/>
      <c r="B54" s="3207"/>
      <c r="C54" s="614" t="s">
        <v>552</v>
      </c>
      <c r="D54" s="618"/>
      <c r="E54" s="616">
        <f>IF(E49&lt;G49,G49/E49-1,E49/G49-1)</f>
        <v>0.16778017610580043</v>
      </c>
      <c r="F54" s="617" t="str">
        <f>IF(OR(E54&gt;=0.2,E54&lt;=-0.2),"超过20%","")</f>
        <v/>
      </c>
      <c r="G54" s="616">
        <f>IF(G49&lt;I49,I49/G49-1,G49/I49-1)</f>
        <v>0.13033096769914443</v>
      </c>
      <c r="H54" s="617" t="str">
        <f>IF(OR(G54&gt;=0.2,G54&lt;=-0.2),"超过20%","")</f>
        <v/>
      </c>
      <c r="I54" s="616">
        <f>IF(I49&lt;E49,E49/I49-1,I49/E49-1)</f>
        <v>3.313118854284447E-2</v>
      </c>
      <c r="J54" s="617" t="str">
        <f>IF(OR(I54&gt;=0.2,I54&lt;=-0.2),"超过20%","")</f>
        <v/>
      </c>
      <c r="K54" s="3210"/>
      <c r="L54" s="2027"/>
      <c r="M54" s="2023"/>
      <c r="N54" s="2023"/>
      <c r="O54" s="2023"/>
      <c r="P54" s="2084"/>
      <c r="Q54" s="2023"/>
      <c r="R54" s="2023"/>
      <c r="S54" s="2023"/>
      <c r="T54" s="2023"/>
      <c r="U54" s="2023"/>
      <c r="V54" s="2023"/>
      <c r="W54" s="2023"/>
      <c r="X54" s="2023"/>
      <c r="Y54" s="2023"/>
      <c r="Z54" s="2023"/>
      <c r="AA54" s="2023"/>
      <c r="AB54" s="2023"/>
      <c r="AC54" s="2023"/>
    </row>
    <row r="55" spans="1:29" s="1296" customFormat="1" ht="13.5" customHeight="1">
      <c r="A55" s="3208"/>
      <c r="B55" s="3208"/>
      <c r="C55" s="614" t="s">
        <v>553</v>
      </c>
      <c r="D55" s="618"/>
      <c r="E55" s="616">
        <f>IF(E48&lt;G48,G48/E48-1,E48/G48-1)</f>
        <v>0.14285714285714279</v>
      </c>
      <c r="F55" s="617" t="str">
        <f>IF(OR(E55&gt;=0.3,E55&lt;=-0.3),"超过30%","")</f>
        <v/>
      </c>
      <c r="G55" s="616">
        <f>IF(G48&lt;I48,I48/G48-1,G48/I48-1)</f>
        <v>9.7167935267091776E-2</v>
      </c>
      <c r="H55" s="617" t="str">
        <f>IF(OR(G55&gt;=0.3,G55&lt;=-0.3),"超过30%","")</f>
        <v/>
      </c>
      <c r="I55" s="616">
        <f>IF(I48&lt;E48,E48/I48-1,I48/E48-1)</f>
        <v>4.1642857142857093E-2</v>
      </c>
      <c r="J55" s="617" t="str">
        <f>IF(OR(I55&gt;=0.3,I55&lt;=-0.3),"超过30%","")</f>
        <v/>
      </c>
      <c r="K55" s="3211"/>
      <c r="L55" s="2030"/>
      <c r="M55" s="2024"/>
      <c r="N55" s="2024"/>
      <c r="O55" s="2024"/>
      <c r="P55" s="2085"/>
      <c r="Q55" s="2024"/>
      <c r="R55" s="2024"/>
      <c r="S55" s="2024"/>
      <c r="T55" s="2024"/>
      <c r="U55" s="2024"/>
      <c r="V55" s="2024"/>
      <c r="W55" s="2024"/>
      <c r="X55" s="2024"/>
      <c r="Y55" s="2024"/>
      <c r="Z55" s="2024"/>
      <c r="AA55" s="2024"/>
      <c r="AB55" s="2024"/>
      <c r="AC55" s="2024"/>
    </row>
    <row r="56" spans="1:29" s="1296"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5" t="s">
        <v>568</v>
      </c>
      <c r="B58" s="1493"/>
      <c r="C58" s="1514"/>
      <c r="D58" s="1514"/>
      <c r="E58" s="1514"/>
      <c r="F58" s="1516"/>
      <c r="G58" s="1516"/>
      <c r="H58" s="1514"/>
      <c r="I58" s="1514"/>
      <c r="J58" s="1514"/>
      <c r="K58" s="1517"/>
      <c r="L58" s="1513"/>
      <c r="M58" s="1514"/>
      <c r="N58" s="2034"/>
      <c r="O58" s="2034"/>
      <c r="P58" s="2086"/>
      <c r="Q58" s="2035"/>
      <c r="R58" s="2023"/>
      <c r="S58" s="2023"/>
      <c r="T58" s="2023"/>
      <c r="U58" s="2023"/>
      <c r="V58" s="2023"/>
      <c r="W58" s="2023"/>
      <c r="X58" s="2023"/>
      <c r="Y58" s="2023"/>
      <c r="Z58" s="2023"/>
      <c r="AA58" s="2023"/>
      <c r="AB58" s="2023"/>
      <c r="AC58" s="2023"/>
    </row>
    <row r="59" spans="1:29" s="1298" customFormat="1" ht="15">
      <c r="A59" s="635" t="s">
        <v>523</v>
      </c>
      <c r="B59" s="636"/>
      <c r="C59" s="2515" t="str">
        <f>YEAR(C7)&amp;"-"&amp;MONTH(C7)</f>
        <v>2021-8</v>
      </c>
      <c r="D59" s="2517">
        <f>EDATE(C59,-1)</f>
        <v>44378</v>
      </c>
      <c r="E59" s="2517">
        <f t="shared" ref="E59:O59" si="16">EDATE(D59,-1)</f>
        <v>44348</v>
      </c>
      <c r="F59" s="2517">
        <f t="shared" si="16"/>
        <v>44317</v>
      </c>
      <c r="G59" s="2517">
        <f t="shared" si="16"/>
        <v>44287</v>
      </c>
      <c r="H59" s="2517">
        <f t="shared" si="16"/>
        <v>44256</v>
      </c>
      <c r="I59" s="2517">
        <f t="shared" si="16"/>
        <v>44228</v>
      </c>
      <c r="J59" s="2517">
        <f t="shared" si="16"/>
        <v>44197</v>
      </c>
      <c r="K59" s="2517">
        <f t="shared" si="16"/>
        <v>44166</v>
      </c>
      <c r="L59" s="2517">
        <f t="shared" si="16"/>
        <v>44136</v>
      </c>
      <c r="M59" s="2517">
        <f t="shared" si="16"/>
        <v>44105</v>
      </c>
      <c r="N59" s="2517">
        <f t="shared" si="16"/>
        <v>44075</v>
      </c>
      <c r="O59" s="2517">
        <f t="shared" si="16"/>
        <v>44044</v>
      </c>
      <c r="P59" s="2087"/>
      <c r="Q59" s="2038"/>
      <c r="R59" s="2038"/>
      <c r="S59" s="2038"/>
      <c r="T59" s="2038"/>
      <c r="U59" s="2038"/>
      <c r="V59" s="2038"/>
      <c r="W59" s="2038"/>
      <c r="X59" s="2038"/>
      <c r="Y59" s="2038"/>
      <c r="Z59" s="2038"/>
      <c r="AA59" s="2038"/>
      <c r="AB59" s="2038"/>
      <c r="AC59" s="2038"/>
    </row>
    <row r="60" spans="1:29" s="1201" customFormat="1" ht="15">
      <c r="A60" s="637"/>
      <c r="B60" s="638"/>
      <c r="C60" s="639">
        <v>100</v>
      </c>
      <c r="D60" s="640"/>
      <c r="E60" s="640"/>
      <c r="F60" s="640"/>
      <c r="G60" s="640"/>
      <c r="H60" s="640"/>
      <c r="I60" s="640"/>
      <c r="J60" s="640"/>
      <c r="K60" s="640"/>
      <c r="L60" s="640"/>
      <c r="M60" s="641"/>
      <c r="N60" s="640"/>
      <c r="O60" s="641"/>
      <c r="P60" s="2088"/>
      <c r="Q60" s="1901"/>
      <c r="R60" s="1901"/>
      <c r="S60" s="1901"/>
      <c r="T60" s="1901"/>
      <c r="U60" s="1901"/>
      <c r="V60" s="1901"/>
      <c r="W60" s="1901"/>
      <c r="X60" s="1901"/>
      <c r="Y60" s="1901"/>
      <c r="Z60" s="1901"/>
      <c r="AA60" s="1901"/>
      <c r="AB60" s="1901"/>
      <c r="AC60" s="1901"/>
    </row>
    <row r="61" spans="1:29" s="1201" customFormat="1" ht="15.75" thickBot="1">
      <c r="A61" s="643" t="s">
        <v>569</v>
      </c>
      <c r="B61" s="644"/>
      <c r="C61" s="645"/>
      <c r="D61" s="646"/>
      <c r="E61" s="646"/>
      <c r="F61" s="646"/>
      <c r="G61" s="646"/>
      <c r="H61" s="646"/>
      <c r="I61" s="646"/>
      <c r="J61" s="646"/>
      <c r="K61" s="646"/>
      <c r="L61" s="646"/>
      <c r="M61" s="647"/>
      <c r="N61" s="646"/>
      <c r="O61" s="647"/>
      <c r="P61" s="2088"/>
      <c r="Q61" s="2035"/>
      <c r="R61" s="1901"/>
      <c r="S61" s="1901"/>
      <c r="T61" s="1901"/>
      <c r="U61" s="1901"/>
      <c r="V61" s="1901"/>
      <c r="W61" s="1901"/>
      <c r="X61" s="1901"/>
      <c r="Y61" s="1901"/>
      <c r="Z61" s="1901"/>
      <c r="AA61" s="1901"/>
      <c r="AB61" s="1901"/>
      <c r="AC61" s="1901"/>
    </row>
    <row r="62" spans="1:29" s="1201" customFormat="1" ht="15">
      <c r="A62" s="649" t="s">
        <v>525</v>
      </c>
      <c r="B62" s="638"/>
      <c r="C62" s="650" t="s">
        <v>570</v>
      </c>
      <c r="D62" s="651"/>
      <c r="E62" s="651"/>
      <c r="F62" s="651"/>
      <c r="G62" s="651"/>
      <c r="H62" s="651"/>
      <c r="I62" s="651"/>
      <c r="J62" s="651"/>
      <c r="K62" s="651"/>
      <c r="L62" s="652"/>
      <c r="M62" s="653"/>
      <c r="N62" s="2039"/>
      <c r="O62" s="2039"/>
      <c r="P62" s="2089"/>
      <c r="Q62" s="2035"/>
      <c r="R62" s="1901"/>
      <c r="S62" s="1901"/>
      <c r="T62" s="1901"/>
      <c r="U62" s="1901"/>
      <c r="V62" s="1901"/>
      <c r="W62" s="1901"/>
      <c r="X62" s="1901"/>
      <c r="Y62" s="1901"/>
      <c r="Z62" s="1901"/>
      <c r="AA62" s="1901"/>
      <c r="AB62" s="1901"/>
      <c r="AC62" s="1901"/>
    </row>
    <row r="63" spans="1:29" s="1201" customFormat="1" ht="15.75" thickBot="1">
      <c r="A63" s="649"/>
      <c r="B63" s="638"/>
      <c r="C63" s="876">
        <v>100</v>
      </c>
      <c r="D63" s="640"/>
      <c r="E63" s="640"/>
      <c r="F63" s="640"/>
      <c r="G63" s="640"/>
      <c r="H63" s="640"/>
      <c r="I63" s="640"/>
      <c r="J63" s="640"/>
      <c r="K63" s="640"/>
      <c r="L63" s="640"/>
      <c r="M63" s="642"/>
      <c r="N63" s="2039"/>
      <c r="O63" s="2039"/>
      <c r="P63" s="2088"/>
      <c r="Q63" s="2035"/>
      <c r="R63" s="1901"/>
      <c r="S63" s="1901"/>
      <c r="T63" s="1901"/>
      <c r="U63" s="1901"/>
      <c r="V63" s="1901"/>
      <c r="W63" s="1901"/>
      <c r="X63" s="1901"/>
      <c r="Y63" s="1901"/>
      <c r="Z63" s="1901"/>
      <c r="AA63" s="1901"/>
      <c r="AB63" s="1901"/>
      <c r="AC63" s="1901"/>
    </row>
    <row r="64" spans="1:29">
      <c r="A64" s="654" t="s">
        <v>571</v>
      </c>
      <c r="B64" s="655" t="s">
        <v>528</v>
      </c>
      <c r="C64" s="694" t="str">
        <f>C9</f>
        <v>办公</v>
      </c>
      <c r="D64" s="590"/>
      <c r="E64" s="590"/>
      <c r="F64" s="590"/>
      <c r="G64" s="590"/>
      <c r="H64" s="590"/>
      <c r="I64" s="590"/>
      <c r="J64" s="590"/>
      <c r="K64" s="656"/>
      <c r="L64" s="657"/>
      <c r="M64" s="658"/>
      <c r="N64" s="2041"/>
      <c r="O64" s="2041"/>
      <c r="P64" s="2090"/>
      <c r="Q64" s="2035"/>
      <c r="R64" s="2023"/>
      <c r="S64" s="2023"/>
      <c r="T64" s="2023"/>
      <c r="U64" s="2023"/>
      <c r="V64" s="2023"/>
      <c r="W64" s="2023"/>
      <c r="X64" s="2023"/>
      <c r="Y64" s="2023"/>
      <c r="Z64" s="2023"/>
      <c r="AA64" s="2023"/>
      <c r="AB64" s="2023"/>
      <c r="AC64" s="2023"/>
    </row>
    <row r="65" spans="1:29" ht="15.75" thickBot="1">
      <c r="A65" s="659"/>
      <c r="B65" s="660"/>
      <c r="C65" s="661"/>
      <c r="D65" s="661"/>
      <c r="E65" s="661"/>
      <c r="F65" s="661"/>
      <c r="G65" s="661"/>
      <c r="H65" s="661"/>
      <c r="I65" s="661"/>
      <c r="J65" s="661"/>
      <c r="K65" s="661"/>
      <c r="L65" s="661"/>
      <c r="M65" s="662"/>
      <c r="N65" s="2043"/>
      <c r="O65" s="2043"/>
      <c r="P65" s="2090"/>
      <c r="Q65" s="2035"/>
      <c r="R65" s="2023"/>
      <c r="S65" s="2023"/>
      <c r="T65" s="2023"/>
      <c r="U65" s="2023"/>
      <c r="V65" s="2023"/>
      <c r="W65" s="2023"/>
      <c r="X65" s="2023"/>
      <c r="Y65" s="2023"/>
      <c r="Z65" s="2023"/>
      <c r="AA65" s="2023"/>
      <c r="AB65" s="2023"/>
      <c r="AC65" s="2023"/>
    </row>
    <row r="66" spans="1:29" ht="27.75" thickTop="1">
      <c r="A66" s="659"/>
      <c r="B66" s="663" t="s">
        <v>531</v>
      </c>
      <c r="C66" s="664" t="s">
        <v>731</v>
      </c>
      <c r="D66" s="664" t="s">
        <v>732</v>
      </c>
      <c r="E66" s="664" t="s">
        <v>733</v>
      </c>
      <c r="F66" s="664" t="s">
        <v>734</v>
      </c>
      <c r="G66" s="664" t="s">
        <v>735</v>
      </c>
      <c r="H66" s="664" t="s">
        <v>736</v>
      </c>
      <c r="I66" s="664" t="s">
        <v>737</v>
      </c>
      <c r="J66" s="664"/>
      <c r="K66" s="665"/>
      <c r="L66" s="666"/>
      <c r="M66" s="667"/>
      <c r="N66" s="2041"/>
      <c r="O66" s="2041"/>
      <c r="P66" s="2090"/>
      <c r="Q66" s="2035"/>
      <c r="R66" s="2023"/>
      <c r="S66" s="2023"/>
      <c r="T66" s="2023"/>
      <c r="U66" s="2023"/>
      <c r="V66" s="2023"/>
      <c r="W66" s="2023"/>
      <c r="X66" s="2023"/>
      <c r="Y66" s="2023"/>
      <c r="Z66" s="2023"/>
      <c r="AA66" s="2023"/>
      <c r="AB66" s="2023"/>
      <c r="AC66" s="2023"/>
    </row>
    <row r="67" spans="1:29" ht="15.75" thickBot="1">
      <c r="A67" s="659"/>
      <c r="B67" s="668"/>
      <c r="C67" s="669" t="s">
        <v>14</v>
      </c>
      <c r="D67" s="669" t="s">
        <v>14</v>
      </c>
      <c r="E67" s="669">
        <v>100</v>
      </c>
      <c r="F67" s="669">
        <f>E67-$K10</f>
        <v>99</v>
      </c>
      <c r="G67" s="669">
        <f>F67-$K10</f>
        <v>98</v>
      </c>
      <c r="H67" s="669">
        <f>G67-$K10</f>
        <v>97</v>
      </c>
      <c r="I67" s="669">
        <f>H67-$K10</f>
        <v>96</v>
      </c>
      <c r="J67" s="669"/>
      <c r="K67" s="669"/>
      <c r="L67" s="669"/>
      <c r="M67" s="670"/>
      <c r="N67" s="2043"/>
      <c r="O67" s="2043"/>
      <c r="P67" s="2090"/>
      <c r="Q67" s="2035"/>
      <c r="R67" s="2023"/>
      <c r="S67" s="2023"/>
      <c r="T67" s="2023"/>
      <c r="U67" s="2023"/>
      <c r="V67" s="2023"/>
      <c r="W67" s="2023"/>
      <c r="X67" s="2023"/>
      <c r="Y67" s="2023"/>
      <c r="Z67" s="2023"/>
      <c r="AA67" s="2023"/>
      <c r="AB67" s="2023"/>
      <c r="AC67" s="2023"/>
    </row>
    <row r="68" spans="1:29" ht="15.75" thickTop="1">
      <c r="A68" s="659"/>
      <c r="B68" s="671" t="s">
        <v>532</v>
      </c>
      <c r="C68" s="672" t="str">
        <f>C69&amp;"（含）"&amp;"-"&amp;D69</f>
        <v>0（含）-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9"/>
      <c r="B69" s="673"/>
      <c r="C69" s="533">
        <v>0</v>
      </c>
      <c r="D69" s="533"/>
      <c r="E69" s="533"/>
      <c r="F69" s="533"/>
      <c r="G69" s="533"/>
      <c r="H69" s="533"/>
      <c r="I69" s="533"/>
      <c r="J69" s="533"/>
      <c r="K69" s="674"/>
      <c r="L69" s="675"/>
      <c r="M69" s="676"/>
      <c r="N69" s="2041"/>
      <c r="O69" s="2041"/>
      <c r="P69" s="2090"/>
      <c r="Q69" s="2035"/>
      <c r="R69" s="2023"/>
      <c r="S69" s="2023"/>
      <c r="T69" s="2023"/>
      <c r="U69" s="2023"/>
      <c r="V69" s="2023"/>
      <c r="W69" s="2023"/>
      <c r="X69" s="2023"/>
      <c r="Y69" s="2023"/>
      <c r="Z69" s="2023"/>
      <c r="AA69" s="2023"/>
      <c r="AB69" s="2023"/>
      <c r="AC69" s="2023"/>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3"/>
      <c r="O70" s="2043"/>
      <c r="P70" s="2090"/>
      <c r="Q70" s="2035"/>
      <c r="R70" s="2023"/>
      <c r="S70" s="2023"/>
      <c r="T70" s="2023"/>
      <c r="U70" s="2023"/>
      <c r="V70" s="2023"/>
      <c r="W70" s="2023"/>
      <c r="X70" s="2023"/>
      <c r="Y70" s="2023"/>
      <c r="Z70" s="2023"/>
      <c r="AA70" s="2023"/>
      <c r="AB70" s="2023"/>
      <c r="AC70" s="2023"/>
    </row>
    <row r="71" spans="1:29" s="1291" customFormat="1" ht="15.75" thickTop="1">
      <c r="A71" s="677"/>
      <c r="B71" s="663">
        <f>B12</f>
        <v>111</v>
      </c>
      <c r="C71" s="678"/>
      <c r="D71" s="678"/>
      <c r="E71" s="678"/>
      <c r="F71" s="678"/>
      <c r="G71" s="678"/>
      <c r="H71" s="679"/>
      <c r="I71" s="679"/>
      <c r="J71" s="679"/>
      <c r="K71" s="679"/>
      <c r="L71" s="680"/>
      <c r="M71" s="681"/>
      <c r="N71" s="2044"/>
      <c r="O71" s="2044"/>
      <c r="P71" s="2091"/>
      <c r="Q71" s="2046"/>
      <c r="R71" s="2047"/>
      <c r="S71" s="2047"/>
      <c r="T71" s="2047"/>
      <c r="U71" s="2047"/>
      <c r="V71" s="2047"/>
      <c r="W71" s="2047"/>
      <c r="X71" s="2047"/>
      <c r="Y71" s="2047"/>
      <c r="Z71" s="2047"/>
      <c r="AA71" s="2047"/>
      <c r="AB71" s="2047"/>
      <c r="AC71" s="2047"/>
    </row>
    <row r="72" spans="1:29" s="1291" customFormat="1" ht="15.75" thickBot="1">
      <c r="A72" s="677"/>
      <c r="B72" s="668"/>
      <c r="C72" s="682"/>
      <c r="D72" s="661"/>
      <c r="E72" s="661"/>
      <c r="F72" s="661"/>
      <c r="G72" s="661"/>
      <c r="H72" s="661"/>
      <c r="I72" s="661"/>
      <c r="J72" s="661"/>
      <c r="K72" s="661"/>
      <c r="L72" s="661"/>
      <c r="M72" s="662"/>
      <c r="N72" s="2043"/>
      <c r="O72" s="2043"/>
      <c r="P72" s="2091"/>
      <c r="Q72" s="2046"/>
      <c r="R72" s="2047"/>
      <c r="S72" s="2047"/>
      <c r="T72" s="2047"/>
      <c r="U72" s="2047"/>
      <c r="V72" s="2047"/>
      <c r="W72" s="2047"/>
      <c r="X72" s="2047"/>
      <c r="Y72" s="2047"/>
      <c r="Z72" s="2047"/>
      <c r="AA72" s="2047"/>
      <c r="AB72" s="2047"/>
      <c r="AC72" s="2047"/>
    </row>
    <row r="73" spans="1:29" s="1291" customFormat="1" ht="15.75" thickTop="1">
      <c r="A73" s="677"/>
      <c r="B73" s="663">
        <f>B13</f>
        <v>111</v>
      </c>
      <c r="C73" s="678"/>
      <c r="D73" s="678"/>
      <c r="E73" s="678"/>
      <c r="F73" s="678"/>
      <c r="G73" s="678"/>
      <c r="H73" s="679"/>
      <c r="I73" s="679"/>
      <c r="J73" s="679"/>
      <c r="K73" s="679"/>
      <c r="L73" s="680"/>
      <c r="M73" s="681"/>
      <c r="N73" s="2044"/>
      <c r="O73" s="2044"/>
      <c r="P73" s="2092"/>
      <c r="Q73" s="2049"/>
      <c r="R73" s="2047"/>
      <c r="S73" s="2047"/>
      <c r="T73" s="2047"/>
      <c r="U73" s="2047"/>
      <c r="V73" s="2047"/>
      <c r="W73" s="2047"/>
      <c r="X73" s="2047"/>
      <c r="Y73" s="2047"/>
      <c r="Z73" s="2047"/>
      <c r="AA73" s="2047"/>
      <c r="AB73" s="2047"/>
      <c r="AC73" s="2047"/>
    </row>
    <row r="74" spans="1:29" s="1291" customFormat="1" ht="15.75" thickBot="1">
      <c r="A74" s="677"/>
      <c r="B74" s="668"/>
      <c r="C74" s="682"/>
      <c r="D74" s="682"/>
      <c r="E74" s="682"/>
      <c r="F74" s="682"/>
      <c r="G74" s="682"/>
      <c r="H74" s="683"/>
      <c r="I74" s="683"/>
      <c r="J74" s="683"/>
      <c r="K74" s="683"/>
      <c r="L74" s="683"/>
      <c r="M74" s="684"/>
      <c r="N74" s="2044"/>
      <c r="O74" s="2044"/>
      <c r="P74" s="2091"/>
      <c r="Q74" s="2046"/>
      <c r="R74" s="2047"/>
      <c r="S74" s="2047"/>
      <c r="T74" s="2047"/>
      <c r="U74" s="2047"/>
      <c r="V74" s="2047"/>
      <c r="W74" s="2047"/>
      <c r="X74" s="2047"/>
      <c r="Y74" s="2047"/>
      <c r="Z74" s="2047"/>
      <c r="AA74" s="2047"/>
      <c r="AB74" s="2047"/>
      <c r="AC74" s="2047"/>
    </row>
    <row r="75" spans="1:29" s="1291" customFormat="1" ht="15.75" thickTop="1">
      <c r="A75" s="677"/>
      <c r="B75" s="671">
        <f>B14</f>
        <v>111</v>
      </c>
      <c r="C75" s="651"/>
      <c r="D75" s="651"/>
      <c r="E75" s="651"/>
      <c r="F75" s="651"/>
      <c r="G75" s="651"/>
      <c r="H75" s="685"/>
      <c r="I75" s="685"/>
      <c r="J75" s="685"/>
      <c r="K75" s="685"/>
      <c r="L75" s="686"/>
      <c r="M75" s="687"/>
      <c r="N75" s="2044"/>
      <c r="O75" s="2044"/>
      <c r="P75" s="2093"/>
      <c r="Q75" s="2046"/>
      <c r="R75" s="2047"/>
      <c r="S75" s="2047"/>
      <c r="T75" s="2047"/>
      <c r="U75" s="2047"/>
      <c r="V75" s="2047"/>
      <c r="W75" s="2047"/>
      <c r="X75" s="2047"/>
      <c r="Y75" s="2047"/>
      <c r="Z75" s="2047"/>
      <c r="AA75" s="2047"/>
      <c r="AB75" s="2047"/>
      <c r="AC75" s="2047"/>
    </row>
    <row r="76" spans="1:29" s="1291" customFormat="1" ht="15.75" thickBot="1">
      <c r="A76" s="688"/>
      <c r="B76" s="689"/>
      <c r="C76" s="690"/>
      <c r="D76" s="690"/>
      <c r="E76" s="690"/>
      <c r="F76" s="690"/>
      <c r="G76" s="690"/>
      <c r="H76" s="691"/>
      <c r="I76" s="691"/>
      <c r="J76" s="691"/>
      <c r="K76" s="691"/>
      <c r="L76" s="691"/>
      <c r="M76" s="692"/>
      <c r="N76" s="2044"/>
      <c r="O76" s="2044"/>
      <c r="P76" s="2091"/>
      <c r="Q76" s="2046"/>
      <c r="R76" s="2047"/>
      <c r="S76" s="2047"/>
      <c r="T76" s="2047"/>
      <c r="U76" s="2047"/>
      <c r="V76" s="2047"/>
      <c r="W76" s="2047"/>
      <c r="X76" s="2047"/>
      <c r="Y76" s="2047"/>
      <c r="Z76" s="2047"/>
      <c r="AA76" s="2047"/>
      <c r="AB76" s="2047"/>
      <c r="AC76" s="2047"/>
    </row>
    <row r="77" spans="1:29">
      <c r="A77" s="654" t="s">
        <v>533</v>
      </c>
      <c r="B77" s="655" t="s">
        <v>579</v>
      </c>
      <c r="C77" s="693" t="s">
        <v>573</v>
      </c>
      <c r="D77" s="693" t="s">
        <v>574</v>
      </c>
      <c r="E77" s="693" t="s">
        <v>575</v>
      </c>
      <c r="F77" s="693" t="s">
        <v>576</v>
      </c>
      <c r="G77" s="693" t="s">
        <v>577</v>
      </c>
      <c r="H77" s="694"/>
      <c r="I77" s="694"/>
      <c r="J77" s="694"/>
      <c r="K77" s="695"/>
      <c r="L77" s="696"/>
      <c r="M77" s="697"/>
      <c r="N77" s="2041"/>
      <c r="O77" s="2041"/>
      <c r="P77" s="2094"/>
      <c r="Q77" s="2035"/>
      <c r="R77" s="2023"/>
      <c r="S77" s="2023"/>
      <c r="T77" s="2023"/>
      <c r="U77" s="2023"/>
      <c r="V77" s="2023"/>
      <c r="W77" s="2023"/>
      <c r="X77" s="2023"/>
      <c r="Y77" s="2023"/>
      <c r="Z77" s="2023"/>
      <c r="AA77" s="2023"/>
      <c r="AB77" s="2023"/>
      <c r="AC77" s="2023"/>
    </row>
    <row r="78" spans="1:29" ht="15.75" thickBot="1">
      <c r="A78" s="659"/>
      <c r="B78" s="668"/>
      <c r="C78" s="669">
        <v>100</v>
      </c>
      <c r="D78" s="669">
        <f>C78-$K15</f>
        <v>98</v>
      </c>
      <c r="E78" s="669">
        <f>D78-$K15</f>
        <v>96</v>
      </c>
      <c r="F78" s="669">
        <f>E78-$K15</f>
        <v>94</v>
      </c>
      <c r="G78" s="669">
        <f>F78-$K15</f>
        <v>92</v>
      </c>
      <c r="H78" s="669"/>
      <c r="I78" s="669"/>
      <c r="J78" s="669"/>
      <c r="K78" s="669"/>
      <c r="L78" s="669"/>
      <c r="M78" s="670"/>
      <c r="N78" s="2043"/>
      <c r="O78" s="2043"/>
      <c r="P78" s="2090"/>
      <c r="Q78" s="2035"/>
      <c r="R78" s="2023"/>
      <c r="S78" s="2023"/>
      <c r="T78" s="2023"/>
      <c r="U78" s="2023"/>
      <c r="V78" s="2023"/>
      <c r="W78" s="2023"/>
      <c r="X78" s="2023"/>
      <c r="Y78" s="2023"/>
      <c r="Z78" s="2023"/>
      <c r="AA78" s="2023"/>
      <c r="AB78" s="2023"/>
      <c r="AC78" s="2023"/>
    </row>
    <row r="79" spans="1:29" ht="15.75" thickTop="1">
      <c r="A79" s="659"/>
      <c r="B79" s="663" t="s">
        <v>580</v>
      </c>
      <c r="C79" s="698" t="s">
        <v>573</v>
      </c>
      <c r="D79" s="698" t="s">
        <v>574</v>
      </c>
      <c r="E79" s="698" t="s">
        <v>575</v>
      </c>
      <c r="F79" s="698" t="s">
        <v>576</v>
      </c>
      <c r="G79" s="698" t="s">
        <v>577</v>
      </c>
      <c r="H79" s="664"/>
      <c r="I79" s="664"/>
      <c r="J79" s="664"/>
      <c r="K79" s="665"/>
      <c r="L79" s="666"/>
      <c r="M79" s="667"/>
      <c r="N79" s="2041"/>
      <c r="O79" s="2041"/>
      <c r="P79" s="2090"/>
      <c r="Q79" s="2035"/>
      <c r="R79" s="2023"/>
      <c r="S79" s="2023"/>
      <c r="T79" s="2023"/>
      <c r="U79" s="2023"/>
      <c r="V79" s="2023"/>
      <c r="W79" s="2023"/>
      <c r="X79" s="2023"/>
      <c r="Y79" s="2023"/>
      <c r="Z79" s="2023"/>
      <c r="AA79" s="2023"/>
      <c r="AB79" s="2023"/>
      <c r="AC79" s="2023"/>
    </row>
    <row r="80" spans="1:29" ht="15.75" thickBot="1">
      <c r="A80" s="659"/>
      <c r="B80" s="668"/>
      <c r="C80" s="669">
        <v>100</v>
      </c>
      <c r="D80" s="669">
        <f>C80-$K17</f>
        <v>95</v>
      </c>
      <c r="E80" s="669">
        <f>D80-$K17</f>
        <v>90</v>
      </c>
      <c r="F80" s="669">
        <f>E80-$K17</f>
        <v>85</v>
      </c>
      <c r="G80" s="669">
        <f>F80-$K17</f>
        <v>80</v>
      </c>
      <c r="H80" s="669"/>
      <c r="I80" s="669"/>
      <c r="J80" s="669"/>
      <c r="K80" s="669"/>
      <c r="L80" s="669"/>
      <c r="M80" s="670"/>
      <c r="N80" s="2043"/>
      <c r="O80" s="2043"/>
      <c r="P80" s="2090"/>
      <c r="Q80" s="2035"/>
      <c r="R80" s="2023"/>
      <c r="S80" s="2023"/>
      <c r="T80" s="2023"/>
      <c r="U80" s="2023"/>
      <c r="V80" s="2023"/>
      <c r="W80" s="2023"/>
      <c r="X80" s="2023"/>
      <c r="Y80" s="2023"/>
      <c r="Z80" s="2023"/>
      <c r="AA80" s="2023"/>
      <c r="AB80" s="2023"/>
      <c r="AC80" s="2023"/>
    </row>
    <row r="81" spans="1:29" ht="15.75" thickTop="1">
      <c r="A81" s="659"/>
      <c r="B81" s="1806" t="s">
        <v>2304</v>
      </c>
      <c r="C81" s="698" t="s">
        <v>573</v>
      </c>
      <c r="D81" s="698" t="s">
        <v>574</v>
      </c>
      <c r="E81" s="698" t="s">
        <v>575</v>
      </c>
      <c r="F81" s="698" t="s">
        <v>576</v>
      </c>
      <c r="G81" s="698" t="s">
        <v>577</v>
      </c>
      <c r="H81" s="664"/>
      <c r="I81" s="664"/>
      <c r="J81" s="664"/>
      <c r="K81" s="665"/>
      <c r="L81" s="666"/>
      <c r="M81" s="667"/>
      <c r="N81" s="2041"/>
      <c r="O81" s="2041"/>
      <c r="P81" s="2090"/>
      <c r="Q81" s="2035"/>
      <c r="R81" s="2023"/>
      <c r="S81" s="2023"/>
      <c r="T81" s="2023"/>
      <c r="U81" s="2023"/>
      <c r="V81" s="2023"/>
      <c r="W81" s="2023"/>
      <c r="X81" s="2023"/>
      <c r="Y81" s="2023"/>
      <c r="Z81" s="2023"/>
      <c r="AA81" s="2023"/>
      <c r="AB81" s="2023"/>
      <c r="AC81" s="2023"/>
    </row>
    <row r="82" spans="1:29" ht="15.75" thickBot="1">
      <c r="A82" s="659"/>
      <c r="B82" s="668"/>
      <c r="C82" s="669">
        <v>100</v>
      </c>
      <c r="D82" s="669">
        <f>C82-$K19</f>
        <v>98</v>
      </c>
      <c r="E82" s="669">
        <f>D82-$K19</f>
        <v>96</v>
      </c>
      <c r="F82" s="669">
        <f>E82-$K19</f>
        <v>94</v>
      </c>
      <c r="G82" s="669">
        <f>F82-$K19</f>
        <v>92</v>
      </c>
      <c r="H82" s="669"/>
      <c r="I82" s="669"/>
      <c r="J82" s="669"/>
      <c r="K82" s="669"/>
      <c r="L82" s="669"/>
      <c r="M82" s="670"/>
      <c r="N82" s="2043"/>
      <c r="O82" s="2043"/>
      <c r="P82" s="2090"/>
      <c r="Q82" s="2035"/>
      <c r="R82" s="2023"/>
      <c r="S82" s="2023"/>
      <c r="T82" s="2023"/>
      <c r="U82" s="2023"/>
      <c r="V82" s="2023"/>
      <c r="W82" s="2023"/>
      <c r="X82" s="2023"/>
      <c r="Y82" s="2023"/>
      <c r="Z82" s="2023"/>
      <c r="AA82" s="2023"/>
      <c r="AB82" s="2023"/>
      <c r="AC82" s="2023"/>
    </row>
    <row r="83" spans="1:29" ht="15.75" thickTop="1">
      <c r="A83" s="659"/>
      <c r="B83" s="2437" t="s">
        <v>2528</v>
      </c>
      <c r="C83" s="2438" t="s">
        <v>2540</v>
      </c>
      <c r="D83" s="2438" t="s">
        <v>2541</v>
      </c>
      <c r="E83" s="2438" t="s">
        <v>2542</v>
      </c>
      <c r="F83" s="2438" t="s">
        <v>2543</v>
      </c>
      <c r="G83" s="2438" t="s">
        <v>2544</v>
      </c>
      <c r="H83" s="664"/>
      <c r="I83" s="664"/>
      <c r="J83" s="664"/>
      <c r="K83" s="664"/>
      <c r="L83" s="664"/>
      <c r="M83" s="2441"/>
      <c r="N83" s="2043"/>
      <c r="O83" s="2043"/>
      <c r="P83" s="2090"/>
      <c r="Q83" s="2035"/>
      <c r="R83" s="2023"/>
      <c r="S83" s="2023"/>
      <c r="T83" s="2023"/>
      <c r="U83" s="2023"/>
      <c r="V83" s="2023"/>
      <c r="W83" s="2023"/>
      <c r="X83" s="2023"/>
      <c r="Y83" s="2023"/>
      <c r="Z83" s="2023"/>
      <c r="AA83" s="2023"/>
      <c r="AB83" s="2023"/>
      <c r="AC83" s="2023"/>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3"/>
      <c r="O84" s="2043"/>
      <c r="P84" s="2090"/>
      <c r="Q84" s="2035"/>
      <c r="R84" s="2023"/>
      <c r="S84" s="2023"/>
      <c r="T84" s="2023"/>
      <c r="U84" s="2023"/>
      <c r="V84" s="2023"/>
      <c r="W84" s="2023"/>
      <c r="X84" s="2023"/>
      <c r="Y84" s="2023"/>
      <c r="Z84" s="2023"/>
      <c r="AA84" s="2023"/>
      <c r="AB84" s="2023"/>
      <c r="AC84" s="2023"/>
    </row>
    <row r="85" spans="1:29" ht="15.75" thickTop="1">
      <c r="A85" s="659"/>
      <c r="B85" s="663" t="s">
        <v>778</v>
      </c>
      <c r="C85" s="698" t="s">
        <v>573</v>
      </c>
      <c r="D85" s="698" t="s">
        <v>574</v>
      </c>
      <c r="E85" s="698" t="s">
        <v>575</v>
      </c>
      <c r="F85" s="698" t="s">
        <v>576</v>
      </c>
      <c r="G85" s="698" t="s">
        <v>577</v>
      </c>
      <c r="H85" s="664"/>
      <c r="I85" s="664"/>
      <c r="J85" s="664"/>
      <c r="K85" s="665"/>
      <c r="L85" s="666"/>
      <c r="M85" s="667"/>
      <c r="N85" s="2041"/>
      <c r="O85" s="2041"/>
      <c r="P85" s="2090"/>
      <c r="Q85" s="2035"/>
      <c r="R85" s="2023"/>
      <c r="S85" s="2023"/>
      <c r="T85" s="2023"/>
      <c r="U85" s="2023"/>
      <c r="V85" s="2023"/>
      <c r="W85" s="2023"/>
      <c r="X85" s="2023"/>
      <c r="Y85" s="2023"/>
      <c r="Z85" s="2023"/>
      <c r="AA85" s="2023"/>
      <c r="AB85" s="2023"/>
      <c r="AC85" s="2023"/>
    </row>
    <row r="86" spans="1:29" ht="15.75" thickBot="1">
      <c r="A86" s="659"/>
      <c r="B86" s="668"/>
      <c r="C86" s="669">
        <v>100</v>
      </c>
      <c r="D86" s="669">
        <f>C86-$K23</f>
        <v>97</v>
      </c>
      <c r="E86" s="669">
        <f>D86-$K23</f>
        <v>94</v>
      </c>
      <c r="F86" s="669">
        <f>E86-$K23</f>
        <v>91</v>
      </c>
      <c r="G86" s="669">
        <f>F86-$K23</f>
        <v>88</v>
      </c>
      <c r="H86" s="669"/>
      <c r="I86" s="669"/>
      <c r="J86" s="669"/>
      <c r="K86" s="669"/>
      <c r="L86" s="669"/>
      <c r="M86" s="670"/>
      <c r="N86" s="2043"/>
      <c r="O86" s="2043"/>
      <c r="P86" s="2090"/>
      <c r="Q86" s="2035"/>
      <c r="R86" s="2023"/>
      <c r="S86" s="2023"/>
      <c r="T86" s="2023"/>
      <c r="U86" s="2023"/>
      <c r="V86" s="2023"/>
      <c r="W86" s="2023"/>
      <c r="X86" s="2023"/>
      <c r="Y86" s="2023"/>
      <c r="Z86" s="2023"/>
      <c r="AA86" s="2023"/>
      <c r="AB86" s="2023"/>
      <c r="AC86" s="2023"/>
    </row>
    <row r="87" spans="1:29" s="1201" customFormat="1" ht="27.75" thickTop="1">
      <c r="A87" s="699"/>
      <c r="B87" s="663" t="s">
        <v>779</v>
      </c>
      <c r="C87" s="3322" t="s">
        <v>3071</v>
      </c>
      <c r="D87" s="3322" t="s">
        <v>3069</v>
      </c>
      <c r="E87" s="678"/>
      <c r="F87" s="678"/>
      <c r="G87" s="678"/>
      <c r="H87" s="678"/>
      <c r="I87" s="678"/>
      <c r="J87" s="678"/>
      <c r="K87" s="678"/>
      <c r="L87" s="877"/>
      <c r="M87" s="878"/>
      <c r="N87" s="2039"/>
      <c r="O87" s="2039"/>
      <c r="P87" s="2090"/>
      <c r="Q87" s="2035"/>
      <c r="R87" s="1901"/>
      <c r="S87" s="1901"/>
      <c r="T87" s="1901"/>
      <c r="U87" s="1901"/>
      <c r="V87" s="1901"/>
      <c r="W87" s="1901"/>
      <c r="X87" s="1901"/>
      <c r="Y87" s="1901"/>
      <c r="Z87" s="1901"/>
      <c r="AA87" s="1901"/>
      <c r="AB87" s="1901"/>
      <c r="AC87" s="1901"/>
    </row>
    <row r="88" spans="1:29" s="1201" customFormat="1" ht="15.75" thickBot="1">
      <c r="A88" s="699"/>
      <c r="B88" s="668"/>
      <c r="C88" s="702">
        <v>100</v>
      </c>
      <c r="D88" s="669">
        <f t="shared" ref="D88:M88" si="19">C88-$K25</f>
        <v>97</v>
      </c>
      <c r="E88" s="669">
        <f t="shared" si="19"/>
        <v>94</v>
      </c>
      <c r="F88" s="669">
        <f t="shared" si="19"/>
        <v>91</v>
      </c>
      <c r="G88" s="669">
        <f t="shared" si="19"/>
        <v>88</v>
      </c>
      <c r="H88" s="669">
        <f t="shared" si="19"/>
        <v>85</v>
      </c>
      <c r="I88" s="669">
        <f t="shared" si="19"/>
        <v>82</v>
      </c>
      <c r="J88" s="669">
        <f t="shared" si="19"/>
        <v>79</v>
      </c>
      <c r="K88" s="669">
        <f t="shared" si="19"/>
        <v>76</v>
      </c>
      <c r="L88" s="669">
        <f t="shared" si="19"/>
        <v>73</v>
      </c>
      <c r="M88" s="669">
        <f t="shared" si="19"/>
        <v>70</v>
      </c>
      <c r="N88" s="2043"/>
      <c r="O88" s="2043"/>
      <c r="P88" s="2090"/>
      <c r="Q88" s="2035"/>
      <c r="R88" s="1901"/>
      <c r="S88" s="1901"/>
      <c r="T88" s="1901"/>
      <c r="U88" s="1901"/>
      <c r="V88" s="1901"/>
      <c r="W88" s="1901"/>
      <c r="X88" s="1901"/>
      <c r="Y88" s="1901"/>
      <c r="Z88" s="1901"/>
      <c r="AA88" s="1901"/>
      <c r="AB88" s="1901"/>
      <c r="AC88" s="1901"/>
    </row>
    <row r="89" spans="1:29" s="1201" customFormat="1" ht="15.75" thickTop="1">
      <c r="A89" s="699"/>
      <c r="B89" s="663" t="str">
        <f>B27</f>
        <v>楼层</v>
      </c>
      <c r="C89" s="3325"/>
      <c r="D89" s="3322"/>
      <c r="E89" s="678"/>
      <c r="F89" s="879"/>
      <c r="G89" s="678"/>
      <c r="H89" s="678"/>
      <c r="I89" s="678"/>
      <c r="J89" s="678"/>
      <c r="K89" s="678"/>
      <c r="L89" s="678"/>
      <c r="M89" s="878"/>
      <c r="N89" s="2039"/>
      <c r="O89" s="2039"/>
      <c r="P89" s="2090"/>
      <c r="Q89" s="2035"/>
      <c r="R89" s="1901"/>
      <c r="S89" s="1901"/>
      <c r="T89" s="1901"/>
      <c r="U89" s="1901"/>
      <c r="V89" s="1901"/>
      <c r="W89" s="1901"/>
      <c r="X89" s="1901"/>
      <c r="Y89" s="1901"/>
      <c r="Z89" s="1901"/>
      <c r="AA89" s="1901"/>
      <c r="AB89" s="1901"/>
      <c r="AC89" s="1901"/>
    </row>
    <row r="90" spans="1:29" s="1201" customFormat="1" ht="15.75" thickBot="1">
      <c r="A90" s="699"/>
      <c r="B90" s="668"/>
      <c r="C90" s="702">
        <v>100</v>
      </c>
      <c r="D90" s="669">
        <f>C90-$K27</f>
        <v>99</v>
      </c>
      <c r="E90" s="669">
        <f t="shared" ref="E90:M90" si="20">D90-$K27</f>
        <v>98</v>
      </c>
      <c r="F90" s="669">
        <f t="shared" si="20"/>
        <v>97</v>
      </c>
      <c r="G90" s="669">
        <f t="shared" si="20"/>
        <v>96</v>
      </c>
      <c r="H90" s="669">
        <f t="shared" si="20"/>
        <v>95</v>
      </c>
      <c r="I90" s="669">
        <f t="shared" si="20"/>
        <v>94</v>
      </c>
      <c r="J90" s="669">
        <f t="shared" si="20"/>
        <v>93</v>
      </c>
      <c r="K90" s="669">
        <f t="shared" si="20"/>
        <v>92</v>
      </c>
      <c r="L90" s="669">
        <f t="shared" si="20"/>
        <v>91</v>
      </c>
      <c r="M90" s="669">
        <f t="shared" si="20"/>
        <v>90</v>
      </c>
      <c r="N90" s="2043"/>
      <c r="O90" s="2043"/>
      <c r="P90" s="2090"/>
      <c r="Q90" s="2035"/>
      <c r="R90" s="1901"/>
      <c r="S90" s="1901"/>
      <c r="T90" s="1901"/>
      <c r="U90" s="1901"/>
      <c r="V90" s="1901"/>
      <c r="W90" s="1901"/>
      <c r="X90" s="1901"/>
      <c r="Y90" s="1901"/>
      <c r="Z90" s="1901"/>
      <c r="AA90" s="1901"/>
      <c r="AB90" s="1901"/>
      <c r="AC90" s="1901"/>
    </row>
    <row r="91" spans="1:29" s="1291" customFormat="1" ht="15.75" thickTop="1">
      <c r="A91" s="677"/>
      <c r="B91" s="663" t="str">
        <f>B28</f>
        <v>朝向</v>
      </c>
      <c r="C91" s="678"/>
      <c r="D91" s="678"/>
      <c r="E91" s="678"/>
      <c r="F91" s="678"/>
      <c r="G91" s="678"/>
      <c r="H91" s="679"/>
      <c r="I91" s="679"/>
      <c r="J91" s="679"/>
      <c r="K91" s="679"/>
      <c r="L91" s="680"/>
      <c r="M91" s="681"/>
      <c r="N91" s="2044"/>
      <c r="O91" s="2044"/>
      <c r="P91" s="2091"/>
      <c r="Q91" s="2046"/>
      <c r="R91" s="2047"/>
      <c r="S91" s="2047"/>
      <c r="T91" s="2047"/>
      <c r="U91" s="2047"/>
      <c r="V91" s="2047"/>
      <c r="W91" s="2047"/>
      <c r="X91" s="2047"/>
      <c r="Y91" s="2047"/>
      <c r="Z91" s="2047"/>
      <c r="AA91" s="2047"/>
      <c r="AB91" s="2047"/>
      <c r="AC91" s="2047"/>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9"/>
      <c r="B93" s="663" t="str">
        <f>B29</f>
        <v>楼层</v>
      </c>
      <c r="C93" s="3322" t="s">
        <v>3093</v>
      </c>
      <c r="D93" s="3328" t="s">
        <v>3096</v>
      </c>
      <c r="E93" s="678" t="s">
        <v>3097</v>
      </c>
      <c r="F93" s="678"/>
      <c r="G93" s="678"/>
      <c r="H93" s="678"/>
      <c r="I93" s="678"/>
      <c r="J93" s="678"/>
      <c r="K93" s="678"/>
      <c r="L93" s="877"/>
      <c r="M93" s="878"/>
      <c r="N93" s="2041"/>
      <c r="O93" s="2041"/>
      <c r="P93" s="2090"/>
      <c r="Q93" s="2035"/>
      <c r="R93" s="2023"/>
      <c r="S93" s="2023"/>
      <c r="T93" s="2023"/>
      <c r="U93" s="2023"/>
      <c r="V93" s="2023"/>
      <c r="W93" s="2023"/>
      <c r="X93" s="2023"/>
      <c r="Y93" s="2023"/>
      <c r="Z93" s="2023"/>
      <c r="AA93" s="2023"/>
      <c r="AB93" s="2023"/>
      <c r="AC93" s="2023"/>
    </row>
    <row r="94" spans="1:29" ht="15.75" thickBot="1">
      <c r="A94" s="659"/>
      <c r="B94" s="668"/>
      <c r="C94" s="682">
        <v>100</v>
      </c>
      <c r="D94" s="661">
        <v>101</v>
      </c>
      <c r="E94" s="661">
        <v>100</v>
      </c>
      <c r="F94" s="661"/>
      <c r="G94" s="661"/>
      <c r="H94" s="661"/>
      <c r="I94" s="661"/>
      <c r="J94" s="661"/>
      <c r="K94" s="661"/>
      <c r="L94" s="661"/>
      <c r="M94" s="662"/>
      <c r="N94" s="2043"/>
      <c r="O94" s="2043"/>
      <c r="P94" s="2090"/>
      <c r="Q94" s="2035"/>
      <c r="R94" s="2023"/>
      <c r="S94" s="2023"/>
      <c r="T94" s="2023"/>
      <c r="U94" s="2023"/>
      <c r="V94" s="2023"/>
      <c r="W94" s="2023"/>
      <c r="X94" s="2023"/>
      <c r="Y94" s="2023"/>
      <c r="Z94" s="2023"/>
      <c r="AA94" s="2023"/>
      <c r="AB94" s="2023"/>
      <c r="AC94" s="2023"/>
    </row>
    <row r="95" spans="1:29" ht="15.75" thickTop="1">
      <c r="A95" s="659"/>
      <c r="B95" s="663">
        <f>B30</f>
        <v>111</v>
      </c>
      <c r="C95" s="678"/>
      <c r="D95" s="678"/>
      <c r="E95" s="678"/>
      <c r="F95" s="678"/>
      <c r="G95" s="708"/>
      <c r="H95" s="708"/>
      <c r="I95" s="708"/>
      <c r="J95" s="708"/>
      <c r="K95" s="709"/>
      <c r="L95" s="710"/>
      <c r="M95" s="711"/>
      <c r="N95" s="2041"/>
      <c r="O95" s="2041"/>
      <c r="P95" s="2090"/>
      <c r="Q95" s="2035"/>
      <c r="R95" s="2023"/>
      <c r="S95" s="2023"/>
      <c r="T95" s="2023"/>
      <c r="U95" s="2023"/>
      <c r="V95" s="2023"/>
      <c r="W95" s="2023"/>
      <c r="X95" s="2023"/>
      <c r="Y95" s="2023"/>
      <c r="Z95" s="2023"/>
      <c r="AA95" s="2023"/>
      <c r="AB95" s="2023"/>
      <c r="AC95" s="2023"/>
    </row>
    <row r="96" spans="1:29" ht="15.75" thickBot="1">
      <c r="A96" s="659"/>
      <c r="B96" s="668"/>
      <c r="C96" s="682"/>
      <c r="D96" s="682"/>
      <c r="E96" s="682"/>
      <c r="F96" s="682"/>
      <c r="G96" s="661"/>
      <c r="H96" s="661"/>
      <c r="I96" s="661"/>
      <c r="J96" s="661"/>
      <c r="K96" s="661"/>
      <c r="L96" s="661"/>
      <c r="M96" s="662"/>
      <c r="N96" s="2043"/>
      <c r="O96" s="2043"/>
      <c r="P96" s="2090"/>
      <c r="Q96" s="2035"/>
      <c r="R96" s="2023"/>
      <c r="S96" s="2023"/>
      <c r="T96" s="2023"/>
      <c r="U96" s="2023"/>
      <c r="V96" s="2023"/>
      <c r="W96" s="2023"/>
      <c r="X96" s="2023"/>
      <c r="Y96" s="2023"/>
      <c r="Z96" s="2023"/>
      <c r="AA96" s="2023"/>
      <c r="AB96" s="2023"/>
      <c r="AC96" s="2023"/>
    </row>
    <row r="97" spans="1:29" ht="15.75" thickTop="1">
      <c r="A97" s="659"/>
      <c r="B97" s="663">
        <f>B31</f>
        <v>111</v>
      </c>
      <c r="C97" s="678"/>
      <c r="D97" s="678"/>
      <c r="E97" s="678"/>
      <c r="F97" s="678"/>
      <c r="G97" s="708"/>
      <c r="H97" s="708"/>
      <c r="I97" s="708"/>
      <c r="J97" s="708"/>
      <c r="K97" s="709"/>
      <c r="L97" s="710"/>
      <c r="M97" s="711"/>
      <c r="N97" s="2041"/>
      <c r="O97" s="2041"/>
      <c r="P97" s="2090"/>
      <c r="Q97" s="2035"/>
      <c r="R97" s="2023"/>
      <c r="S97" s="2023"/>
      <c r="T97" s="2023"/>
      <c r="U97" s="2023"/>
      <c r="V97" s="2023"/>
      <c r="W97" s="2023"/>
      <c r="X97" s="2023"/>
      <c r="Y97" s="2023"/>
      <c r="Z97" s="2023"/>
      <c r="AA97" s="2023"/>
      <c r="AB97" s="2023"/>
      <c r="AC97" s="2023"/>
    </row>
    <row r="98" spans="1:29" ht="15.75" thickBot="1">
      <c r="A98" s="659"/>
      <c r="B98" s="668"/>
      <c r="C98" s="682"/>
      <c r="D98" s="661"/>
      <c r="E98" s="661"/>
      <c r="F98" s="661"/>
      <c r="G98" s="661"/>
      <c r="H98" s="661"/>
      <c r="I98" s="661"/>
      <c r="J98" s="661"/>
      <c r="K98" s="661"/>
      <c r="L98" s="661"/>
      <c r="M98" s="662"/>
      <c r="N98" s="2043"/>
      <c r="O98" s="2043"/>
      <c r="P98" s="2090"/>
      <c r="Q98" s="2035"/>
      <c r="R98" s="2023"/>
      <c r="S98" s="2023"/>
      <c r="T98" s="2023"/>
      <c r="U98" s="2023"/>
      <c r="V98" s="2023"/>
      <c r="W98" s="2023"/>
      <c r="X98" s="2023"/>
      <c r="Y98" s="2023"/>
      <c r="Z98" s="2023"/>
      <c r="AA98" s="2023"/>
      <c r="AB98" s="2023"/>
      <c r="AC98" s="2023"/>
    </row>
    <row r="99" spans="1:29" ht="15.75" thickTop="1">
      <c r="A99" s="659"/>
      <c r="B99" s="671">
        <f>B32</f>
        <v>111</v>
      </c>
      <c r="C99" s="651"/>
      <c r="D99" s="651"/>
      <c r="E99" s="651"/>
      <c r="F99" s="651"/>
      <c r="G99" s="712"/>
      <c r="H99" s="712"/>
      <c r="I99" s="712"/>
      <c r="J99" s="712"/>
      <c r="K99" s="713"/>
      <c r="L99" s="714"/>
      <c r="M99" s="715"/>
      <c r="N99" s="2041"/>
      <c r="O99" s="2041"/>
      <c r="P99" s="2090"/>
      <c r="Q99" s="2035"/>
      <c r="R99" s="2023"/>
      <c r="S99" s="2023"/>
      <c r="T99" s="2023"/>
      <c r="U99" s="2023"/>
      <c r="V99" s="2023"/>
      <c r="W99" s="2023"/>
      <c r="X99" s="2023"/>
      <c r="Y99" s="2023"/>
      <c r="Z99" s="2023"/>
      <c r="AA99" s="2023"/>
      <c r="AB99" s="2023"/>
      <c r="AC99" s="2023"/>
    </row>
    <row r="100" spans="1:29" ht="15.75" thickBot="1">
      <c r="A100" s="880"/>
      <c r="B100" s="689"/>
      <c r="C100" s="690"/>
      <c r="D100" s="690"/>
      <c r="E100" s="690"/>
      <c r="F100" s="690"/>
      <c r="G100" s="716"/>
      <c r="H100" s="716"/>
      <c r="I100" s="716"/>
      <c r="J100" s="716"/>
      <c r="K100" s="716"/>
      <c r="L100" s="716"/>
      <c r="M100" s="717"/>
      <c r="N100" s="2043"/>
      <c r="O100" s="2043"/>
      <c r="P100" s="2090"/>
      <c r="Q100" s="2035"/>
      <c r="R100" s="2023"/>
      <c r="S100" s="2023"/>
      <c r="T100" s="2023"/>
      <c r="U100" s="2023"/>
      <c r="V100" s="2023"/>
      <c r="W100" s="2023"/>
      <c r="X100" s="2023"/>
      <c r="Y100" s="2023"/>
      <c r="Z100" s="2023"/>
      <c r="AA100" s="2023"/>
      <c r="AB100" s="2023"/>
      <c r="AC100" s="2023"/>
    </row>
    <row r="101" spans="1:29">
      <c r="A101" s="654" t="s">
        <v>545</v>
      </c>
      <c r="B101" s="655" t="s">
        <v>741</v>
      </c>
      <c r="C101" s="3323" t="s">
        <v>3087</v>
      </c>
      <c r="D101" s="3323" t="s">
        <v>3089</v>
      </c>
      <c r="E101" s="3323" t="s">
        <v>3713</v>
      </c>
      <c r="F101" s="590"/>
      <c r="G101" s="590"/>
      <c r="H101" s="590"/>
      <c r="I101" s="590"/>
      <c r="J101" s="590"/>
      <c r="K101" s="656"/>
      <c r="L101" s="657"/>
      <c r="M101" s="658"/>
      <c r="N101" s="2041"/>
      <c r="O101" s="2041"/>
      <c r="P101" s="2090"/>
      <c r="Q101" s="2035"/>
      <c r="R101" s="2023"/>
      <c r="S101" s="2023"/>
      <c r="T101" s="2023"/>
      <c r="U101" s="2023"/>
      <c r="V101" s="2023"/>
      <c r="W101" s="2023"/>
      <c r="X101" s="2023"/>
      <c r="Y101" s="2023"/>
      <c r="Z101" s="2023"/>
      <c r="AA101" s="2023"/>
      <c r="AB101" s="2023"/>
      <c r="AC101" s="2023"/>
    </row>
    <row r="102" spans="1:29" ht="15.75" thickBot="1">
      <c r="A102" s="659"/>
      <c r="B102" s="668"/>
      <c r="C102" s="669">
        <v>100</v>
      </c>
      <c r="D102" s="669">
        <f t="shared" ref="D102:M102" si="22">C102-$K33</f>
        <v>97</v>
      </c>
      <c r="E102" s="669">
        <f t="shared" si="22"/>
        <v>94</v>
      </c>
      <c r="F102" s="669">
        <f t="shared" si="22"/>
        <v>91</v>
      </c>
      <c r="G102" s="669">
        <f t="shared" si="22"/>
        <v>88</v>
      </c>
      <c r="H102" s="669">
        <f t="shared" si="22"/>
        <v>85</v>
      </c>
      <c r="I102" s="669">
        <f t="shared" si="22"/>
        <v>82</v>
      </c>
      <c r="J102" s="669">
        <f t="shared" si="22"/>
        <v>79</v>
      </c>
      <c r="K102" s="669">
        <f t="shared" si="22"/>
        <v>76</v>
      </c>
      <c r="L102" s="669">
        <f t="shared" si="22"/>
        <v>73</v>
      </c>
      <c r="M102" s="670">
        <f t="shared" si="22"/>
        <v>70</v>
      </c>
      <c r="N102" s="2043"/>
      <c r="O102" s="2043"/>
      <c r="P102" s="2090"/>
      <c r="Q102" s="2035"/>
      <c r="R102" s="2023"/>
      <c r="S102" s="2023"/>
      <c r="T102" s="2023"/>
      <c r="U102" s="2023"/>
      <c r="V102" s="2023"/>
      <c r="W102" s="2023"/>
      <c r="X102" s="2023"/>
      <c r="Y102" s="2023"/>
      <c r="Z102" s="2023"/>
      <c r="AA102" s="2023"/>
      <c r="AB102" s="2023"/>
      <c r="AC102" s="2023"/>
    </row>
    <row r="103" spans="1:29" ht="29.25" thickTop="1">
      <c r="A103" s="659"/>
      <c r="B103" s="663" t="s">
        <v>742</v>
      </c>
      <c r="C103" s="698" t="str">
        <f>C104&amp;"(含)"&amp;"-"&amp;D104</f>
        <v>0(含)-10000</v>
      </c>
      <c r="D103" s="698" t="str">
        <f t="shared" ref="D103:L103" si="23">D104&amp;"(含)"&amp;"-"&amp;E104</f>
        <v>10000(含)-20000</v>
      </c>
      <c r="E103" s="698" t="str">
        <f t="shared" si="23"/>
        <v>20000(含)-50000</v>
      </c>
      <c r="F103" s="698" t="str">
        <f t="shared" si="23"/>
        <v>50000(含)-100000</v>
      </c>
      <c r="G103" s="698" t="str">
        <f t="shared" si="23"/>
        <v>100000(含)-</v>
      </c>
      <c r="H103" s="698" t="str">
        <f t="shared" si="23"/>
        <v>(含)-</v>
      </c>
      <c r="I103" s="698" t="str">
        <f t="shared" si="23"/>
        <v>(含)-</v>
      </c>
      <c r="J103" s="698" t="str">
        <f t="shared" si="23"/>
        <v>(含)-</v>
      </c>
      <c r="K103" s="698" t="str">
        <f t="shared" si="23"/>
        <v>(含)-</v>
      </c>
      <c r="L103" s="698" t="str">
        <f t="shared" si="23"/>
        <v>(含)-</v>
      </c>
      <c r="M103" s="701"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1" customFormat="1">
      <c r="A104" s="718"/>
      <c r="B104" s="719"/>
      <c r="C104" s="720">
        <v>0</v>
      </c>
      <c r="D104" s="720">
        <v>10000</v>
      </c>
      <c r="E104" s="720">
        <v>20000</v>
      </c>
      <c r="F104" s="720">
        <v>50000</v>
      </c>
      <c r="G104" s="720">
        <v>100000</v>
      </c>
      <c r="H104" s="720"/>
      <c r="I104" s="720"/>
      <c r="J104" s="721"/>
      <c r="K104" s="721"/>
      <c r="L104" s="722"/>
      <c r="M104" s="723"/>
      <c r="N104" s="2044"/>
      <c r="O104" s="2044"/>
      <c r="P104" s="2091"/>
      <c r="Q104" s="2046"/>
      <c r="R104" s="2047"/>
      <c r="S104" s="2047"/>
      <c r="T104" s="2047"/>
      <c r="U104" s="2047"/>
      <c r="V104" s="2047"/>
      <c r="W104" s="2047"/>
      <c r="X104" s="2047"/>
      <c r="Y104" s="2047"/>
      <c r="Z104" s="2047"/>
      <c r="AA104" s="2047"/>
      <c r="AB104" s="2047"/>
      <c r="AC104" s="2047"/>
    </row>
    <row r="105" spans="1:29" s="1291" customFormat="1" ht="15.75" thickBot="1">
      <c r="A105" s="677"/>
      <c r="B105" s="668"/>
      <c r="C105" s="682">
        <v>100</v>
      </c>
      <c r="D105" s="661">
        <v>99</v>
      </c>
      <c r="E105" s="661">
        <v>98</v>
      </c>
      <c r="F105" s="661">
        <v>97</v>
      </c>
      <c r="G105" s="661">
        <v>96</v>
      </c>
      <c r="H105" s="661"/>
      <c r="I105" s="661"/>
      <c r="J105" s="661"/>
      <c r="K105" s="661"/>
      <c r="L105" s="661"/>
      <c r="M105" s="662"/>
      <c r="N105" s="2043"/>
      <c r="O105" s="2043"/>
      <c r="P105" s="2091"/>
      <c r="Q105" s="2046"/>
      <c r="R105" s="2047"/>
      <c r="S105" s="2047"/>
      <c r="T105" s="2047"/>
      <c r="U105" s="2047"/>
      <c r="V105" s="2047"/>
      <c r="W105" s="2047"/>
      <c r="X105" s="2047"/>
      <c r="Y105" s="2047"/>
      <c r="Z105" s="2047"/>
      <c r="AA105" s="2047"/>
      <c r="AB105" s="2047"/>
      <c r="AC105" s="2047"/>
    </row>
    <row r="106" spans="1:29" ht="15" thickTop="1">
      <c r="A106" s="725"/>
      <c r="B106" s="663" t="s">
        <v>743</v>
      </c>
      <c r="C106" s="3322" t="s">
        <v>3073</v>
      </c>
      <c r="D106" s="678"/>
      <c r="E106" s="708"/>
      <c r="F106" s="708"/>
      <c r="G106" s="708"/>
      <c r="H106" s="708"/>
      <c r="I106" s="708"/>
      <c r="J106" s="708"/>
      <c r="K106" s="709"/>
      <c r="L106" s="710"/>
      <c r="M106" s="711"/>
      <c r="N106" s="2041"/>
      <c r="O106" s="2041"/>
      <c r="P106" s="2090"/>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5"/>
      <c r="B108" s="663" t="s">
        <v>745</v>
      </c>
      <c r="C108" s="3322" t="s">
        <v>3075</v>
      </c>
      <c r="D108" s="678"/>
      <c r="E108" s="678"/>
      <c r="F108" s="708"/>
      <c r="G108" s="708"/>
      <c r="H108" s="708"/>
      <c r="I108" s="708"/>
      <c r="J108" s="708"/>
      <c r="K108" s="709"/>
      <c r="L108" s="710"/>
      <c r="M108" s="711"/>
      <c r="N108" s="2041"/>
      <c r="O108" s="2041"/>
      <c r="P108" s="2090"/>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 t="shared" ref="D109:M109" si="25">C109-$K36</f>
        <v>99</v>
      </c>
      <c r="E109" s="669">
        <f t="shared" si="25"/>
        <v>98</v>
      </c>
      <c r="F109" s="669">
        <f t="shared" si="25"/>
        <v>97</v>
      </c>
      <c r="G109" s="669">
        <f t="shared" si="25"/>
        <v>96</v>
      </c>
      <c r="H109" s="669">
        <f t="shared" si="25"/>
        <v>95</v>
      </c>
      <c r="I109" s="669">
        <f t="shared" si="25"/>
        <v>94</v>
      </c>
      <c r="J109" s="669">
        <f t="shared" si="25"/>
        <v>93</v>
      </c>
      <c r="K109" s="669">
        <f t="shared" si="25"/>
        <v>92</v>
      </c>
      <c r="L109" s="669">
        <f t="shared" si="25"/>
        <v>91</v>
      </c>
      <c r="M109" s="670">
        <f t="shared" si="25"/>
        <v>90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5"/>
      <c r="B110" s="663" t="s">
        <v>746</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1"/>
      <c r="O110" s="2041"/>
      <c r="P110" s="2090"/>
      <c r="Q110" s="2035"/>
      <c r="R110" s="2023"/>
      <c r="S110" s="2023"/>
      <c r="T110" s="2023"/>
      <c r="U110" s="2023"/>
      <c r="V110" s="2023"/>
      <c r="W110" s="2023"/>
      <c r="X110" s="2023"/>
      <c r="Y110" s="2023"/>
      <c r="Z110" s="2023"/>
      <c r="AA110" s="2023"/>
      <c r="AB110" s="2023"/>
      <c r="AC110" s="2023"/>
    </row>
    <row r="111" spans="1:29">
      <c r="A111" s="725"/>
      <c r="B111" s="671"/>
      <c r="C111" s="881">
        <v>0.5</v>
      </c>
      <c r="D111" s="881">
        <v>0.6</v>
      </c>
      <c r="E111" s="881">
        <v>0.7</v>
      </c>
      <c r="F111" s="881">
        <v>0.8</v>
      </c>
      <c r="G111" s="881">
        <v>0.9</v>
      </c>
      <c r="H111" s="881">
        <v>1.0001</v>
      </c>
      <c r="I111" s="892"/>
      <c r="J111" s="892"/>
      <c r="K111" s="893"/>
      <c r="L111" s="894"/>
      <c r="M111" s="895"/>
      <c r="N111" s="2041"/>
      <c r="O111" s="2041"/>
      <c r="P111" s="2090"/>
      <c r="Q111" s="2035"/>
      <c r="R111" s="2023"/>
      <c r="S111" s="2023"/>
      <c r="T111" s="2023"/>
      <c r="U111" s="2023"/>
      <c r="V111" s="2023"/>
      <c r="W111" s="2023"/>
      <c r="X111" s="2023"/>
      <c r="Y111" s="2023"/>
      <c r="Z111" s="2023"/>
      <c r="AA111" s="2023"/>
      <c r="AB111" s="2023"/>
      <c r="AC111" s="2023"/>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3"/>
      <c r="O112" s="2043"/>
      <c r="P112" s="2090"/>
      <c r="Q112" s="2035"/>
      <c r="R112" s="2023"/>
      <c r="S112" s="2023"/>
      <c r="T112" s="2023"/>
      <c r="U112" s="2023"/>
      <c r="V112" s="2023"/>
      <c r="W112" s="2023"/>
      <c r="X112" s="2023"/>
      <c r="Y112" s="2023"/>
      <c r="Z112" s="2023"/>
      <c r="AA112" s="2023"/>
      <c r="AB112" s="2023"/>
      <c r="AC112" s="2023"/>
    </row>
    <row r="113" spans="1:29" s="1291" customFormat="1" ht="15" thickTop="1">
      <c r="A113" s="718"/>
      <c r="B113" s="663" t="s">
        <v>780</v>
      </c>
      <c r="C113" s="3322" t="s">
        <v>3077</v>
      </c>
      <c r="D113" s="3322" t="s">
        <v>3078</v>
      </c>
      <c r="E113" s="678"/>
      <c r="F113" s="678"/>
      <c r="G113" s="678"/>
      <c r="H113" s="708"/>
      <c r="I113" s="708"/>
      <c r="J113" s="708"/>
      <c r="K113" s="709"/>
      <c r="L113" s="710"/>
      <c r="M113" s="711"/>
      <c r="N113" s="2044"/>
      <c r="O113" s="2044"/>
      <c r="P113" s="2091"/>
      <c r="Q113" s="2046"/>
      <c r="R113" s="2047"/>
      <c r="S113" s="2047"/>
      <c r="T113" s="2047"/>
      <c r="U113" s="2047"/>
      <c r="V113" s="2047"/>
      <c r="W113" s="2047"/>
      <c r="X113" s="2047"/>
      <c r="Y113" s="2047"/>
      <c r="Z113" s="2047"/>
      <c r="AA113" s="2047"/>
      <c r="AB113" s="2047"/>
      <c r="AC113" s="2047"/>
    </row>
    <row r="114" spans="1:29" s="1291" customFormat="1" ht="15.75" thickBot="1">
      <c r="A114" s="677"/>
      <c r="B114" s="668"/>
      <c r="C114" s="669">
        <v>100</v>
      </c>
      <c r="D114" s="669">
        <f>C114-$K38</f>
        <v>98</v>
      </c>
      <c r="E114" s="669">
        <f t="shared" ref="E114:M114" si="27">D114-$K38</f>
        <v>96</v>
      </c>
      <c r="F114" s="669">
        <f t="shared" si="27"/>
        <v>94</v>
      </c>
      <c r="G114" s="669">
        <f t="shared" si="27"/>
        <v>92</v>
      </c>
      <c r="H114" s="669">
        <f t="shared" si="27"/>
        <v>90</v>
      </c>
      <c r="I114" s="669">
        <f t="shared" si="27"/>
        <v>88</v>
      </c>
      <c r="J114" s="669">
        <f t="shared" si="27"/>
        <v>86</v>
      </c>
      <c r="K114" s="669">
        <f t="shared" si="27"/>
        <v>84</v>
      </c>
      <c r="L114" s="669">
        <f t="shared" si="27"/>
        <v>82</v>
      </c>
      <c r="M114" s="669">
        <f t="shared" si="27"/>
        <v>80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5"/>
      <c r="B115" s="663" t="s">
        <v>747</v>
      </c>
      <c r="C115" s="3322" t="s">
        <v>3080</v>
      </c>
      <c r="D115" s="678"/>
      <c r="E115" s="708"/>
      <c r="F115" s="708"/>
      <c r="G115" s="708"/>
      <c r="H115" s="708"/>
      <c r="I115" s="708"/>
      <c r="J115" s="708"/>
      <c r="K115" s="709"/>
      <c r="L115" s="710"/>
      <c r="M115" s="711"/>
      <c r="N115" s="2041"/>
      <c r="O115" s="2041"/>
      <c r="P115" s="2090"/>
      <c r="Q115" s="2035"/>
      <c r="R115" s="2023"/>
      <c r="S115" s="2023"/>
      <c r="T115" s="2023"/>
      <c r="U115" s="2023"/>
      <c r="V115" s="2023"/>
      <c r="W115" s="2023"/>
      <c r="X115" s="2023"/>
      <c r="Y115" s="2023"/>
      <c r="Z115" s="2023"/>
      <c r="AA115" s="2023"/>
      <c r="AB115" s="2023"/>
      <c r="AC115" s="2023"/>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5"/>
      <c r="B117" s="1806" t="s">
        <v>2537</v>
      </c>
      <c r="C117" s="3322" t="s">
        <v>3056</v>
      </c>
      <c r="D117" s="3322" t="s">
        <v>3082</v>
      </c>
      <c r="E117" s="678"/>
      <c r="F117" s="678"/>
      <c r="G117" s="678"/>
      <c r="H117" s="708"/>
      <c r="I117" s="708"/>
      <c r="J117" s="708"/>
      <c r="K117" s="709"/>
      <c r="L117" s="710"/>
      <c r="M117" s="711"/>
      <c r="N117" s="2041"/>
      <c r="O117" s="2041"/>
      <c r="P117" s="2090"/>
      <c r="Q117" s="2035"/>
      <c r="R117" s="2023"/>
      <c r="S117" s="2023"/>
      <c r="T117" s="2023"/>
      <c r="U117" s="2023"/>
      <c r="V117" s="2023"/>
      <c r="W117" s="2023"/>
      <c r="X117" s="2023"/>
      <c r="Y117" s="2023"/>
      <c r="Z117" s="2023"/>
      <c r="AA117" s="2023"/>
      <c r="AB117" s="2023"/>
      <c r="AC117" s="2023"/>
    </row>
    <row r="118" spans="1:29" ht="15.75" thickBot="1">
      <c r="A118" s="659"/>
      <c r="B118" s="668"/>
      <c r="C118" s="669">
        <v>100</v>
      </c>
      <c r="D118" s="669">
        <f>C118-$K40</f>
        <v>98</v>
      </c>
      <c r="E118" s="669">
        <f>D118-$K40</f>
        <v>96</v>
      </c>
      <c r="F118" s="669">
        <f>E118-$K40</f>
        <v>94</v>
      </c>
      <c r="G118" s="669">
        <f>F118-$K40</f>
        <v>92</v>
      </c>
      <c r="H118" s="669"/>
      <c r="I118" s="669"/>
      <c r="J118" s="669"/>
      <c r="K118" s="669"/>
      <c r="L118" s="669"/>
      <c r="M118" s="670"/>
      <c r="N118" s="2043"/>
      <c r="O118" s="2043"/>
      <c r="P118" s="2090"/>
      <c r="Q118" s="2035"/>
      <c r="R118" s="2023"/>
      <c r="S118" s="2023"/>
      <c r="T118" s="2023"/>
      <c r="U118" s="2023"/>
      <c r="V118" s="2023"/>
      <c r="W118" s="2023"/>
      <c r="X118" s="2023"/>
      <c r="Y118" s="2023"/>
      <c r="Z118" s="2023"/>
      <c r="AA118" s="2023"/>
      <c r="AB118" s="2023"/>
      <c r="AC118" s="2023"/>
    </row>
    <row r="119" spans="1:29" ht="15" thickTop="1">
      <c r="A119" s="725"/>
      <c r="B119" s="904" t="s">
        <v>781</v>
      </c>
      <c r="C119" s="3324" t="s">
        <v>3099</v>
      </c>
      <c r="D119" s="708"/>
      <c r="E119" s="708"/>
      <c r="F119" s="708"/>
      <c r="G119" s="708"/>
      <c r="H119" s="708"/>
      <c r="I119" s="708"/>
      <c r="J119" s="708"/>
      <c r="K119" s="708"/>
      <c r="L119" s="905"/>
      <c r="M119" s="906"/>
      <c r="N119" s="2043"/>
      <c r="O119" s="2043"/>
      <c r="P119" s="2095"/>
      <c r="Q119" s="2083"/>
      <c r="R119" s="2023"/>
      <c r="S119" s="2023"/>
      <c r="T119" s="2023"/>
      <c r="U119" s="2023"/>
      <c r="V119" s="2023"/>
      <c r="W119" s="2023"/>
      <c r="X119" s="2023"/>
      <c r="Y119" s="2023"/>
      <c r="Z119" s="2023"/>
      <c r="AA119" s="2023"/>
      <c r="AB119" s="2023"/>
      <c r="AC119" s="2023"/>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3"/>
      <c r="O120" s="2043"/>
      <c r="P120" s="2090"/>
      <c r="Q120" s="2035"/>
      <c r="R120" s="2023"/>
      <c r="S120" s="2023"/>
      <c r="T120" s="2023"/>
      <c r="U120" s="2023"/>
      <c r="V120" s="2023"/>
      <c r="W120" s="2023"/>
      <c r="X120" s="2023"/>
      <c r="Y120" s="2023"/>
      <c r="Z120" s="2023"/>
      <c r="AA120" s="2023"/>
      <c r="AB120" s="2023"/>
      <c r="AC120" s="2023"/>
    </row>
    <row r="121" spans="1:29" s="1291" customFormat="1" ht="15" thickTop="1">
      <c r="A121" s="718"/>
      <c r="B121" s="663" t="s">
        <v>769</v>
      </c>
      <c r="C121" s="678">
        <v>22000</v>
      </c>
      <c r="D121" s="678"/>
      <c r="E121" s="678"/>
      <c r="F121" s="708"/>
      <c r="G121" s="679"/>
      <c r="H121" s="679"/>
      <c r="I121" s="679"/>
      <c r="J121" s="679"/>
      <c r="K121" s="679"/>
      <c r="L121" s="680"/>
      <c r="M121" s="681"/>
      <c r="N121" s="2044"/>
      <c r="O121" s="2044"/>
      <c r="P121" s="2091"/>
      <c r="Q121" s="2046"/>
      <c r="R121" s="2047"/>
      <c r="S121" s="2047"/>
      <c r="T121" s="2047"/>
      <c r="U121" s="2047"/>
      <c r="V121" s="2047"/>
      <c r="W121" s="2047"/>
      <c r="X121" s="2047"/>
      <c r="Y121" s="2047"/>
      <c r="Z121" s="2047"/>
      <c r="AA121" s="2047"/>
      <c r="AB121" s="2047"/>
      <c r="AC121" s="2047"/>
    </row>
    <row r="122" spans="1:29" s="1291" customFormat="1" ht="15.75" thickBot="1">
      <c r="A122" s="677"/>
      <c r="B122" s="660"/>
      <c r="C122" s="682"/>
      <c r="D122" s="682"/>
      <c r="E122" s="682"/>
      <c r="F122" s="682"/>
      <c r="G122" s="682"/>
      <c r="H122" s="682"/>
      <c r="I122" s="682"/>
      <c r="J122" s="682"/>
      <c r="K122" s="682"/>
      <c r="L122" s="682"/>
      <c r="M122" s="682"/>
      <c r="N122" s="2044"/>
      <c r="O122" s="2044"/>
      <c r="P122" s="2091"/>
      <c r="Q122" s="2046"/>
      <c r="R122" s="2047"/>
      <c r="S122" s="2047"/>
      <c r="T122" s="2047"/>
      <c r="U122" s="2047"/>
      <c r="V122" s="2047"/>
      <c r="W122" s="2047"/>
      <c r="X122" s="2047"/>
      <c r="Y122" s="2047"/>
      <c r="Z122" s="2047"/>
      <c r="AA122" s="2047"/>
      <c r="AB122" s="2047"/>
      <c r="AC122" s="2047"/>
    </row>
    <row r="123" spans="1:29" ht="15" thickTop="1">
      <c r="A123" s="725"/>
      <c r="B123" s="663" t="s">
        <v>749</v>
      </c>
      <c r="C123" s="3322" t="s">
        <v>3084</v>
      </c>
      <c r="D123" s="3322" t="s">
        <v>3075</v>
      </c>
      <c r="E123" s="3322" t="s">
        <v>3086</v>
      </c>
      <c r="F123" s="3324" t="s">
        <v>3092</v>
      </c>
      <c r="G123" s="708"/>
      <c r="H123" s="708"/>
      <c r="I123" s="708"/>
      <c r="J123" s="708"/>
      <c r="K123" s="709"/>
      <c r="L123" s="710"/>
      <c r="M123" s="711"/>
      <c r="N123" s="2041"/>
      <c r="O123" s="2041"/>
      <c r="P123" s="2090"/>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5"/>
      <c r="B125" s="663" t="s">
        <v>750</v>
      </c>
      <c r="C125" s="698" t="s">
        <v>573</v>
      </c>
      <c r="D125" s="698" t="s">
        <v>574</v>
      </c>
      <c r="E125" s="698" t="s">
        <v>575</v>
      </c>
      <c r="F125" s="698" t="s">
        <v>576</v>
      </c>
      <c r="G125" s="698" t="s">
        <v>577</v>
      </c>
      <c r="H125" s="664"/>
      <c r="I125" s="664"/>
      <c r="J125" s="664"/>
      <c r="K125" s="665"/>
      <c r="L125" s="666"/>
      <c r="M125" s="667"/>
      <c r="N125" s="2041"/>
      <c r="O125" s="2041"/>
      <c r="P125" s="2091"/>
      <c r="Q125" s="2035"/>
      <c r="R125" s="2023"/>
      <c r="S125" s="2023"/>
      <c r="T125" s="2023"/>
      <c r="U125" s="2023"/>
      <c r="V125" s="2023"/>
      <c r="W125" s="2023"/>
      <c r="X125" s="2023"/>
      <c r="Y125" s="2023"/>
      <c r="Z125" s="2023"/>
      <c r="AA125" s="2023"/>
      <c r="AB125" s="2023"/>
      <c r="AC125" s="2023"/>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3"/>
      <c r="O126" s="2043"/>
      <c r="P126" s="2090"/>
      <c r="Q126" s="2035"/>
      <c r="R126" s="2023"/>
      <c r="S126" s="2023"/>
      <c r="T126" s="2023"/>
      <c r="U126" s="2023"/>
      <c r="V126" s="2023"/>
      <c r="W126" s="2023"/>
      <c r="X126" s="2023"/>
      <c r="Y126" s="2023"/>
      <c r="Z126" s="2023"/>
      <c r="AA126" s="2023"/>
      <c r="AB126" s="2023"/>
      <c r="AC126" s="2023"/>
    </row>
    <row r="127" spans="1:29" s="1291" customFormat="1" ht="15" thickTop="1">
      <c r="A127" s="718"/>
      <c r="B127" s="663">
        <f>B45</f>
        <v>111</v>
      </c>
      <c r="C127" s="678"/>
      <c r="D127" s="678"/>
      <c r="E127" s="678"/>
      <c r="F127" s="678"/>
      <c r="G127" s="678"/>
      <c r="H127" s="679"/>
      <c r="I127" s="679"/>
      <c r="J127" s="679"/>
      <c r="K127" s="679"/>
      <c r="L127" s="680"/>
      <c r="M127" s="681"/>
      <c r="N127" s="2044"/>
      <c r="O127" s="2044"/>
      <c r="P127" s="2091"/>
      <c r="Q127" s="2046"/>
      <c r="R127" s="2047"/>
      <c r="S127" s="2047"/>
      <c r="T127" s="2047"/>
      <c r="U127" s="2047"/>
      <c r="V127" s="2047"/>
      <c r="W127" s="2047"/>
      <c r="X127" s="2047"/>
      <c r="Y127" s="2047"/>
      <c r="Z127" s="2047"/>
      <c r="AA127" s="2047"/>
      <c r="AB127" s="2047"/>
      <c r="AC127" s="2047"/>
    </row>
    <row r="128" spans="1:29" s="1291" customFormat="1" ht="15.75" thickBot="1">
      <c r="A128" s="677"/>
      <c r="B128" s="668"/>
      <c r="C128" s="682"/>
      <c r="D128" s="661"/>
      <c r="E128" s="661"/>
      <c r="F128" s="661"/>
      <c r="G128" s="682"/>
      <c r="H128" s="683"/>
      <c r="I128" s="683"/>
      <c r="J128" s="683"/>
      <c r="K128" s="683"/>
      <c r="L128" s="683"/>
      <c r="M128" s="684"/>
      <c r="N128" s="2044"/>
      <c r="O128" s="2044"/>
      <c r="P128" s="2091"/>
      <c r="Q128" s="2046"/>
      <c r="R128" s="2047"/>
      <c r="S128" s="2047"/>
      <c r="T128" s="2047"/>
      <c r="U128" s="2047"/>
      <c r="V128" s="2047"/>
      <c r="W128" s="2047"/>
      <c r="X128" s="2047"/>
      <c r="Y128" s="2047"/>
      <c r="Z128" s="2047"/>
      <c r="AA128" s="2047"/>
      <c r="AB128" s="2047"/>
      <c r="AC128" s="2047"/>
    </row>
    <row r="129" spans="1:29" ht="15" thickTop="1">
      <c r="A129" s="725"/>
      <c r="B129" s="663">
        <f>B46</f>
        <v>111</v>
      </c>
      <c r="C129" s="678"/>
      <c r="D129" s="678"/>
      <c r="E129" s="678"/>
      <c r="F129" s="678"/>
      <c r="G129" s="708"/>
      <c r="H129" s="708"/>
      <c r="I129" s="708"/>
      <c r="J129" s="708"/>
      <c r="K129" s="709"/>
      <c r="L129" s="710"/>
      <c r="M129" s="711"/>
      <c r="N129" s="2041"/>
      <c r="O129" s="2041"/>
      <c r="P129" s="2090"/>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90"/>
      <c r="Q130" s="2035"/>
      <c r="R130" s="2023"/>
      <c r="S130" s="2023"/>
      <c r="T130" s="2023"/>
      <c r="U130" s="2023"/>
      <c r="V130" s="2023"/>
      <c r="W130" s="2023"/>
      <c r="X130" s="2023"/>
      <c r="Y130" s="2023"/>
      <c r="Z130" s="2023"/>
      <c r="AA130" s="2023"/>
      <c r="AB130" s="2023"/>
      <c r="AC130" s="2023"/>
    </row>
    <row r="131" spans="1:29" ht="15" thickTop="1">
      <c r="A131" s="725"/>
      <c r="B131" s="671">
        <f>B47</f>
        <v>111</v>
      </c>
      <c r="C131" s="651"/>
      <c r="D131" s="651"/>
      <c r="E131" s="651"/>
      <c r="F131" s="651"/>
      <c r="G131" s="712"/>
      <c r="H131" s="712"/>
      <c r="I131" s="712"/>
      <c r="J131" s="712"/>
      <c r="K131" s="651"/>
      <c r="L131" s="652"/>
      <c r="M131" s="715"/>
      <c r="N131" s="2041"/>
      <c r="O131" s="2041"/>
      <c r="P131" s="2090"/>
      <c r="Q131" s="2035"/>
      <c r="R131" s="2023"/>
      <c r="S131" s="2023"/>
      <c r="T131" s="2023"/>
      <c r="U131" s="2023"/>
      <c r="V131" s="2023"/>
      <c r="W131" s="2023"/>
      <c r="X131" s="2023"/>
      <c r="Y131" s="2023"/>
      <c r="Z131" s="2023"/>
      <c r="AA131" s="2023"/>
      <c r="AB131" s="2023"/>
      <c r="AC131" s="2023"/>
    </row>
    <row r="132" spans="1:29" ht="15.75" thickBot="1">
      <c r="A132" s="880"/>
      <c r="B132" s="689"/>
      <c r="C132" s="690"/>
      <c r="D132" s="690"/>
      <c r="E132" s="690"/>
      <c r="F132" s="690"/>
      <c r="G132" s="716"/>
      <c r="H132" s="716"/>
      <c r="I132" s="716"/>
      <c r="J132" s="716"/>
      <c r="K132" s="716"/>
      <c r="L132" s="716"/>
      <c r="M132" s="717"/>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53 H53">
    <cfRule type="containsText" dxfId="106" priority="20" stopIfTrue="1" operator="containsText" text="超过">
      <formula>NOT(ISERROR(SEARCH("超过",F53)))</formula>
    </cfRule>
  </conditionalFormatting>
  <conditionalFormatting sqref="H55">
    <cfRule type="containsText" dxfId="105" priority="19" stopIfTrue="1" operator="containsText" text="超过">
      <formula>NOT(ISERROR(SEARCH("超过",H55)))</formula>
    </cfRule>
  </conditionalFormatting>
  <conditionalFormatting sqref="F55">
    <cfRule type="containsText" dxfId="104" priority="18" stopIfTrue="1" operator="containsText" text="超过">
      <formula>NOT(ISERROR(SEARCH("超过",F55)))</formula>
    </cfRule>
  </conditionalFormatting>
  <conditionalFormatting sqref="F54 H54">
    <cfRule type="containsText" dxfId="103" priority="17" stopIfTrue="1" operator="containsText" text="超过">
      <formula>NOT(ISERROR(SEARCH("超过",F54)))</formula>
    </cfRule>
  </conditionalFormatting>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G55">
    <cfRule type="expression" dxfId="99" priority="13" stopIfTrue="1">
      <formula>$H$55="超过30%"</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J53">
    <cfRule type="containsText" dxfId="96" priority="10" stopIfTrue="1" operator="containsText" text="超过">
      <formula>NOT(ISERROR(SEARCH("超过",J53)))</formula>
    </cfRule>
  </conditionalFormatting>
  <conditionalFormatting sqref="J55">
    <cfRule type="containsText" dxfId="95" priority="9" stopIfTrue="1" operator="containsText" text="超过">
      <formula>NOT(ISERROR(SEARCH("超过",J55)))</formula>
    </cfRule>
  </conditionalFormatting>
  <conditionalFormatting sqref="J54">
    <cfRule type="containsText" dxfId="94" priority="8" stopIfTrue="1" operator="containsText" text="超过">
      <formula>NOT(ISERROR(SEARCH("超过",J54)))</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7:F47 H7:H47 J7:J47">
    <cfRule type="cellIs" dxfId="87"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sheetPr>
    <tabColor rgb="FF7030A0"/>
    <pageSetUpPr fitToPage="1"/>
  </sheetPr>
  <dimension ref="A1:AD259"/>
  <sheetViews>
    <sheetView view="pageBreakPreview" topLeftCell="A22" zoomScale="85" zoomScaleNormal="95" zoomScaleSheetLayoutView="85" workbookViewId="0">
      <selection activeCell="F83" sqref="F83"/>
    </sheetView>
  </sheetViews>
  <sheetFormatPr defaultColWidth="9" defaultRowHeight="14.25"/>
  <cols>
    <col min="1" max="1" width="15.625" style="1289" customWidth="1"/>
    <col min="2" max="2" width="15.875" style="1289" customWidth="1"/>
    <col min="3" max="3" width="23.37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30" s="1288" customFormat="1" ht="20.25">
      <c r="A1" s="494" t="s">
        <v>510</v>
      </c>
      <c r="B1" s="495"/>
      <c r="C1" s="496" t="s">
        <v>511</v>
      </c>
      <c r="D1" s="497" t="s">
        <v>512</v>
      </c>
      <c r="E1" s="498"/>
      <c r="F1" s="420"/>
      <c r="G1" s="498"/>
      <c r="H1" s="498"/>
      <c r="I1" s="498"/>
      <c r="J1" s="498"/>
      <c r="K1" s="499"/>
      <c r="L1" s="3203"/>
      <c r="M1" s="3204"/>
      <c r="N1" s="3204"/>
      <c r="O1" s="3204"/>
      <c r="P1" s="2010"/>
      <c r="Q1" s="2010"/>
      <c r="R1" s="2010"/>
      <c r="S1" s="2010"/>
      <c r="T1" s="2010"/>
      <c r="U1" s="2010"/>
      <c r="V1" s="2010"/>
      <c r="W1" s="2010"/>
      <c r="X1" s="2010"/>
      <c r="Y1" s="2010"/>
      <c r="Z1" s="2010"/>
      <c r="AA1" s="2010"/>
      <c r="AB1" s="2010"/>
      <c r="AC1" s="3205"/>
      <c r="AD1" s="1287"/>
    </row>
    <row r="2" spans="1:30" s="1288" customFormat="1" ht="20.25">
      <c r="A2" s="415" t="s">
        <v>461</v>
      </c>
      <c r="B2" s="500">
        <f>F68</f>
        <v>135248</v>
      </c>
      <c r="C2" s="3213"/>
      <c r="D2" s="3213"/>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c r="AD2" s="1287"/>
    </row>
    <row r="3" spans="1:30" s="1288" customFormat="1" ht="20.25">
      <c r="A3" s="1328" t="s">
        <v>1674</v>
      </c>
      <c r="B3" s="502">
        <f>ROUND(B2*10000/'数据-汇总表'!E3,0)</f>
        <v>11127</v>
      </c>
      <c r="C3" s="3214"/>
      <c r="D3" s="3218"/>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3206"/>
      <c r="AC3" s="1940"/>
    </row>
    <row r="4" spans="1:30" s="1288" customFormat="1" ht="20.25">
      <c r="A4" s="503" t="s">
        <v>514</v>
      </c>
      <c r="B4" s="419">
        <f>IF(B48="单位面积地价",C50,ROUND(B2*10000/'数据-汇总表'!D3,0))</f>
        <v>22369</v>
      </c>
      <c r="C4" s="3214"/>
      <c r="D4" s="3218"/>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30" s="1288" customFormat="1" ht="21" thickBot="1">
      <c r="A5" s="421"/>
      <c r="B5" s="422">
        <f>ROUND(B2/('数据-汇总表'!D3/666.67),0)</f>
        <v>1491</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2010"/>
      <c r="AC5" s="1940"/>
    </row>
    <row r="6" spans="1:30" ht="20.25">
      <c r="A6" s="504" t="s">
        <v>515</v>
      </c>
      <c r="B6" s="505"/>
      <c r="C6" s="3782" t="s">
        <v>516</v>
      </c>
      <c r="D6" s="3783"/>
      <c r="E6" s="3782" t="s">
        <v>517</v>
      </c>
      <c r="F6" s="3783"/>
      <c r="G6" s="3782" t="s">
        <v>518</v>
      </c>
      <c r="H6" s="3783"/>
      <c r="I6" s="3782" t="s">
        <v>519</v>
      </c>
      <c r="J6" s="3783"/>
      <c r="K6" s="506" t="s">
        <v>520</v>
      </c>
      <c r="L6" s="2011"/>
      <c r="M6" s="2010"/>
      <c r="N6" s="2010"/>
      <c r="O6" s="2012"/>
      <c r="P6" s="3786" t="s">
        <v>521</v>
      </c>
      <c r="Q6" s="3787"/>
      <c r="R6" s="3792" t="s">
        <v>517</v>
      </c>
      <c r="S6" s="3793"/>
      <c r="T6" s="3792" t="s">
        <v>518</v>
      </c>
      <c r="U6" s="3793"/>
      <c r="V6" s="3798" t="s">
        <v>519</v>
      </c>
      <c r="W6" s="3798"/>
      <c r="X6" s="3438"/>
      <c r="Y6" s="3792" t="s">
        <v>521</v>
      </c>
      <c r="Z6" s="3793"/>
      <c r="AA6" s="3779" t="s">
        <v>517</v>
      </c>
      <c r="AB6" s="3780" t="s">
        <v>518</v>
      </c>
      <c r="AC6" s="3779" t="s">
        <v>519</v>
      </c>
    </row>
    <row r="7" spans="1:30" ht="20.25">
      <c r="A7" s="507"/>
      <c r="B7" s="508"/>
      <c r="C7" s="3801" t="s">
        <v>2893</v>
      </c>
      <c r="D7" s="3802"/>
      <c r="E7" s="3801" t="str">
        <f>案例2021!B4</f>
        <v>海淀区海淀乡树村（27-604地块）六郎庄拆迁安置房北地块经营性配套部分</v>
      </c>
      <c r="F7" s="3802"/>
      <c r="G7" s="3801" t="str">
        <f>案例2021!B5</f>
        <v>海淀区海淀乡树村（27-605地块）六郎庄拆迁安置房南地块经营性配套部分</v>
      </c>
      <c r="H7" s="3802"/>
      <c r="I7" s="3801" t="str">
        <f>'案例-2019'!B5</f>
        <v>海淀区西北旺镇永丰产业基地（新）C4、C5地块公租房项目</v>
      </c>
      <c r="J7" s="3802"/>
      <c r="K7" s="506"/>
      <c r="L7" s="2011"/>
      <c r="M7" s="2010"/>
      <c r="N7" s="2010"/>
      <c r="O7" s="2012"/>
      <c r="P7" s="3788"/>
      <c r="Q7" s="3789"/>
      <c r="R7" s="3794"/>
      <c r="S7" s="3795"/>
      <c r="T7" s="3794"/>
      <c r="U7" s="3795"/>
      <c r="V7" s="3798"/>
      <c r="W7" s="3798"/>
      <c r="X7" s="3438"/>
      <c r="Y7" s="3794"/>
      <c r="Z7" s="3795"/>
      <c r="AA7" s="3780"/>
      <c r="AB7" s="3780"/>
      <c r="AC7" s="3780"/>
    </row>
    <row r="8" spans="1:30" ht="21" thickBot="1">
      <c r="A8" s="507"/>
      <c r="B8" s="508"/>
      <c r="C8" s="3823" t="s">
        <v>2897</v>
      </c>
      <c r="D8" s="3824"/>
      <c r="E8" s="3823" t="str">
        <f>'比较法-商业'!E8:F8</f>
        <v>海淀区树村</v>
      </c>
      <c r="F8" s="3824"/>
      <c r="G8" s="3806" t="str">
        <f>E8</f>
        <v>海淀区树村</v>
      </c>
      <c r="H8" s="3800"/>
      <c r="I8" s="3806" t="s">
        <v>2897</v>
      </c>
      <c r="J8" s="3800"/>
      <c r="K8" s="506" t="s">
        <v>522</v>
      </c>
      <c r="L8" s="2011"/>
      <c r="M8" s="2010"/>
      <c r="N8" s="2010"/>
      <c r="O8" s="2012"/>
      <c r="P8" s="3790"/>
      <c r="Q8" s="3791"/>
      <c r="R8" s="3794"/>
      <c r="S8" s="3795"/>
      <c r="T8" s="3796"/>
      <c r="U8" s="3797"/>
      <c r="V8" s="3798"/>
      <c r="W8" s="3798"/>
      <c r="X8" s="3438"/>
      <c r="Y8" s="3796"/>
      <c r="Z8" s="3797"/>
      <c r="AA8" s="3781"/>
      <c r="AB8" s="3781"/>
      <c r="AC8" s="3781"/>
    </row>
    <row r="9" spans="1:30" s="1201" customFormat="1" ht="21" thickBot="1">
      <c r="A9" s="2625"/>
      <c r="B9" s="2632" t="s">
        <v>523</v>
      </c>
      <c r="C9" s="2624">
        <f>'数据-取费表'!B2</f>
        <v>44412</v>
      </c>
      <c r="D9" s="512">
        <v>100</v>
      </c>
      <c r="E9" s="513">
        <f>'比较法-商业'!E9</f>
        <v>44263</v>
      </c>
      <c r="F9" s="3388">
        <f>SUMIF(72:72,YEAR(E9)&amp;"-"&amp;INT((MONTH(E9)+2)/3),73:73)</f>
        <v>97.797077792020502</v>
      </c>
      <c r="G9" s="515">
        <f>E9</f>
        <v>44263</v>
      </c>
      <c r="H9" s="3389">
        <f>SUMIF(72:72,YEAR(G9)&amp;"-"&amp;INT((MONTH(G9)+2)/3),73:73)</f>
        <v>97.797077792020502</v>
      </c>
      <c r="I9" s="515">
        <f>'比较法-商业'!G9</f>
        <v>44214</v>
      </c>
      <c r="J9" s="3389">
        <f>SUMIF(72:72,YEAR(I9)&amp;"-"&amp;INT((MONTH(I9)+2)/3),73:73)</f>
        <v>97.797077792020502</v>
      </c>
      <c r="K9" s="516"/>
      <c r="L9" s="2013"/>
      <c r="M9" s="2010"/>
      <c r="N9" s="2010"/>
      <c r="O9" s="2014"/>
      <c r="P9" s="3803" t="s">
        <v>524</v>
      </c>
      <c r="Q9" s="3805"/>
      <c r="R9" s="1499" t="s">
        <v>8</v>
      </c>
      <c r="S9" s="1500">
        <f t="shared" ref="S9:S17" si="0">F9</f>
        <v>97.797077792020502</v>
      </c>
      <c r="T9" s="1499" t="s">
        <v>8</v>
      </c>
      <c r="U9" s="1500">
        <f t="shared" ref="U9:U17" si="1">H9</f>
        <v>97.797077792020502</v>
      </c>
      <c r="V9" s="1499" t="s">
        <v>8</v>
      </c>
      <c r="W9" s="1500">
        <f t="shared" ref="W9:W17" si="2">J9</f>
        <v>97.797077792020502</v>
      </c>
      <c r="X9" s="1501"/>
      <c r="Y9" s="3803" t="s">
        <v>524</v>
      </c>
      <c r="Z9" s="3804"/>
      <c r="AA9" s="1502">
        <f>D9/F9</f>
        <v>1.0225254400000001</v>
      </c>
      <c r="AB9" s="1502">
        <f>D9/H9</f>
        <v>1.0225254400000001</v>
      </c>
      <c r="AC9" s="1502">
        <f>D9/J9</f>
        <v>1.0225254400000001</v>
      </c>
    </row>
    <row r="10" spans="1:30" s="1201" customFormat="1" ht="21" thickBot="1">
      <c r="A10" s="2626"/>
      <c r="B10" s="2633" t="s">
        <v>525</v>
      </c>
      <c r="C10" s="843" t="s">
        <v>526</v>
      </c>
      <c r="D10" s="512">
        <v>100</v>
      </c>
      <c r="E10" s="517" t="s">
        <v>3053</v>
      </c>
      <c r="F10" s="514">
        <f>SUMIF(75:75,E10,76:76)-SUMIF(75:75,C10,76:76)+100</f>
        <v>100</v>
      </c>
      <c r="G10" s="517" t="s">
        <v>3053</v>
      </c>
      <c r="H10" s="512">
        <f>SUMIF(75:75,G10,76:76)-SUMIF(75:75,C10,76:76)+100</f>
        <v>100</v>
      </c>
      <c r="I10" s="517" t="s">
        <v>3053</v>
      </c>
      <c r="J10" s="512">
        <f>SUMIF(75:75,I10,76:76)-SUMIF(75:75,C10,76:76)+100</f>
        <v>100</v>
      </c>
      <c r="K10" s="516"/>
      <c r="L10" s="2013"/>
      <c r="M10" s="2010"/>
      <c r="N10" s="2010"/>
      <c r="O10" s="2014"/>
      <c r="P10" s="3803" t="s">
        <v>527</v>
      </c>
      <c r="Q10" s="3804"/>
      <c r="R10" s="1499" t="s">
        <v>8</v>
      </c>
      <c r="S10" s="1500">
        <f t="shared" si="0"/>
        <v>100</v>
      </c>
      <c r="T10" s="1499" t="s">
        <v>8</v>
      </c>
      <c r="U10" s="1500">
        <f t="shared" si="1"/>
        <v>100</v>
      </c>
      <c r="V10" s="1499" t="s">
        <v>8</v>
      </c>
      <c r="W10" s="1500">
        <f t="shared" si="2"/>
        <v>100</v>
      </c>
      <c r="X10" s="1501"/>
      <c r="Y10" s="3803" t="s">
        <v>527</v>
      </c>
      <c r="Z10" s="3804"/>
      <c r="AA10" s="1502">
        <f t="shared" ref="AA10:AA47" si="3">D10/F10</f>
        <v>1</v>
      </c>
      <c r="AB10" s="1502">
        <f t="shared" ref="AB10:AB47" si="4">D10/H10</f>
        <v>1</v>
      </c>
      <c r="AC10" s="1502">
        <f t="shared" ref="AC10:AC47" si="5">D10/J10</f>
        <v>1</v>
      </c>
    </row>
    <row r="11" spans="1:30" s="1201" customFormat="1" ht="20.25">
      <c r="A11" s="2627"/>
      <c r="B11" s="2634" t="s">
        <v>2735</v>
      </c>
      <c r="C11" s="2621" t="s">
        <v>1667</v>
      </c>
      <c r="D11" s="250">
        <v>100</v>
      </c>
      <c r="E11" s="518" t="s">
        <v>1667</v>
      </c>
      <c r="F11" s="250">
        <f>SUMIF(77:77,E11,78:78)-SUMIF(77:77,C11,78:78)+100</f>
        <v>100</v>
      </c>
      <c r="G11" s="518" t="s">
        <v>1667</v>
      </c>
      <c r="H11" s="250">
        <f>SUMIF(77:77,G11,78:78)-SUMIF(77:77,C11,78:78)+100</f>
        <v>100</v>
      </c>
      <c r="I11" s="518" t="s">
        <v>1667</v>
      </c>
      <c r="J11" s="250">
        <f>SUMIF(77:77,I11,78:78)-SUMIF(77:77,C11,78:78)+100</f>
        <v>100</v>
      </c>
      <c r="K11" s="516"/>
      <c r="L11" s="2013"/>
      <c r="M11" s="2010"/>
      <c r="N11" s="2010"/>
      <c r="O11" s="2015"/>
      <c r="P11" s="3772" t="s">
        <v>529</v>
      </c>
      <c r="Q11" s="3433" t="str">
        <f t="shared" ref="Q11:Q17" si="6">B11</f>
        <v>用途</v>
      </c>
      <c r="R11" s="1499" t="s">
        <v>8</v>
      </c>
      <c r="S11" s="1500">
        <f t="shared" si="0"/>
        <v>100</v>
      </c>
      <c r="T11" s="1499" t="s">
        <v>8</v>
      </c>
      <c r="U11" s="1500">
        <f t="shared" si="1"/>
        <v>100</v>
      </c>
      <c r="V11" s="1499" t="s">
        <v>8</v>
      </c>
      <c r="W11" s="1500">
        <f t="shared" si="2"/>
        <v>100</v>
      </c>
      <c r="X11" s="1501"/>
      <c r="Y11" s="3675" t="s">
        <v>530</v>
      </c>
      <c r="Z11" s="3432" t="str">
        <f t="shared" ref="Z11:Z17" si="7">Q11</f>
        <v>用途</v>
      </c>
      <c r="AA11" s="1502">
        <f t="shared" si="3"/>
        <v>1</v>
      </c>
      <c r="AB11" s="1502">
        <f t="shared" si="4"/>
        <v>1</v>
      </c>
      <c r="AC11" s="1502">
        <f t="shared" si="5"/>
        <v>1</v>
      </c>
    </row>
    <row r="12" spans="1:30" s="1290" customFormat="1" ht="27">
      <c r="A12" s="2628"/>
      <c r="B12" s="2633" t="s">
        <v>2736</v>
      </c>
      <c r="C12" s="3396">
        <f>项目基本情况!G19</f>
        <v>33.119999999999997</v>
      </c>
      <c r="D12" s="251">
        <v>100</v>
      </c>
      <c r="E12" s="521" t="s">
        <v>3294</v>
      </c>
      <c r="F12" s="3474">
        <v>102</v>
      </c>
      <c r="G12" s="521" t="s">
        <v>3294</v>
      </c>
      <c r="H12" s="3474">
        <f>F12</f>
        <v>102</v>
      </c>
      <c r="I12" s="521" t="s">
        <v>3294</v>
      </c>
      <c r="J12" s="3474">
        <f>H12</f>
        <v>102</v>
      </c>
      <c r="K12" s="523"/>
      <c r="L12" s="2016"/>
      <c r="M12" s="2010"/>
      <c r="N12" s="2010"/>
      <c r="O12" s="2017"/>
      <c r="P12" s="3772"/>
      <c r="Q12" s="3433" t="str">
        <f t="shared" si="6"/>
        <v>土地使用年限（年）</v>
      </c>
      <c r="R12" s="1499" t="s">
        <v>8</v>
      </c>
      <c r="S12" s="1500">
        <f t="shared" si="0"/>
        <v>102</v>
      </c>
      <c r="T12" s="1499" t="s">
        <v>8</v>
      </c>
      <c r="U12" s="1500">
        <f t="shared" si="1"/>
        <v>102</v>
      </c>
      <c r="V12" s="1499" t="s">
        <v>8</v>
      </c>
      <c r="W12" s="1500">
        <f t="shared" si="2"/>
        <v>102</v>
      </c>
      <c r="X12" s="1501"/>
      <c r="Y12" s="3675"/>
      <c r="Z12" s="3432" t="str">
        <f t="shared" si="7"/>
        <v>土地使用年限（年）</v>
      </c>
      <c r="AA12" s="1502">
        <f t="shared" si="3"/>
        <v>0.98039215686274506</v>
      </c>
      <c r="AB12" s="1502">
        <f t="shared" si="4"/>
        <v>0.98039215686274506</v>
      </c>
      <c r="AC12" s="1502">
        <f t="shared" si="5"/>
        <v>0.98039215686274506</v>
      </c>
    </row>
    <row r="13" spans="1:30" ht="20.25">
      <c r="A13" s="2629"/>
      <c r="B13" s="2633" t="s">
        <v>2737</v>
      </c>
      <c r="C13" s="526">
        <f>'比较法-办公'!C13</f>
        <v>1.1000000000000001</v>
      </c>
      <c r="D13" s="251">
        <v>100</v>
      </c>
      <c r="E13" s="3487">
        <f>'比较法-办公'!E13</f>
        <v>2.0590000000000002</v>
      </c>
      <c r="F13" s="251">
        <f>LOOKUP(E13,82:82,83:83)-LOOKUP(C13,82:82,83:83)+100</f>
        <v>99.5</v>
      </c>
      <c r="G13" s="526">
        <f>'比较法-办公'!G13</f>
        <v>2.028</v>
      </c>
      <c r="H13" s="251">
        <f>LOOKUP(G13,82:82,83:83)-LOOKUP(C13,82:82,83:83)+100</f>
        <v>99.5</v>
      </c>
      <c r="I13" s="525">
        <f>'比较法-办公'!I13</f>
        <v>2.8</v>
      </c>
      <c r="J13" s="251">
        <f>LOOKUP(I13,82:82,83:83)-LOOKUP(C13,82:82,83:83)+100</f>
        <v>99.5</v>
      </c>
      <c r="K13" s="527">
        <f>'比较法-办公'!K13</f>
        <v>0.5</v>
      </c>
      <c r="L13" s="2018"/>
      <c r="M13" s="2010"/>
      <c r="N13" s="2010"/>
      <c r="O13" s="2019"/>
      <c r="P13" s="3772"/>
      <c r="Q13" s="3433" t="str">
        <f t="shared" si="6"/>
        <v>容积率</v>
      </c>
      <c r="R13" s="1499" t="s">
        <v>8</v>
      </c>
      <c r="S13" s="1500">
        <f t="shared" si="0"/>
        <v>99.5</v>
      </c>
      <c r="T13" s="1499" t="s">
        <v>8</v>
      </c>
      <c r="U13" s="1500">
        <f t="shared" si="1"/>
        <v>99.5</v>
      </c>
      <c r="V13" s="1499" t="s">
        <v>8</v>
      </c>
      <c r="W13" s="1500">
        <f t="shared" si="2"/>
        <v>99.5</v>
      </c>
      <c r="X13" s="1501"/>
      <c r="Y13" s="3675"/>
      <c r="Z13" s="3432" t="str">
        <f t="shared" si="7"/>
        <v>容积率</v>
      </c>
      <c r="AA13" s="1502">
        <f t="shared" si="3"/>
        <v>1.0050251256281406</v>
      </c>
      <c r="AB13" s="1502">
        <f t="shared" si="4"/>
        <v>1.0050251256281406</v>
      </c>
      <c r="AC13" s="1502">
        <f t="shared" si="5"/>
        <v>1.0050251256281406</v>
      </c>
    </row>
    <row r="14" spans="1:30" s="1201" customFormat="1" ht="20.25">
      <c r="A14" s="2626"/>
      <c r="B14" s="2635" t="s">
        <v>2738</v>
      </c>
      <c r="C14" s="2622"/>
      <c r="D14" s="530">
        <v>100</v>
      </c>
      <c r="E14" s="1323"/>
      <c r="F14" s="251">
        <f>SUMIF(84:84,E14,85:85)-SUMIF(84:84,C14,85:85)+100</f>
        <v>100</v>
      </c>
      <c r="G14" s="522"/>
      <c r="H14" s="251">
        <f>SUMIF(84:84,G14,85:85)-SUMIF(84:84,C14,85:85)+100</f>
        <v>100</v>
      </c>
      <c r="I14" s="521"/>
      <c r="J14" s="251">
        <f>SUMIF(84:84,I14,85:85)-SUMIF(84:84,C14,85:85)+100</f>
        <v>100</v>
      </c>
      <c r="K14" s="523"/>
      <c r="L14" s="2013"/>
      <c r="M14" s="2010"/>
      <c r="N14" s="2010"/>
      <c r="O14" s="2015"/>
      <c r="P14" s="3772"/>
      <c r="Q14" s="3433" t="str">
        <f t="shared" si="6"/>
        <v>配建</v>
      </c>
      <c r="R14" s="1499" t="s">
        <v>8</v>
      </c>
      <c r="S14" s="1500">
        <f t="shared" si="0"/>
        <v>100</v>
      </c>
      <c r="T14" s="1499" t="s">
        <v>8</v>
      </c>
      <c r="U14" s="1500">
        <f t="shared" si="1"/>
        <v>100</v>
      </c>
      <c r="V14" s="1499" t="s">
        <v>8</v>
      </c>
      <c r="W14" s="1500">
        <f t="shared" si="2"/>
        <v>100</v>
      </c>
      <c r="X14" s="1501"/>
      <c r="Y14" s="3675"/>
      <c r="Z14" s="3432" t="str">
        <f t="shared" si="7"/>
        <v>配建</v>
      </c>
      <c r="AA14" s="1502">
        <f>D14/F14</f>
        <v>1</v>
      </c>
      <c r="AB14" s="1502">
        <f>D14/H14</f>
        <v>1</v>
      </c>
      <c r="AC14" s="1502">
        <f>D14/J14</f>
        <v>1</v>
      </c>
    </row>
    <row r="15" spans="1:30" ht="20.25">
      <c r="A15" s="2630"/>
      <c r="B15" s="2636">
        <v>111</v>
      </c>
      <c r="C15" s="899"/>
      <c r="D15" s="532">
        <v>100</v>
      </c>
      <c r="E15" s="533"/>
      <c r="F15" s="251">
        <f>SUMIF(86:86,E15,87:87)-SUMIF(86:86,C15,87:87)+100</f>
        <v>100</v>
      </c>
      <c r="G15" s="534"/>
      <c r="H15" s="532">
        <f>SUMIF(86:86,G15,87:87)-SUMIF(86:86,C15,87:87)+100</f>
        <v>100</v>
      </c>
      <c r="I15" s="534"/>
      <c r="J15" s="532">
        <f>SUMIF(86:86,I15,87:87)-SUMIF(86:86,C15,87:87)+100</f>
        <v>100</v>
      </c>
      <c r="K15" s="523"/>
      <c r="L15" s="2020"/>
      <c r="M15" s="2010"/>
      <c r="N15" s="2010"/>
      <c r="O15" s="2019"/>
      <c r="P15" s="3772"/>
      <c r="Q15" s="3433">
        <f t="shared" si="6"/>
        <v>111</v>
      </c>
      <c r="R15" s="1499" t="s">
        <v>8</v>
      </c>
      <c r="S15" s="1500">
        <f t="shared" si="0"/>
        <v>100</v>
      </c>
      <c r="T15" s="1499" t="s">
        <v>8</v>
      </c>
      <c r="U15" s="1500">
        <f t="shared" si="1"/>
        <v>100</v>
      </c>
      <c r="V15" s="1499" t="s">
        <v>8</v>
      </c>
      <c r="W15" s="1500">
        <f t="shared" si="2"/>
        <v>100</v>
      </c>
      <c r="X15" s="1501"/>
      <c r="Y15" s="3675"/>
      <c r="Z15" s="3432">
        <f t="shared" si="7"/>
        <v>111</v>
      </c>
      <c r="AA15" s="1502">
        <f>D15/F15</f>
        <v>1</v>
      </c>
      <c r="AB15" s="1502">
        <f>D15/H15</f>
        <v>1</v>
      </c>
      <c r="AC15" s="1502">
        <f>D15/J15</f>
        <v>1</v>
      </c>
    </row>
    <row r="16" spans="1:30" ht="21" thickBot="1">
      <c r="A16" s="2631"/>
      <c r="B16" s="2637">
        <v>111</v>
      </c>
      <c r="C16" s="902"/>
      <c r="D16" s="538">
        <v>100</v>
      </c>
      <c r="E16" s="533"/>
      <c r="F16" s="538">
        <f>SUMIF(88:88,E16,89:89)-SUMIF(88:88,C16,89:89)+100</f>
        <v>100</v>
      </c>
      <c r="G16" s="534"/>
      <c r="H16" s="538">
        <f>SUMIF(88:88,G16,89:89)-SUMIF(88:88,C16,89:89)+100</f>
        <v>100</v>
      </c>
      <c r="I16" s="534"/>
      <c r="J16" s="538">
        <f>SUMIF(88:88,I16,89:89)-SUMIF(88:88,C16,89:89)+100</f>
        <v>100</v>
      </c>
      <c r="K16" s="523"/>
      <c r="L16" s="2020"/>
      <c r="M16" s="2010"/>
      <c r="N16" s="2010"/>
      <c r="O16" s="2019"/>
      <c r="P16" s="3772"/>
      <c r="Q16" s="3433">
        <f t="shared" si="6"/>
        <v>111</v>
      </c>
      <c r="R16" s="1499" t="s">
        <v>8</v>
      </c>
      <c r="S16" s="1500">
        <f t="shared" si="0"/>
        <v>100</v>
      </c>
      <c r="T16" s="1499" t="s">
        <v>8</v>
      </c>
      <c r="U16" s="1500">
        <f t="shared" si="1"/>
        <v>100</v>
      </c>
      <c r="V16" s="1499" t="s">
        <v>8</v>
      </c>
      <c r="W16" s="1500">
        <f t="shared" si="2"/>
        <v>100</v>
      </c>
      <c r="X16" s="1501"/>
      <c r="Y16" s="3675"/>
      <c r="Z16" s="3432">
        <f t="shared" si="7"/>
        <v>111</v>
      </c>
      <c r="AA16" s="1502">
        <f>D16/F16</f>
        <v>1</v>
      </c>
      <c r="AB16" s="1502">
        <f>D16/H16</f>
        <v>1</v>
      </c>
      <c r="AC16" s="1502">
        <f>D16/J16</f>
        <v>1</v>
      </c>
    </row>
    <row r="17" spans="1:29" ht="57">
      <c r="A17" s="2623" t="s">
        <v>2733</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0"/>
      <c r="M17" s="2010"/>
      <c r="N17" s="2010"/>
      <c r="O17" s="2019"/>
      <c r="P17" s="3774" t="s">
        <v>534</v>
      </c>
      <c r="Q17" s="3436" t="str">
        <f t="shared" si="6"/>
        <v>居住社区成熟度</v>
      </c>
      <c r="R17" s="1504" t="s">
        <v>8</v>
      </c>
      <c r="S17" s="1505">
        <f t="shared" si="0"/>
        <v>100</v>
      </c>
      <c r="T17" s="1504" t="s">
        <v>8</v>
      </c>
      <c r="U17" s="1505">
        <f t="shared" si="1"/>
        <v>100</v>
      </c>
      <c r="V17" s="1504" t="s">
        <v>8</v>
      </c>
      <c r="W17" s="1505">
        <f t="shared" si="2"/>
        <v>100</v>
      </c>
      <c r="X17" s="3438"/>
      <c r="Y17" s="3774" t="s">
        <v>534</v>
      </c>
      <c r="Z17" s="3437" t="str">
        <f t="shared" si="7"/>
        <v>居住社区成熟度</v>
      </c>
      <c r="AA17" s="3442">
        <f t="shared" si="3"/>
        <v>1</v>
      </c>
      <c r="AB17" s="3442">
        <f t="shared" si="4"/>
        <v>1</v>
      </c>
      <c r="AC17" s="3442">
        <f t="shared" si="5"/>
        <v>1</v>
      </c>
    </row>
    <row r="18" spans="1:29" ht="20.25">
      <c r="A18" s="524"/>
      <c r="B18" s="545"/>
      <c r="C18" s="546"/>
      <c r="D18" s="549"/>
      <c r="E18" s="550"/>
      <c r="F18" s="547"/>
      <c r="G18" s="548"/>
      <c r="H18" s="551"/>
      <c r="I18" s="550"/>
      <c r="J18" s="547"/>
      <c r="K18" s="523"/>
      <c r="L18" s="2020"/>
      <c r="M18" s="2010"/>
      <c r="N18" s="2010"/>
      <c r="O18" s="2019"/>
      <c r="P18" s="3775"/>
      <c r="Q18" s="3436"/>
      <c r="R18" s="1504"/>
      <c r="S18" s="1505"/>
      <c r="T18" s="1504"/>
      <c r="U18" s="1505"/>
      <c r="V18" s="1504"/>
      <c r="W18" s="1505"/>
      <c r="X18" s="3438"/>
      <c r="Y18" s="3775"/>
      <c r="Z18" s="3437"/>
      <c r="AA18" s="3442">
        <v>1</v>
      </c>
      <c r="AB18" s="3442">
        <v>1</v>
      </c>
      <c r="AC18" s="3442">
        <v>1</v>
      </c>
    </row>
    <row r="19" spans="1:29" ht="28.5">
      <c r="A19" s="524"/>
      <c r="B19" s="552" t="s">
        <v>535</v>
      </c>
      <c r="C19" s="553" t="str">
        <f>估价对象房地状况!C16</f>
        <v>安泰购购物中心 1.2，商业繁华度一般</v>
      </c>
      <c r="D19" s="555">
        <v>100</v>
      </c>
      <c r="E19" s="556"/>
      <c r="F19" s="551">
        <f>SUMIF(92:92,E20,93:93)-SUMIF(92:92,C20,93:93)+100</f>
        <v>100</v>
      </c>
      <c r="G19" s="554"/>
      <c r="H19" s="557">
        <f>SUMIF(92:92,G20,93:93)-SUMIF(92:92,C20,93:93)+100</f>
        <v>100</v>
      </c>
      <c r="I19" s="556"/>
      <c r="J19" s="557">
        <f>SUMIF(92:92,I20,93:93)-SUMIF(92:92,C20,93:93)+100</f>
        <v>100</v>
      </c>
      <c r="K19" s="527"/>
      <c r="L19" s="2020"/>
      <c r="M19" s="2010"/>
      <c r="N19" s="2010"/>
      <c r="O19" s="2019"/>
      <c r="P19" s="3775"/>
      <c r="Q19" s="3436" t="str">
        <f>B19</f>
        <v>商业繁华度</v>
      </c>
      <c r="R19" s="1504" t="s">
        <v>8</v>
      </c>
      <c r="S19" s="1505">
        <f>F19</f>
        <v>100</v>
      </c>
      <c r="T19" s="1504" t="s">
        <v>8</v>
      </c>
      <c r="U19" s="1505">
        <f>H19</f>
        <v>100</v>
      </c>
      <c r="V19" s="1504" t="s">
        <v>8</v>
      </c>
      <c r="W19" s="1505">
        <f>J19</f>
        <v>100</v>
      </c>
      <c r="X19" s="3438"/>
      <c r="Y19" s="3775"/>
      <c r="Z19" s="3437" t="str">
        <f>Q19</f>
        <v>商业繁华度</v>
      </c>
      <c r="AA19" s="3442">
        <f t="shared" si="3"/>
        <v>1</v>
      </c>
      <c r="AB19" s="3442">
        <f t="shared" si="4"/>
        <v>1</v>
      </c>
      <c r="AC19" s="3442">
        <f t="shared" si="5"/>
        <v>1</v>
      </c>
    </row>
    <row r="20" spans="1:29" ht="20.25">
      <c r="A20" s="524"/>
      <c r="B20" s="558"/>
      <c r="C20" s="559"/>
      <c r="D20" s="555"/>
      <c r="E20" s="561"/>
      <c r="F20" s="551"/>
      <c r="G20" s="560"/>
      <c r="H20" s="547"/>
      <c r="I20" s="561"/>
      <c r="J20" s="547"/>
      <c r="K20" s="523"/>
      <c r="L20" s="2020"/>
      <c r="M20" s="2010"/>
      <c r="N20" s="2010"/>
      <c r="O20" s="2019"/>
      <c r="P20" s="3775"/>
      <c r="Q20" s="3436"/>
      <c r="R20" s="1504"/>
      <c r="S20" s="1505"/>
      <c r="T20" s="1504"/>
      <c r="U20" s="1505"/>
      <c r="V20" s="1504"/>
      <c r="W20" s="1505"/>
      <c r="X20" s="3438"/>
      <c r="Y20" s="3775"/>
      <c r="Z20" s="3437"/>
      <c r="AA20" s="3442">
        <v>1</v>
      </c>
      <c r="AB20" s="3442">
        <v>1</v>
      </c>
      <c r="AC20" s="3442">
        <v>1</v>
      </c>
    </row>
    <row r="21" spans="1:29" ht="57">
      <c r="A21" s="524"/>
      <c r="B21" s="552" t="s">
        <v>536</v>
      </c>
      <c r="C21" s="553" t="str">
        <f>估价对象房地状况!C17</f>
        <v>卫生大厦、新浪总部大厦、百度科技园、网易大厦、腾讯北京总部大楼、联想总部等，办公集聚程度较好</v>
      </c>
      <c r="D21" s="563">
        <v>100</v>
      </c>
      <c r="E21" s="564"/>
      <c r="F21" s="557">
        <f>SUMIF(94:94,E22,95:95)-SUMIF(94:94,C22,95:95)+100</f>
        <v>100</v>
      </c>
      <c r="G21" s="562"/>
      <c r="H21" s="551">
        <f>SUMIF(94:94,G22,95:95)-SUMIF(94:94,C22,95:95)+100</f>
        <v>100</v>
      </c>
      <c r="I21" s="564"/>
      <c r="J21" s="551">
        <f>SUMIF(94:94,I22,95:95)-SUMIF(94:94,C22,95:95)+100</f>
        <v>99</v>
      </c>
      <c r="K21" s="527">
        <v>1</v>
      </c>
      <c r="L21" s="2020"/>
      <c r="M21" s="2010"/>
      <c r="N21" s="2010"/>
      <c r="O21" s="2019"/>
      <c r="P21" s="3775"/>
      <c r="Q21" s="3436" t="str">
        <f>B21</f>
        <v>办公集聚程度</v>
      </c>
      <c r="R21" s="1504" t="s">
        <v>8</v>
      </c>
      <c r="S21" s="1505">
        <f>F21</f>
        <v>100</v>
      </c>
      <c r="T21" s="1504" t="s">
        <v>8</v>
      </c>
      <c r="U21" s="1505">
        <f>H21</f>
        <v>100</v>
      </c>
      <c r="V21" s="1504" t="s">
        <v>8</v>
      </c>
      <c r="W21" s="1505">
        <f>J21</f>
        <v>99</v>
      </c>
      <c r="X21" s="3438"/>
      <c r="Y21" s="3775"/>
      <c r="Z21" s="3437" t="str">
        <f>Q21</f>
        <v>办公集聚程度</v>
      </c>
      <c r="AA21" s="3442">
        <f t="shared" si="3"/>
        <v>1</v>
      </c>
      <c r="AB21" s="3442">
        <f t="shared" si="4"/>
        <v>1</v>
      </c>
      <c r="AC21" s="3442">
        <f t="shared" si="5"/>
        <v>1.0101010101010102</v>
      </c>
    </row>
    <row r="22" spans="1:29" ht="20.25">
      <c r="A22" s="524"/>
      <c r="B22" s="558"/>
      <c r="C22" s="546" t="s">
        <v>3042</v>
      </c>
      <c r="D22" s="549"/>
      <c r="E22" s="550" t="s">
        <v>3042</v>
      </c>
      <c r="F22" s="547"/>
      <c r="G22" s="548" t="s">
        <v>3042</v>
      </c>
      <c r="H22" s="547"/>
      <c r="I22" s="550" t="s">
        <v>3040</v>
      </c>
      <c r="J22" s="547"/>
      <c r="K22" s="523"/>
      <c r="L22" s="2020"/>
      <c r="M22" s="2010"/>
      <c r="N22" s="2010"/>
      <c r="O22" s="2019"/>
      <c r="P22" s="3775"/>
      <c r="Q22" s="3436"/>
      <c r="R22" s="1504"/>
      <c r="S22" s="1505"/>
      <c r="T22" s="1504"/>
      <c r="U22" s="1505"/>
      <c r="V22" s="1504"/>
      <c r="W22" s="1505"/>
      <c r="X22" s="3438"/>
      <c r="Y22" s="3775"/>
      <c r="Z22" s="3437"/>
      <c r="AA22" s="3442">
        <v>1</v>
      </c>
      <c r="AB22" s="3442">
        <v>1</v>
      </c>
      <c r="AC22" s="3442">
        <v>1</v>
      </c>
    </row>
    <row r="23" spans="1:29" ht="99.75">
      <c r="A23" s="524"/>
      <c r="B23" s="552" t="s">
        <v>537</v>
      </c>
      <c r="C23" s="565" t="str">
        <f>估价对象房地状况!C18</f>
        <v>紧邻地铁16号线（西北旺站），周边有333路、384路、438路、570路、575路、623路、902路、908路、909路、快速直达专线152路、专143路等多条公交线路，交通便捷度好</v>
      </c>
      <c r="D23" s="555">
        <v>100</v>
      </c>
      <c r="E23" s="556"/>
      <c r="F23" s="557">
        <f>SUMIF(96:96,E24,97:97)-SUMIF(96:96,C24,97:97)+100</f>
        <v>100</v>
      </c>
      <c r="G23" s="554"/>
      <c r="H23" s="551">
        <f>SUMIF(96:96,G24,97:97)-SUMIF(96:96,C24,97:97)+100</f>
        <v>100</v>
      </c>
      <c r="I23" s="556"/>
      <c r="J23" s="551">
        <f>SUMIF(96:96,I24,97:97)-SUMIF(96:96,C24,97:97)+100</f>
        <v>100</v>
      </c>
      <c r="K23" s="527">
        <v>2</v>
      </c>
      <c r="L23" s="2020"/>
      <c r="M23" s="2010"/>
      <c r="N23" s="2010"/>
      <c r="O23" s="2019"/>
      <c r="P23" s="3775"/>
      <c r="Q23" s="3436" t="str">
        <f>B23</f>
        <v>交通便捷度</v>
      </c>
      <c r="R23" s="1504" t="s">
        <v>8</v>
      </c>
      <c r="S23" s="1505">
        <f>F23</f>
        <v>100</v>
      </c>
      <c r="T23" s="1504" t="s">
        <v>8</v>
      </c>
      <c r="U23" s="1505">
        <f>H23</f>
        <v>100</v>
      </c>
      <c r="V23" s="1504" t="s">
        <v>8</v>
      </c>
      <c r="W23" s="1505">
        <f>J23</f>
        <v>100</v>
      </c>
      <c r="X23" s="3438"/>
      <c r="Y23" s="3775"/>
      <c r="Z23" s="3437" t="str">
        <f>Q23</f>
        <v>交通便捷度</v>
      </c>
      <c r="AA23" s="3442">
        <f t="shared" si="3"/>
        <v>1</v>
      </c>
      <c r="AB23" s="3442">
        <f t="shared" si="4"/>
        <v>1</v>
      </c>
      <c r="AC23" s="3442">
        <f t="shared" si="5"/>
        <v>1</v>
      </c>
    </row>
    <row r="24" spans="1:29" ht="20.25">
      <c r="A24" s="524"/>
      <c r="B24" s="570"/>
      <c r="C24" s="546" t="s">
        <v>3042</v>
      </c>
      <c r="D24" s="549"/>
      <c r="E24" s="550" t="s">
        <v>3042</v>
      </c>
      <c r="F24" s="547"/>
      <c r="G24" s="548" t="s">
        <v>3042</v>
      </c>
      <c r="H24" s="547"/>
      <c r="I24" s="550" t="s">
        <v>3042</v>
      </c>
      <c r="J24" s="547"/>
      <c r="K24" s="523"/>
      <c r="L24" s="2020"/>
      <c r="M24" s="2010"/>
      <c r="N24" s="2010"/>
      <c r="O24" s="2019"/>
      <c r="P24" s="3775"/>
      <c r="Q24" s="3436"/>
      <c r="R24" s="1504"/>
      <c r="S24" s="1505"/>
      <c r="T24" s="1504"/>
      <c r="U24" s="1505"/>
      <c r="V24" s="1504"/>
      <c r="W24" s="1505"/>
      <c r="X24" s="3438"/>
      <c r="Y24" s="3775"/>
      <c r="Z24" s="3437"/>
      <c r="AA24" s="3442">
        <v>1</v>
      </c>
      <c r="AB24" s="3442">
        <v>1</v>
      </c>
      <c r="AC24" s="3442">
        <v>1</v>
      </c>
    </row>
    <row r="25" spans="1:29" ht="27">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0"/>
      <c r="M25" s="2010"/>
      <c r="N25" s="2010"/>
      <c r="O25" s="2019"/>
      <c r="P25" s="3775"/>
      <c r="Q25" s="3436" t="str">
        <f t="shared" ref="Q25:Q39" si="8">B25</f>
        <v>区域土地利用方向</v>
      </c>
      <c r="R25" s="1504" t="s">
        <v>8</v>
      </c>
      <c r="S25" s="1505">
        <f>F25</f>
        <v>100</v>
      </c>
      <c r="T25" s="1504" t="s">
        <v>8</v>
      </c>
      <c r="U25" s="1505">
        <f>H25</f>
        <v>100</v>
      </c>
      <c r="V25" s="1504" t="s">
        <v>8</v>
      </c>
      <c r="W25" s="1505">
        <f>J25</f>
        <v>100</v>
      </c>
      <c r="X25" s="3438"/>
      <c r="Y25" s="3775"/>
      <c r="Z25" s="3437" t="str">
        <f>Q25</f>
        <v>区域土地利用方向</v>
      </c>
      <c r="AA25" s="3442">
        <f t="shared" si="3"/>
        <v>1</v>
      </c>
      <c r="AB25" s="3442">
        <f t="shared" si="4"/>
        <v>1</v>
      </c>
      <c r="AC25" s="3442">
        <f t="shared" si="5"/>
        <v>1</v>
      </c>
    </row>
    <row r="26" spans="1:29" ht="20.25">
      <c r="A26" s="507"/>
      <c r="B26" s="992"/>
      <c r="C26" s="546" t="s">
        <v>3042</v>
      </c>
      <c r="D26" s="549"/>
      <c r="E26" s="550" t="s">
        <v>3042</v>
      </c>
      <c r="F26" s="547"/>
      <c r="G26" s="548" t="s">
        <v>3042</v>
      </c>
      <c r="H26" s="547"/>
      <c r="I26" s="550" t="s">
        <v>3042</v>
      </c>
      <c r="J26" s="547"/>
      <c r="K26" s="523"/>
      <c r="L26" s="2020"/>
      <c r="M26" s="2010"/>
      <c r="N26" s="2010"/>
      <c r="O26" s="2019"/>
      <c r="P26" s="3775"/>
      <c r="Q26" s="3436"/>
      <c r="R26" s="1504"/>
      <c r="S26" s="1505"/>
      <c r="T26" s="1504"/>
      <c r="U26" s="1505"/>
      <c r="V26" s="1504"/>
      <c r="W26" s="1505"/>
      <c r="X26" s="3438"/>
      <c r="Y26" s="3775"/>
      <c r="Z26" s="3437"/>
      <c r="AA26" s="3442"/>
      <c r="AB26" s="3442"/>
      <c r="AC26" s="3442"/>
    </row>
    <row r="27" spans="1:29" ht="99.75">
      <c r="A27" s="507"/>
      <c r="B27" s="570" t="s">
        <v>539</v>
      </c>
      <c r="C27" s="553" t="str">
        <f>估价对象房地状况!C20</f>
        <v>区域自然环境：百望山、药用植物园、百旺公园、首师大附中口袋公园、中关村公园、小关村公园、京密引水渠等；人文环境：西北旺镇政府；综合评价环境状况较好</v>
      </c>
      <c r="D27" s="555">
        <v>100</v>
      </c>
      <c r="E27" s="556"/>
      <c r="F27" s="551">
        <f>SUMIF(100:100,E28,101:101)-SUMIF(100:100,C28,101:101)+100</f>
        <v>100</v>
      </c>
      <c r="G27" s="554"/>
      <c r="H27" s="551">
        <f>SUMIF(100:100,G28,101:101)-SUMIF(100:100,C28,101:101)+100</f>
        <v>100</v>
      </c>
      <c r="I27" s="556"/>
      <c r="J27" s="551">
        <f>SUMIF(100:100,I28,101:101)-SUMIF(100:100,C28,101:101)+100</f>
        <v>98</v>
      </c>
      <c r="K27" s="527">
        <v>2</v>
      </c>
      <c r="L27" s="2020"/>
      <c r="M27" s="2010"/>
      <c r="N27" s="2010"/>
      <c r="O27" s="2019"/>
      <c r="P27" s="3775"/>
      <c r="Q27" s="3436" t="str">
        <f t="shared" si="8"/>
        <v>自然及人文环境状况</v>
      </c>
      <c r="R27" s="1504" t="s">
        <v>8</v>
      </c>
      <c r="S27" s="1505">
        <f>F27</f>
        <v>100</v>
      </c>
      <c r="T27" s="1504" t="s">
        <v>8</v>
      </c>
      <c r="U27" s="1505">
        <f>H27</f>
        <v>100</v>
      </c>
      <c r="V27" s="1504" t="s">
        <v>8</v>
      </c>
      <c r="W27" s="1505">
        <f>J27</f>
        <v>98</v>
      </c>
      <c r="X27" s="3438"/>
      <c r="Y27" s="3775"/>
      <c r="Z27" s="3437" t="str">
        <f>Q27</f>
        <v>自然及人文环境状况</v>
      </c>
      <c r="AA27" s="3442">
        <f t="shared" si="3"/>
        <v>1</v>
      </c>
      <c r="AB27" s="3442">
        <f t="shared" si="4"/>
        <v>1</v>
      </c>
      <c r="AC27" s="3442">
        <f t="shared" si="5"/>
        <v>1.0204081632653061</v>
      </c>
    </row>
    <row r="28" spans="1:29" ht="20.25">
      <c r="A28" s="507"/>
      <c r="B28" s="558"/>
      <c r="C28" s="546" t="s">
        <v>3041</v>
      </c>
      <c r="D28" s="549"/>
      <c r="E28" s="568" t="s">
        <v>3041</v>
      </c>
      <c r="F28" s="547"/>
      <c r="G28" s="546" t="s">
        <v>3041</v>
      </c>
      <c r="H28" s="547"/>
      <c r="I28" s="568" t="s">
        <v>3042</v>
      </c>
      <c r="J28" s="547"/>
      <c r="K28" s="523"/>
      <c r="L28" s="2020"/>
      <c r="M28" s="2010"/>
      <c r="N28" s="2010"/>
      <c r="O28" s="2019"/>
      <c r="P28" s="3775"/>
      <c r="Q28" s="3436"/>
      <c r="R28" s="1504"/>
      <c r="S28" s="1505"/>
      <c r="T28" s="1504"/>
      <c r="U28" s="1505"/>
      <c r="V28" s="1504"/>
      <c r="W28" s="1505"/>
      <c r="X28" s="3438"/>
      <c r="Y28" s="3775"/>
      <c r="Z28" s="3437"/>
      <c r="AA28" s="3442">
        <v>1</v>
      </c>
      <c r="AB28" s="3442">
        <v>1</v>
      </c>
      <c r="AC28" s="3442">
        <v>1</v>
      </c>
    </row>
    <row r="29" spans="1:29" s="1201" customFormat="1" ht="171">
      <c r="A29" s="569"/>
      <c r="B29" s="2431" t="s">
        <v>2529</v>
      </c>
      <c r="C29" s="565"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3"/>
      <c r="M29" s="2010"/>
      <c r="N29" s="2010"/>
      <c r="O29" s="2015"/>
      <c r="P29" s="3775"/>
      <c r="Q29" s="3433" t="str">
        <f t="shared" si="8"/>
        <v>公共配套设施</v>
      </c>
      <c r="R29" s="1499" t="s">
        <v>8</v>
      </c>
      <c r="S29" s="1500">
        <f>F29</f>
        <v>100</v>
      </c>
      <c r="T29" s="1499" t="s">
        <v>8</v>
      </c>
      <c r="U29" s="1500">
        <f>H29</f>
        <v>100</v>
      </c>
      <c r="V29" s="1499" t="s">
        <v>8</v>
      </c>
      <c r="W29" s="1500">
        <f>J29</f>
        <v>100</v>
      </c>
      <c r="X29" s="1501"/>
      <c r="Y29" s="3775"/>
      <c r="Z29" s="3432" t="str">
        <f>Q29</f>
        <v>公共配套设施</v>
      </c>
      <c r="AA29" s="3442">
        <f>D29/F29</f>
        <v>1</v>
      </c>
      <c r="AB29" s="3442">
        <f>D29/H29</f>
        <v>1</v>
      </c>
      <c r="AC29" s="3442">
        <f>D29/J29</f>
        <v>1</v>
      </c>
    </row>
    <row r="30" spans="1:29" s="1201" customFormat="1" ht="20.25">
      <c r="A30" s="569"/>
      <c r="B30" s="558"/>
      <c r="C30" s="571" t="s">
        <v>3042</v>
      </c>
      <c r="D30" s="549"/>
      <c r="E30" s="568" t="s">
        <v>3042</v>
      </c>
      <c r="F30" s="547"/>
      <c r="G30" s="546" t="s">
        <v>3042</v>
      </c>
      <c r="H30" s="547"/>
      <c r="I30" s="568" t="s">
        <v>3042</v>
      </c>
      <c r="J30" s="547"/>
      <c r="K30" s="523"/>
      <c r="L30" s="2013"/>
      <c r="M30" s="2010"/>
      <c r="N30" s="2010"/>
      <c r="O30" s="2015"/>
      <c r="P30" s="3775"/>
      <c r="Q30" s="3433"/>
      <c r="R30" s="1499"/>
      <c r="S30" s="1500"/>
      <c r="T30" s="1499"/>
      <c r="U30" s="1500"/>
      <c r="V30" s="1499"/>
      <c r="W30" s="1500"/>
      <c r="X30" s="1501"/>
      <c r="Y30" s="3775"/>
      <c r="Z30" s="3432"/>
      <c r="AA30" s="3442">
        <v>1</v>
      </c>
      <c r="AB30" s="3442">
        <v>1</v>
      </c>
      <c r="AC30" s="3442">
        <v>1</v>
      </c>
    </row>
    <row r="31" spans="1:29" s="1201" customFormat="1" ht="20.25">
      <c r="A31" s="569"/>
      <c r="B31" s="2431" t="s">
        <v>2530</v>
      </c>
      <c r="C31" s="565" t="str">
        <f>估价对象房地状况!C22</f>
        <v>七通</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3"/>
      <c r="M31" s="2010"/>
      <c r="N31" s="2010"/>
      <c r="O31" s="2015"/>
      <c r="P31" s="3775"/>
      <c r="Q31" s="3433" t="str">
        <f t="shared" ref="Q31" si="9">B31</f>
        <v>基础设施水平</v>
      </c>
      <c r="R31" s="1499" t="s">
        <v>8</v>
      </c>
      <c r="S31" s="1500">
        <f>F31</f>
        <v>100</v>
      </c>
      <c r="T31" s="1499" t="s">
        <v>8</v>
      </c>
      <c r="U31" s="1500">
        <f>H31</f>
        <v>100</v>
      </c>
      <c r="V31" s="1499" t="s">
        <v>8</v>
      </c>
      <c r="W31" s="1500">
        <f>J31</f>
        <v>100</v>
      </c>
      <c r="X31" s="1501"/>
      <c r="Y31" s="3775"/>
      <c r="Z31" s="3432" t="str">
        <f>Q31</f>
        <v>基础设施水平</v>
      </c>
      <c r="AA31" s="3442">
        <f>D31/F31</f>
        <v>1</v>
      </c>
      <c r="AB31" s="3442">
        <f>D31/H31</f>
        <v>1</v>
      </c>
      <c r="AC31" s="3442">
        <f>D31/J31</f>
        <v>1</v>
      </c>
    </row>
    <row r="32" spans="1:29" s="1201" customFormat="1" ht="20.25">
      <c r="A32" s="569"/>
      <c r="B32" s="558"/>
      <c r="C32" s="571" t="s">
        <v>3027</v>
      </c>
      <c r="D32" s="549"/>
      <c r="E32" s="2432" t="s">
        <v>3027</v>
      </c>
      <c r="F32" s="547"/>
      <c r="G32" s="571" t="s">
        <v>3027</v>
      </c>
      <c r="H32" s="547"/>
      <c r="I32" s="571" t="s">
        <v>3027</v>
      </c>
      <c r="J32" s="547"/>
      <c r="K32" s="523"/>
      <c r="L32" s="2013"/>
      <c r="M32" s="2010"/>
      <c r="N32" s="2010"/>
      <c r="O32" s="2015"/>
      <c r="P32" s="3775"/>
      <c r="Q32" s="3433"/>
      <c r="R32" s="1499"/>
      <c r="S32" s="1500"/>
      <c r="T32" s="1499"/>
      <c r="U32" s="1500"/>
      <c r="V32" s="1499"/>
      <c r="W32" s="1500"/>
      <c r="X32" s="1501"/>
      <c r="Y32" s="3775"/>
      <c r="Z32" s="3432"/>
      <c r="AA32" s="3442">
        <v>1</v>
      </c>
      <c r="AB32" s="3442">
        <v>1</v>
      </c>
      <c r="AC32" s="3442">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0"/>
      <c r="M33" s="2010"/>
      <c r="N33" s="2010"/>
      <c r="O33" s="2019"/>
      <c r="P33" s="3775"/>
      <c r="Q33" s="3436" t="str">
        <f t="shared" si="8"/>
        <v>临街状况</v>
      </c>
      <c r="R33" s="1504" t="s">
        <v>8</v>
      </c>
      <c r="S33" s="1505">
        <f t="shared" ref="S33:S47" si="10">F33</f>
        <v>100</v>
      </c>
      <c r="T33" s="1504" t="s">
        <v>8</v>
      </c>
      <c r="U33" s="1505">
        <f t="shared" ref="U33:U47" si="11">H33</f>
        <v>100</v>
      </c>
      <c r="V33" s="1504" t="s">
        <v>8</v>
      </c>
      <c r="W33" s="1505">
        <f t="shared" ref="W33:W47" si="12">J33</f>
        <v>100</v>
      </c>
      <c r="X33" s="3438"/>
      <c r="Y33" s="3775"/>
      <c r="Z33" s="3437" t="str">
        <f t="shared" ref="Z33:Z47" si="13">Q33</f>
        <v>临街状况</v>
      </c>
      <c r="AA33" s="3442">
        <f t="shared" si="3"/>
        <v>1</v>
      </c>
      <c r="AB33" s="3442">
        <f t="shared" si="4"/>
        <v>1</v>
      </c>
      <c r="AC33" s="3442">
        <f t="shared" si="5"/>
        <v>1</v>
      </c>
    </row>
    <row r="34" spans="1:29" ht="27">
      <c r="A34" s="524"/>
      <c r="B34" s="570" t="s">
        <v>542</v>
      </c>
      <c r="C34" s="554"/>
      <c r="D34" s="555">
        <v>100</v>
      </c>
      <c r="E34" s="556"/>
      <c r="F34" s="551">
        <f>SUMIF(108:108,E35,109:109)-SUMIF(108:108,C35,109:109)+100</f>
        <v>100</v>
      </c>
      <c r="G34" s="554"/>
      <c r="H34" s="551">
        <f>SUMIF(108:108,G35,109:109)-SUMIF(108:108,C35,109:109)+100</f>
        <v>100</v>
      </c>
      <c r="I34" s="3390"/>
      <c r="J34" s="551">
        <f>SUMIF(108:108,I35,109:109)-SUMIF(108:108,C35,109:109)+100</f>
        <v>100</v>
      </c>
      <c r="K34" s="527">
        <v>2</v>
      </c>
      <c r="L34" s="2020"/>
      <c r="M34" s="2010"/>
      <c r="N34" s="2010"/>
      <c r="O34" s="2019"/>
      <c r="P34" s="3775"/>
      <c r="Q34" s="3436" t="str">
        <f t="shared" si="8"/>
        <v>毗邻道路的类型与等级</v>
      </c>
      <c r="R34" s="1504" t="s">
        <v>8</v>
      </c>
      <c r="S34" s="1505">
        <f t="shared" si="10"/>
        <v>100</v>
      </c>
      <c r="T34" s="1504" t="s">
        <v>8</v>
      </c>
      <c r="U34" s="1505">
        <f t="shared" si="11"/>
        <v>100</v>
      </c>
      <c r="V34" s="1504" t="s">
        <v>8</v>
      </c>
      <c r="W34" s="1505">
        <f t="shared" si="12"/>
        <v>100</v>
      </c>
      <c r="X34" s="3438"/>
      <c r="Y34" s="3775"/>
      <c r="Z34" s="3437" t="str">
        <f t="shared" si="13"/>
        <v>毗邻道路的类型与等级</v>
      </c>
      <c r="AA34" s="3442">
        <f t="shared" si="3"/>
        <v>1</v>
      </c>
      <c r="AB34" s="3442">
        <f t="shared" si="4"/>
        <v>1</v>
      </c>
      <c r="AC34" s="3442">
        <f t="shared" si="5"/>
        <v>1</v>
      </c>
    </row>
    <row r="35" spans="1:29" ht="20.25">
      <c r="A35" s="524"/>
      <c r="B35" s="558"/>
      <c r="C35" s="546" t="s">
        <v>3257</v>
      </c>
      <c r="D35" s="549"/>
      <c r="E35" s="568" t="s">
        <v>3257</v>
      </c>
      <c r="F35" s="547"/>
      <c r="G35" s="546" t="s">
        <v>3257</v>
      </c>
      <c r="H35" s="547"/>
      <c r="I35" s="568" t="s">
        <v>3257</v>
      </c>
      <c r="J35" s="547"/>
      <c r="K35" s="573"/>
      <c r="L35" s="2020"/>
      <c r="M35" s="2010"/>
      <c r="N35" s="2010"/>
      <c r="O35" s="2019"/>
      <c r="P35" s="3775"/>
      <c r="Q35" s="3436"/>
      <c r="R35" s="1504"/>
      <c r="S35" s="1505"/>
      <c r="T35" s="1504"/>
      <c r="U35" s="1505"/>
      <c r="V35" s="1504"/>
      <c r="W35" s="1505"/>
      <c r="X35" s="3438"/>
      <c r="Y35" s="3775"/>
      <c r="Z35" s="3437"/>
      <c r="AA35" s="3442">
        <v>1</v>
      </c>
      <c r="AB35" s="3442">
        <v>1</v>
      </c>
      <c r="AC35" s="3442">
        <v>1</v>
      </c>
    </row>
    <row r="36" spans="1:29" ht="20.25">
      <c r="A36" s="524"/>
      <c r="B36" s="574" t="s">
        <v>543</v>
      </c>
      <c r="C36" s="572" t="s">
        <v>1398</v>
      </c>
      <c r="D36" s="567">
        <v>100</v>
      </c>
      <c r="E36" s="575" t="s">
        <v>1398</v>
      </c>
      <c r="F36" s="532">
        <f>SUMIF(110:110,E36,111:111)-SUMIF(110:110,C36,111:111)+100</f>
        <v>100</v>
      </c>
      <c r="G36" s="572" t="s">
        <v>1398</v>
      </c>
      <c r="H36" s="532">
        <f>SUMIF(110:110,G36,111:111)-SUMIF(110:110,C36,111:111)+100</f>
        <v>100</v>
      </c>
      <c r="I36" s="575" t="s">
        <v>1398</v>
      </c>
      <c r="J36" s="532">
        <f>SUMIF(110:110,I36,111:111)-SUMIF(110:110,C36,111:111)+100</f>
        <v>100</v>
      </c>
      <c r="K36" s="576">
        <v>2</v>
      </c>
      <c r="L36" s="2020"/>
      <c r="M36" s="2010"/>
      <c r="N36" s="2010"/>
      <c r="O36" s="2019"/>
      <c r="P36" s="3775"/>
      <c r="Q36" s="3436" t="str">
        <f t="shared" si="8"/>
        <v>土地级别</v>
      </c>
      <c r="R36" s="1504" t="s">
        <v>8</v>
      </c>
      <c r="S36" s="1505">
        <f t="shared" si="10"/>
        <v>100</v>
      </c>
      <c r="T36" s="1504" t="s">
        <v>8</v>
      </c>
      <c r="U36" s="1505">
        <f t="shared" si="11"/>
        <v>100</v>
      </c>
      <c r="V36" s="1504" t="s">
        <v>8</v>
      </c>
      <c r="W36" s="1505">
        <f t="shared" si="12"/>
        <v>100</v>
      </c>
      <c r="X36" s="3438"/>
      <c r="Y36" s="3775"/>
      <c r="Z36" s="3437" t="str">
        <f t="shared" si="13"/>
        <v>土地级别</v>
      </c>
      <c r="AA36" s="3442">
        <f t="shared" si="3"/>
        <v>1</v>
      </c>
      <c r="AB36" s="3442">
        <f t="shared" si="4"/>
        <v>1</v>
      </c>
      <c r="AC36" s="3442">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0"/>
      <c r="M37" s="2010"/>
      <c r="N37" s="2010"/>
      <c r="O37" s="2019"/>
      <c r="P37" s="3775"/>
      <c r="Q37" s="3436">
        <f t="shared" si="8"/>
        <v>111</v>
      </c>
      <c r="R37" s="1504" t="s">
        <v>8</v>
      </c>
      <c r="S37" s="1505">
        <f t="shared" si="10"/>
        <v>100</v>
      </c>
      <c r="T37" s="1504" t="s">
        <v>8</v>
      </c>
      <c r="U37" s="1505">
        <f t="shared" si="11"/>
        <v>100</v>
      </c>
      <c r="V37" s="1504" t="s">
        <v>8</v>
      </c>
      <c r="W37" s="1505">
        <f t="shared" si="12"/>
        <v>100</v>
      </c>
      <c r="X37" s="3438"/>
      <c r="Y37" s="3775"/>
      <c r="Z37" s="3437">
        <f t="shared" si="13"/>
        <v>111</v>
      </c>
      <c r="AA37" s="3442">
        <f t="shared" si="3"/>
        <v>1</v>
      </c>
      <c r="AB37" s="3442">
        <f t="shared" si="4"/>
        <v>1</v>
      </c>
      <c r="AC37" s="3442">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0"/>
      <c r="M38" s="2010"/>
      <c r="N38" s="2010"/>
      <c r="O38" s="2019"/>
      <c r="P38" s="3776" t="s">
        <v>544</v>
      </c>
      <c r="Q38" s="3436">
        <f t="shared" si="8"/>
        <v>111</v>
      </c>
      <c r="R38" s="1504" t="s">
        <v>8</v>
      </c>
      <c r="S38" s="1505">
        <f t="shared" si="10"/>
        <v>100</v>
      </c>
      <c r="T38" s="1504" t="s">
        <v>8</v>
      </c>
      <c r="U38" s="1505">
        <f t="shared" si="11"/>
        <v>100</v>
      </c>
      <c r="V38" s="1504" t="s">
        <v>8</v>
      </c>
      <c r="W38" s="1505">
        <f t="shared" si="12"/>
        <v>100</v>
      </c>
      <c r="X38" s="3438"/>
      <c r="Y38" s="3777" t="s">
        <v>544</v>
      </c>
      <c r="Z38" s="3437">
        <f t="shared" si="13"/>
        <v>111</v>
      </c>
      <c r="AA38" s="3442">
        <f t="shared" si="3"/>
        <v>1</v>
      </c>
      <c r="AB38" s="3442">
        <f t="shared" si="4"/>
        <v>1</v>
      </c>
      <c r="AC38" s="3442">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8"/>
      <c r="M39" s="2010"/>
      <c r="N39" s="2010"/>
      <c r="O39" s="2021"/>
      <c r="P39" s="3777"/>
      <c r="Q39" s="3436">
        <f t="shared" si="8"/>
        <v>111</v>
      </c>
      <c r="R39" s="1508" t="s">
        <v>8</v>
      </c>
      <c r="S39" s="1509">
        <f t="shared" si="10"/>
        <v>100</v>
      </c>
      <c r="T39" s="1508" t="s">
        <v>8</v>
      </c>
      <c r="U39" s="1509">
        <f t="shared" si="11"/>
        <v>100</v>
      </c>
      <c r="V39" s="1508" t="s">
        <v>8</v>
      </c>
      <c r="W39" s="1509">
        <f t="shared" si="12"/>
        <v>100</v>
      </c>
      <c r="X39" s="1510"/>
      <c r="Y39" s="3777"/>
      <c r="Z39" s="1511">
        <f t="shared" si="13"/>
        <v>111</v>
      </c>
      <c r="AA39" s="3442">
        <f t="shared" si="3"/>
        <v>1</v>
      </c>
      <c r="AB39" s="3442">
        <f t="shared" si="4"/>
        <v>1</v>
      </c>
      <c r="AC39" s="3442">
        <f t="shared" si="5"/>
        <v>1</v>
      </c>
    </row>
    <row r="40" spans="1:29" ht="20.25">
      <c r="A40" s="2620" t="s">
        <v>2734</v>
      </c>
      <c r="B40" s="587" t="s">
        <v>546</v>
      </c>
      <c r="C40" s="588">
        <f>'数据-基础表'!A3</f>
        <v>60461.7</v>
      </c>
      <c r="D40" s="589">
        <v>100</v>
      </c>
      <c r="E40" s="588">
        <f>'比较法-商业'!E40</f>
        <v>11822</v>
      </c>
      <c r="F40" s="589">
        <f>LOOKUP(E40,119:119,120:120)-LOOKUP(C40,119:119,120:120)+100</f>
        <v>98.5</v>
      </c>
      <c r="G40" s="588">
        <v>14849.34</v>
      </c>
      <c r="H40" s="589">
        <f>LOOKUP(G40,119:119,120:120)-LOOKUP(C40,119:119,120:120)+100</f>
        <v>98.5</v>
      </c>
      <c r="I40" s="590">
        <f>'比较法-商业'!G40</f>
        <v>2118.1559999999999</v>
      </c>
      <c r="J40" s="589">
        <f>LOOKUP(I40,119:119,120:120)-LOOKUP(C40,119:119,120:120)+100</f>
        <v>98.5</v>
      </c>
      <c r="K40" s="573"/>
      <c r="L40" s="2020"/>
      <c r="M40" s="2010"/>
      <c r="N40" s="2010"/>
      <c r="O40" s="2019"/>
      <c r="P40" s="3777"/>
      <c r="Q40" s="3436" t="str">
        <f>B40</f>
        <v>宗地面积</v>
      </c>
      <c r="R40" s="1504" t="s">
        <v>8</v>
      </c>
      <c r="S40" s="1505">
        <f t="shared" si="10"/>
        <v>98.5</v>
      </c>
      <c r="T40" s="1504" t="s">
        <v>8</v>
      </c>
      <c r="U40" s="1505">
        <f t="shared" si="11"/>
        <v>98.5</v>
      </c>
      <c r="V40" s="1504" t="s">
        <v>8</v>
      </c>
      <c r="W40" s="1505">
        <f t="shared" si="12"/>
        <v>98.5</v>
      </c>
      <c r="X40" s="3438"/>
      <c r="Y40" s="3777"/>
      <c r="Z40" s="3437" t="str">
        <f t="shared" si="13"/>
        <v>宗地面积</v>
      </c>
      <c r="AA40" s="3442">
        <f t="shared" si="3"/>
        <v>1.015228426395939</v>
      </c>
      <c r="AB40" s="3442">
        <f t="shared" si="4"/>
        <v>1.015228426395939</v>
      </c>
      <c r="AC40" s="3442">
        <f t="shared" si="5"/>
        <v>1.015228426395939</v>
      </c>
    </row>
    <row r="41" spans="1:29" ht="20.25">
      <c r="A41" s="586"/>
      <c r="B41" s="519" t="s">
        <v>547</v>
      </c>
      <c r="C41" s="591" t="s">
        <v>3281</v>
      </c>
      <c r="D41" s="532">
        <v>100</v>
      </c>
      <c r="E41" s="591" t="s">
        <v>3281</v>
      </c>
      <c r="F41" s="532">
        <f>SUMIF(121:121,E41,122:122)-SUMIF(121:121,C41,122:122)+100</f>
        <v>100</v>
      </c>
      <c r="G41" s="591" t="s">
        <v>3281</v>
      </c>
      <c r="H41" s="532">
        <f>SUMIF(121:121,G41,122:122)-SUMIF(121:121,C41,122:122)+100</f>
        <v>100</v>
      </c>
      <c r="I41" s="591" t="s">
        <v>3281</v>
      </c>
      <c r="J41" s="532">
        <f>SUMIF(121:121,I41,122:122)-SUMIF(121:121,C41,122:122)+100</f>
        <v>100</v>
      </c>
      <c r="K41" s="576"/>
      <c r="L41" s="2020"/>
      <c r="M41" s="2010"/>
      <c r="N41" s="2010"/>
      <c r="O41" s="2019"/>
      <c r="P41" s="3777"/>
      <c r="Q41" s="3436" t="str">
        <f t="shared" ref="Q41:Q47" si="14">B41</f>
        <v>宗地形状</v>
      </c>
      <c r="R41" s="1504" t="s">
        <v>8</v>
      </c>
      <c r="S41" s="1505">
        <f t="shared" si="10"/>
        <v>100</v>
      </c>
      <c r="T41" s="1504" t="s">
        <v>8</v>
      </c>
      <c r="U41" s="1505">
        <f t="shared" si="11"/>
        <v>100</v>
      </c>
      <c r="V41" s="1504" t="s">
        <v>8</v>
      </c>
      <c r="W41" s="1505">
        <f t="shared" si="12"/>
        <v>100</v>
      </c>
      <c r="X41" s="3438"/>
      <c r="Y41" s="3777"/>
      <c r="Z41" s="3437" t="str">
        <f t="shared" si="13"/>
        <v>宗地形状</v>
      </c>
      <c r="AA41" s="3442">
        <f t="shared" si="3"/>
        <v>1</v>
      </c>
      <c r="AB41" s="3442">
        <f t="shared" si="4"/>
        <v>1</v>
      </c>
      <c r="AC41" s="3442">
        <f t="shared" si="5"/>
        <v>1</v>
      </c>
    </row>
    <row r="42" spans="1:29" ht="20.25">
      <c r="A42" s="586"/>
      <c r="B42" s="519" t="s">
        <v>548</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0"/>
      <c r="M42" s="2010"/>
      <c r="N42" s="2010"/>
      <c r="O42" s="2019"/>
      <c r="P42" s="3777"/>
      <c r="Q42" s="3436" t="str">
        <f t="shared" si="14"/>
        <v>临街宽度及深度</v>
      </c>
      <c r="R42" s="1504" t="s">
        <v>8</v>
      </c>
      <c r="S42" s="1505">
        <f t="shared" si="10"/>
        <v>100</v>
      </c>
      <c r="T42" s="1504" t="s">
        <v>8</v>
      </c>
      <c r="U42" s="1505">
        <f t="shared" si="11"/>
        <v>100</v>
      </c>
      <c r="V42" s="1504" t="s">
        <v>8</v>
      </c>
      <c r="W42" s="1505">
        <f t="shared" si="12"/>
        <v>100</v>
      </c>
      <c r="X42" s="3438"/>
      <c r="Y42" s="3777"/>
      <c r="Z42" s="3437" t="str">
        <f t="shared" si="13"/>
        <v>临街宽度及深度</v>
      </c>
      <c r="AA42" s="3442">
        <f t="shared" si="3"/>
        <v>1</v>
      </c>
      <c r="AB42" s="3442">
        <f t="shared" si="4"/>
        <v>1</v>
      </c>
      <c r="AC42" s="3442">
        <f t="shared" si="5"/>
        <v>1</v>
      </c>
    </row>
    <row r="43" spans="1:29" s="1201" customFormat="1" ht="20.25">
      <c r="A43" s="592"/>
      <c r="B43" s="1805" t="s">
        <v>2408</v>
      </c>
      <c r="C43" s="593" t="s">
        <v>3027</v>
      </c>
      <c r="D43" s="251">
        <v>100</v>
      </c>
      <c r="E43" s="593" t="s">
        <v>3027</v>
      </c>
      <c r="F43" s="532">
        <f>SUMIF(125:125,E43,126:126)-SUMIF(125:125,C43,126:126)+100</f>
        <v>100</v>
      </c>
      <c r="G43" s="593" t="s">
        <v>3027</v>
      </c>
      <c r="H43" s="532">
        <f>SUMIF(125:125,G43,126:126)-SUMIF(125:125,C43,126:126)+100</f>
        <v>100</v>
      </c>
      <c r="I43" s="593" t="s">
        <v>3027</v>
      </c>
      <c r="J43" s="532">
        <f>SUMIF(125:125,I43,126:126)-SUMIF(125:125,C43,126:126)+100</f>
        <v>100</v>
      </c>
      <c r="K43" s="576"/>
      <c r="L43" s="2013"/>
      <c r="M43" s="2010"/>
      <c r="N43" s="2010"/>
      <c r="O43" s="2015"/>
      <c r="P43" s="3777"/>
      <c r="Q43" s="3436" t="str">
        <f t="shared" si="14"/>
        <v>宗地开发程度</v>
      </c>
      <c r="R43" s="1499" t="s">
        <v>8</v>
      </c>
      <c r="S43" s="1500">
        <f t="shared" si="10"/>
        <v>100</v>
      </c>
      <c r="T43" s="1499" t="s">
        <v>8</v>
      </c>
      <c r="U43" s="1500">
        <f t="shared" si="11"/>
        <v>100</v>
      </c>
      <c r="V43" s="1499" t="s">
        <v>8</v>
      </c>
      <c r="W43" s="1500">
        <f t="shared" si="12"/>
        <v>100</v>
      </c>
      <c r="X43" s="1501"/>
      <c r="Y43" s="3777"/>
      <c r="Z43" s="3432" t="str">
        <f t="shared" si="13"/>
        <v>宗地开发程度</v>
      </c>
      <c r="AA43" s="1502">
        <f t="shared" si="3"/>
        <v>1</v>
      </c>
      <c r="AB43" s="1502">
        <f t="shared" si="4"/>
        <v>1</v>
      </c>
      <c r="AC43" s="1502">
        <f t="shared" si="5"/>
        <v>1</v>
      </c>
    </row>
    <row r="44" spans="1:29" ht="20.25">
      <c r="A44" s="586"/>
      <c r="B44" s="519" t="s">
        <v>549</v>
      </c>
      <c r="C44" s="591" t="s">
        <v>3042</v>
      </c>
      <c r="D44" s="532">
        <v>100</v>
      </c>
      <c r="E44" s="591" t="s">
        <v>3042</v>
      </c>
      <c r="F44" s="532">
        <f>SUMIF(127:127,E44,128:128)-SUMIF(127:127,C44,128:128)+100</f>
        <v>100</v>
      </c>
      <c r="G44" s="591" t="s">
        <v>3042</v>
      </c>
      <c r="H44" s="532">
        <f>SUMIF(127:127,G44,128:128)-SUMIF(127:127,C44,128:128)+100</f>
        <v>100</v>
      </c>
      <c r="I44" s="591" t="s">
        <v>3042</v>
      </c>
      <c r="J44" s="532">
        <f>SUMIF(127:127,I44,128:128)-SUMIF(127:127,C44,128:128)+100</f>
        <v>100</v>
      </c>
      <c r="K44" s="576"/>
      <c r="L44" s="2020"/>
      <c r="M44" s="2010"/>
      <c r="N44" s="2010"/>
      <c r="O44" s="2019"/>
      <c r="P44" s="3777" t="s">
        <v>544</v>
      </c>
      <c r="Q44" s="3436" t="str">
        <f t="shared" si="14"/>
        <v>工程地质条件</v>
      </c>
      <c r="R44" s="1504" t="s">
        <v>8</v>
      </c>
      <c r="S44" s="1505">
        <f t="shared" si="10"/>
        <v>100</v>
      </c>
      <c r="T44" s="1504" t="s">
        <v>8</v>
      </c>
      <c r="U44" s="1505">
        <f t="shared" si="11"/>
        <v>100</v>
      </c>
      <c r="V44" s="1504" t="s">
        <v>8</v>
      </c>
      <c r="W44" s="1505">
        <f t="shared" si="12"/>
        <v>100</v>
      </c>
      <c r="X44" s="3438"/>
      <c r="Y44" s="3777" t="s">
        <v>544</v>
      </c>
      <c r="Z44" s="3437" t="str">
        <f t="shared" si="13"/>
        <v>工程地质条件</v>
      </c>
      <c r="AA44" s="3442">
        <f t="shared" si="3"/>
        <v>1</v>
      </c>
      <c r="AB44" s="3442">
        <f t="shared" si="4"/>
        <v>1</v>
      </c>
      <c r="AC44" s="3442">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0"/>
      <c r="M45" s="2010"/>
      <c r="N45" s="2010"/>
      <c r="O45" s="2019"/>
      <c r="P45" s="3777"/>
      <c r="Q45" s="3436">
        <f t="shared" si="14"/>
        <v>111</v>
      </c>
      <c r="R45" s="1504" t="s">
        <v>8</v>
      </c>
      <c r="S45" s="1505">
        <f t="shared" si="10"/>
        <v>100</v>
      </c>
      <c r="T45" s="1504" t="s">
        <v>8</v>
      </c>
      <c r="U45" s="1505">
        <f t="shared" si="11"/>
        <v>100</v>
      </c>
      <c r="V45" s="1504" t="s">
        <v>8</v>
      </c>
      <c r="W45" s="1505">
        <f t="shared" si="12"/>
        <v>100</v>
      </c>
      <c r="X45" s="3438"/>
      <c r="Y45" s="3777"/>
      <c r="Z45" s="3437">
        <f t="shared" si="13"/>
        <v>111</v>
      </c>
      <c r="AA45" s="3442">
        <f t="shared" si="3"/>
        <v>1</v>
      </c>
      <c r="AB45" s="3442">
        <f t="shared" si="4"/>
        <v>1</v>
      </c>
      <c r="AC45" s="3442">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0"/>
      <c r="M46" s="2010"/>
      <c r="N46" s="2010"/>
      <c r="O46" s="2019"/>
      <c r="P46" s="3777"/>
      <c r="Q46" s="3436">
        <f t="shared" si="14"/>
        <v>111</v>
      </c>
      <c r="R46" s="1504" t="s">
        <v>8</v>
      </c>
      <c r="S46" s="1505">
        <f t="shared" si="10"/>
        <v>100</v>
      </c>
      <c r="T46" s="1504" t="s">
        <v>8</v>
      </c>
      <c r="U46" s="1505">
        <f t="shared" si="11"/>
        <v>100</v>
      </c>
      <c r="V46" s="1504" t="s">
        <v>8</v>
      </c>
      <c r="W46" s="1505">
        <f t="shared" si="12"/>
        <v>100</v>
      </c>
      <c r="X46" s="3438"/>
      <c r="Y46" s="3777"/>
      <c r="Z46" s="3437">
        <f t="shared" si="13"/>
        <v>111</v>
      </c>
      <c r="AA46" s="3442">
        <f t="shared" si="3"/>
        <v>1</v>
      </c>
      <c r="AB46" s="3442">
        <f t="shared" si="4"/>
        <v>1</v>
      </c>
      <c r="AC46" s="3442">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8"/>
      <c r="M47" s="2010"/>
      <c r="N47" s="2010"/>
      <c r="O47" s="2021"/>
      <c r="P47" s="3777"/>
      <c r="Q47" s="3436">
        <f t="shared" si="14"/>
        <v>111</v>
      </c>
      <c r="R47" s="1508" t="s">
        <v>8</v>
      </c>
      <c r="S47" s="1509">
        <f t="shared" si="10"/>
        <v>100</v>
      </c>
      <c r="T47" s="1508" t="s">
        <v>8</v>
      </c>
      <c r="U47" s="1509">
        <f t="shared" si="11"/>
        <v>100</v>
      </c>
      <c r="V47" s="1508" t="s">
        <v>8</v>
      </c>
      <c r="W47" s="1509">
        <f t="shared" si="12"/>
        <v>100</v>
      </c>
      <c r="X47" s="1510"/>
      <c r="Y47" s="3777"/>
      <c r="Z47" s="1511">
        <f t="shared" si="13"/>
        <v>111</v>
      </c>
      <c r="AA47" s="3442">
        <f t="shared" si="3"/>
        <v>1</v>
      </c>
      <c r="AB47" s="3442">
        <f t="shared" si="4"/>
        <v>1</v>
      </c>
      <c r="AC47" s="3442">
        <f t="shared" si="5"/>
        <v>1</v>
      </c>
    </row>
    <row r="48" spans="1:29" ht="20.25">
      <c r="A48" s="599" t="s">
        <v>550</v>
      </c>
      <c r="B48" s="600" t="s">
        <v>3284</v>
      </c>
      <c r="C48" s="601" t="s">
        <v>1</v>
      </c>
      <c r="D48" s="602"/>
      <c r="E48" s="603">
        <v>19207</v>
      </c>
      <c r="F48" s="604"/>
      <c r="G48" s="605">
        <v>19239</v>
      </c>
      <c r="H48" s="606"/>
      <c r="I48" s="603">
        <v>18550</v>
      </c>
      <c r="J48" s="606"/>
      <c r="K48" s="1292"/>
      <c r="L48" s="2022"/>
      <c r="M48" s="2010"/>
      <c r="N48" s="2010"/>
      <c r="O48" s="2023"/>
      <c r="P48" s="3772" t="str">
        <f>A48</f>
        <v>成交单价</v>
      </c>
      <c r="Q48" s="3772"/>
      <c r="R48" s="3798">
        <f>E48</f>
        <v>19207</v>
      </c>
      <c r="S48" s="3798"/>
      <c r="T48" s="3798">
        <f>G48</f>
        <v>19239</v>
      </c>
      <c r="U48" s="3798"/>
      <c r="V48" s="3798">
        <f>I48</f>
        <v>18550</v>
      </c>
      <c r="W48" s="3798"/>
      <c r="X48" s="1493"/>
      <c r="Y48" s="1512"/>
      <c r="Z48" s="1493"/>
      <c r="AA48" s="1493"/>
      <c r="AB48" s="1493"/>
      <c r="AC48" s="1493"/>
    </row>
    <row r="49" spans="1:29" ht="21" thickBot="1">
      <c r="A49" s="607" t="s">
        <v>2672</v>
      </c>
      <c r="B49" s="608"/>
      <c r="C49" s="609">
        <f>R50</f>
        <v>19627</v>
      </c>
      <c r="D49" s="3008" t="s">
        <v>2964</v>
      </c>
      <c r="E49" s="609">
        <f>R49</f>
        <v>19646</v>
      </c>
      <c r="F49" s="3009"/>
      <c r="G49" s="610">
        <f>T49</f>
        <v>19679</v>
      </c>
      <c r="H49" s="3009"/>
      <c r="I49" s="609">
        <f>V49</f>
        <v>19557</v>
      </c>
      <c r="J49" s="3009"/>
      <c r="K49" s="3010">
        <f>F49+H49+J49</f>
        <v>0</v>
      </c>
      <c r="L49" s="2022"/>
      <c r="M49" s="2010"/>
      <c r="N49" s="2010"/>
      <c r="O49" s="2023"/>
      <c r="P49" s="3772" t="str">
        <f>A49</f>
        <v>比较价格（元/平方米）</v>
      </c>
      <c r="Q49" s="3772"/>
      <c r="R49" s="3819">
        <f>ROUND(PRODUCT(R48,AA9:AA47),0)</f>
        <v>19646</v>
      </c>
      <c r="S49" s="3819"/>
      <c r="T49" s="3819">
        <f>ROUND(PRODUCT(T48,AB9:AB47),0)</f>
        <v>19679</v>
      </c>
      <c r="U49" s="3819"/>
      <c r="V49" s="3819">
        <f>ROUND(PRODUCT(V48,AC9:AC47),0)</f>
        <v>19557</v>
      </c>
      <c r="W49" s="3819"/>
      <c r="X49" s="1493"/>
      <c r="Y49" s="1493"/>
      <c r="Z49" s="1493"/>
      <c r="AA49" s="1493"/>
      <c r="AB49" s="1493"/>
      <c r="AC49" s="1493"/>
    </row>
    <row r="50" spans="1:29" ht="21" thickBot="1">
      <c r="A50" s="611" t="s">
        <v>2899</v>
      </c>
      <c r="B50" s="612"/>
      <c r="C50" s="613">
        <f>R50</f>
        <v>19627</v>
      </c>
      <c r="D50" s="613"/>
      <c r="E50" s="613"/>
      <c r="F50" s="613"/>
      <c r="G50" s="613"/>
      <c r="H50" s="613"/>
      <c r="I50" s="613"/>
      <c r="J50" s="613"/>
      <c r="K50" s="1293"/>
      <c r="L50" s="2022"/>
      <c r="M50" s="2010"/>
      <c r="N50" s="2010"/>
      <c r="O50" s="2023"/>
      <c r="P50" s="3769" t="str">
        <f>A50</f>
        <v>估价对象XX用房的比较价格（楼面单价，元/平方米）</v>
      </c>
      <c r="Q50" s="3770"/>
      <c r="R50" s="3822">
        <f>ROUND(IF(D49="简单平均",AVERAGE(R49:W49),R49*F49+T49*H49+V49*J49),0)</f>
        <v>19627</v>
      </c>
      <c r="S50" s="3822"/>
      <c r="T50" s="3822"/>
      <c r="U50" s="3822"/>
      <c r="V50" s="3822"/>
      <c r="W50" s="3822"/>
      <c r="X50" s="1493"/>
      <c r="Y50" s="1493"/>
      <c r="Z50" s="1493"/>
      <c r="AA50" s="1493"/>
      <c r="AB50" s="1493"/>
      <c r="AC50" s="1493"/>
    </row>
    <row r="51" spans="1:29" ht="20.25">
      <c r="A51" s="3207"/>
      <c r="B51" s="3207"/>
      <c r="C51" s="3207"/>
      <c r="D51" s="3207"/>
      <c r="E51" s="3207"/>
      <c r="F51" s="3207"/>
      <c r="G51" s="3209"/>
      <c r="H51" s="3207"/>
      <c r="I51" s="3207"/>
      <c r="J51" s="3207"/>
      <c r="K51" s="3210"/>
      <c r="L51" s="2027"/>
      <c r="M51" s="2010"/>
      <c r="N51" s="2010"/>
      <c r="O51" s="2023"/>
      <c r="P51" s="2023"/>
      <c r="Q51" s="2023"/>
      <c r="R51" s="2023"/>
      <c r="S51" s="2023"/>
      <c r="T51" s="2023"/>
      <c r="U51" s="2023"/>
      <c r="V51" s="2023"/>
      <c r="W51" s="2023"/>
      <c r="X51" s="2023"/>
      <c r="Y51" s="2023"/>
      <c r="Z51" s="2023"/>
      <c r="AA51" s="2023"/>
      <c r="AB51" s="2023"/>
      <c r="AC51" s="2023"/>
    </row>
    <row r="52" spans="1:29" ht="20.25">
      <c r="A52" s="3207"/>
      <c r="B52" s="3207"/>
      <c r="C52" s="3207"/>
      <c r="D52" s="3207"/>
      <c r="E52" s="3207"/>
      <c r="F52" s="3207"/>
      <c r="G52" s="3207"/>
      <c r="H52" s="3207"/>
      <c r="I52" s="3207"/>
      <c r="J52" s="3207"/>
      <c r="K52" s="3210"/>
      <c r="L52" s="2027"/>
      <c r="M52" s="2010"/>
      <c r="N52" s="2010"/>
      <c r="O52" s="2023"/>
      <c r="P52" s="2023"/>
      <c r="Q52" s="2023"/>
      <c r="R52" s="2023"/>
      <c r="S52" s="2023"/>
      <c r="T52" s="2023"/>
      <c r="U52" s="2023"/>
      <c r="V52" s="2023"/>
      <c r="W52" s="2023"/>
      <c r="X52" s="2023"/>
      <c r="Y52" s="2023"/>
      <c r="Z52" s="2023"/>
      <c r="AA52" s="2023"/>
      <c r="AB52" s="2023"/>
      <c r="AC52" s="2023"/>
    </row>
    <row r="53" spans="1:29" ht="20.25">
      <c r="A53" s="3207"/>
      <c r="B53" s="3207"/>
      <c r="C53" s="614" t="s">
        <v>551</v>
      </c>
      <c r="D53" s="615"/>
      <c r="E53" s="616">
        <f>IF(E48&lt;E49,E49/E48-1,E48/E49-1)</f>
        <v>2.2856250325402172E-2</v>
      </c>
      <c r="F53" s="617" t="str">
        <f>IF(OR(E53&gt;=0.3,E53&lt;=-0.3),"超过30%","")</f>
        <v/>
      </c>
      <c r="G53" s="616">
        <f>IF(G48&lt;G49,G49/G48-1,G48/G49-1)</f>
        <v>2.2870211549456787E-2</v>
      </c>
      <c r="H53" s="617" t="str">
        <f>IF(OR(G53&gt;=0.3,G53&lt;=-0.3),"超过30%","")</f>
        <v/>
      </c>
      <c r="I53" s="616">
        <f>IF(I48&lt;I49,I49/I48-1,I48/I49-1)</f>
        <v>5.428571428571427E-2</v>
      </c>
      <c r="J53" s="617" t="str">
        <f>IF(OR(I53&gt;=0.3,I53&lt;=-0.3),"超过30%","")</f>
        <v/>
      </c>
      <c r="K53" s="3210"/>
      <c r="L53" s="2027"/>
      <c r="M53" s="2010"/>
      <c r="N53" s="2010"/>
      <c r="O53" s="2023"/>
      <c r="P53" s="2023"/>
      <c r="Q53" s="2023"/>
      <c r="R53" s="2023"/>
      <c r="S53" s="2023"/>
      <c r="T53" s="2023"/>
      <c r="U53" s="2023"/>
      <c r="V53" s="2023"/>
      <c r="W53" s="2023"/>
      <c r="X53" s="2023"/>
      <c r="Y53" s="2023"/>
      <c r="Z53" s="2023"/>
      <c r="AA53" s="2023"/>
      <c r="AB53" s="2023"/>
      <c r="AC53" s="2023"/>
    </row>
    <row r="54" spans="1:29" ht="20.25">
      <c r="A54" s="3207"/>
      <c r="B54" s="3207"/>
      <c r="C54" s="614" t="s">
        <v>552</v>
      </c>
      <c r="D54" s="618"/>
      <c r="E54" s="616">
        <f>IF(E49&lt;G49,G49/E49-1,E49/G49-1)</f>
        <v>1.6797312430010258E-3</v>
      </c>
      <c r="F54" s="617" t="str">
        <f>IF(OR(E54&gt;=0.2,E54&lt;=-0.2),"超过20%","")</f>
        <v/>
      </c>
      <c r="G54" s="616">
        <f>IF(G49&lt;I49,I49/G49-1,G49/I49-1)</f>
        <v>6.2381755893030633E-3</v>
      </c>
      <c r="H54" s="617" t="str">
        <f>IF(OR(G54&gt;=0.2,G54&lt;=-0.2),"超过20%","")</f>
        <v/>
      </c>
      <c r="I54" s="616">
        <f>IF(I49&lt;E49,E49/I49-1,I49/E49-1)</f>
        <v>4.5508002249834423E-3</v>
      </c>
      <c r="J54" s="617" t="str">
        <f>IF(OR(I54&gt;=0.2,I54&lt;=-0.2),"超过20%","")</f>
        <v/>
      </c>
      <c r="K54" s="3210"/>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20.25">
      <c r="A55" s="3208"/>
      <c r="B55" s="3208"/>
      <c r="C55" s="614" t="s">
        <v>553</v>
      </c>
      <c r="D55" s="618"/>
      <c r="E55" s="616">
        <f>IF(E48&lt;G48,G48/E48-1,E48/G48-1)</f>
        <v>1.6660592492321324E-3</v>
      </c>
      <c r="F55" s="617" t="str">
        <f>IF(OR(E55&gt;=0.3,E55&lt;=-0.3),"超过30%","")</f>
        <v/>
      </c>
      <c r="G55" s="616">
        <f>IF(G48&lt;I48,I48/G48-1,G48/I48-1)</f>
        <v>3.7142857142857144E-2</v>
      </c>
      <c r="H55" s="617" t="str">
        <f>IF(OR(G55&gt;=0.3,G55&lt;=-0.3),"超过30%","")</f>
        <v/>
      </c>
      <c r="I55" s="616">
        <f>IF(I48&lt;E48,E48/I48-1,I48/E48-1)</f>
        <v>3.5417789757412388E-2</v>
      </c>
      <c r="J55" s="617" t="str">
        <f>IF(OR(I55&gt;=0.3,I55&lt;=-0.3),"超过30%","")</f>
        <v/>
      </c>
      <c r="K55" s="3211"/>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11"/>
      <c r="L56" s="2030"/>
      <c r="M56" s="2010"/>
      <c r="N56" s="2010"/>
      <c r="O56" s="2024"/>
      <c r="P56" s="2024"/>
      <c r="Q56" s="2024"/>
      <c r="R56" s="2024"/>
      <c r="S56" s="2024"/>
      <c r="T56" s="2024"/>
      <c r="U56" s="2024"/>
      <c r="V56" s="2024"/>
      <c r="W56" s="2024"/>
      <c r="X56" s="2024"/>
      <c r="Y56" s="2024"/>
      <c r="Z56" s="2024"/>
      <c r="AA56" s="2024"/>
      <c r="AB56" s="2024"/>
      <c r="AC56" s="2024"/>
    </row>
    <row r="57" spans="1:29" ht="27">
      <c r="A57" s="619" t="s">
        <v>554</v>
      </c>
      <c r="B57" s="620" t="s">
        <v>555</v>
      </c>
      <c r="C57" s="1494" t="s">
        <v>1714</v>
      </c>
      <c r="D57" s="2103" t="s">
        <v>2280</v>
      </c>
      <c r="E57" s="621" t="s">
        <v>556</v>
      </c>
      <c r="F57" s="622" t="s">
        <v>557</v>
      </c>
      <c r="G57" s="3827" t="s">
        <v>2268</v>
      </c>
      <c r="H57" s="3828"/>
      <c r="I57" s="1490" t="s">
        <v>1712</v>
      </c>
      <c r="J57" s="1490">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3" t="s">
        <v>558</v>
      </c>
      <c r="B58" s="624">
        <f>C50</f>
        <v>19627</v>
      </c>
      <c r="C58" s="625">
        <v>1</v>
      </c>
      <c r="D58" s="2104">
        <v>1</v>
      </c>
      <c r="E58" s="625">
        <f>'数据-汇总表'!E8+'数据-汇总表'!E9</f>
        <v>66454.38</v>
      </c>
      <c r="F58" s="626">
        <f t="shared" ref="F58:F67" si="15">ROUND(B58*E58/10000,0)</f>
        <v>130430</v>
      </c>
      <c r="G58" s="3829"/>
      <c r="H58" s="3830"/>
      <c r="I58" s="1491">
        <v>1</v>
      </c>
      <c r="J58" s="1491">
        <v>1</v>
      </c>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559</v>
      </c>
      <c r="B59" s="628">
        <f>ROUND($C$50*C59*D59,0)</f>
        <v>3435</v>
      </c>
      <c r="C59" s="370">
        <f t="shared" ref="C59:C67" si="16">IF($C$57="北京市系数",I59,J59)</f>
        <v>0.7</v>
      </c>
      <c r="D59" s="2105">
        <v>0.25</v>
      </c>
      <c r="E59" s="629">
        <v>0</v>
      </c>
      <c r="F59" s="626">
        <f t="shared" si="15"/>
        <v>0</v>
      </c>
      <c r="G59" s="3831" t="s">
        <v>2269</v>
      </c>
      <c r="H59" s="1858" t="str">
        <f>项目基本情况!B43</f>
        <v>五级</v>
      </c>
      <c r="I59" s="1491">
        <f>SUMIF(修正!$A$45:$A$56,H59,修正!B45:B56)</f>
        <v>0.7</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560</v>
      </c>
      <c r="B60" s="628">
        <f t="shared" ref="B60:B67" si="17">ROUND($C$50*C60*D60,0)</f>
        <v>1963</v>
      </c>
      <c r="C60" s="370">
        <f t="shared" si="16"/>
        <v>0.4</v>
      </c>
      <c r="D60" s="2105">
        <v>0.25</v>
      </c>
      <c r="E60" s="629">
        <v>0</v>
      </c>
      <c r="F60" s="626">
        <f t="shared" si="15"/>
        <v>0</v>
      </c>
      <c r="G60" s="3831"/>
      <c r="H60" s="1858" t="str">
        <f>项目基本情况!B43</f>
        <v>五级</v>
      </c>
      <c r="I60" s="1491">
        <f>SUMIF(修正!$A$45:$A$56,H60,修正!C45:C56)</f>
        <v>0.4</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561</v>
      </c>
      <c r="B61" s="628">
        <f t="shared" si="17"/>
        <v>1374</v>
      </c>
      <c r="C61" s="370">
        <f t="shared" si="16"/>
        <v>0.28000000000000003</v>
      </c>
      <c r="D61" s="2105">
        <v>0.25</v>
      </c>
      <c r="E61" s="629">
        <v>0</v>
      </c>
      <c r="F61" s="626">
        <f t="shared" si="15"/>
        <v>0</v>
      </c>
      <c r="G61" s="3831"/>
      <c r="H61" s="1858" t="str">
        <f>项目基本情况!B43</f>
        <v>五级</v>
      </c>
      <c r="I61" s="1491">
        <f>SUMIF(修正!$A$45:$A$56,H61,修正!D45:D56)</f>
        <v>0.28000000000000003</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7" t="s">
        <v>562</v>
      </c>
      <c r="B62" s="628">
        <f t="shared" si="17"/>
        <v>1227</v>
      </c>
      <c r="C62" s="370">
        <f t="shared" si="16"/>
        <v>0.25</v>
      </c>
      <c r="D62" s="2105">
        <v>0.25</v>
      </c>
      <c r="E62" s="629">
        <v>0</v>
      </c>
      <c r="F62" s="626">
        <f t="shared" si="15"/>
        <v>0</v>
      </c>
      <c r="G62" s="3831"/>
      <c r="H62" s="1858" t="str">
        <f>项目基本情况!B43</f>
        <v>五级</v>
      </c>
      <c r="I62" s="1491">
        <f>SUMIF(修正!$A$45:$A$56,H62,修正!E45:E56)</f>
        <v>0.25</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28">
        <f t="shared" si="17"/>
        <v>1227</v>
      </c>
      <c r="C63" s="370">
        <f t="shared" si="16"/>
        <v>0.25</v>
      </c>
      <c r="D63" s="2105">
        <v>0.25</v>
      </c>
      <c r="E63" s="631">
        <f>'数据-汇总表'!E11</f>
        <v>50.63</v>
      </c>
      <c r="F63" s="626">
        <f t="shared" si="15"/>
        <v>6</v>
      </c>
      <c r="G63" s="3439" t="s">
        <v>2270</v>
      </c>
      <c r="H63" s="1858" t="str">
        <f>项目基本情况!C43</f>
        <v>五级</v>
      </c>
      <c r="I63" s="1491">
        <f>SUMIF(修正!$A$45:$A$56,H63,修正!F45:F56)</f>
        <v>0.25</v>
      </c>
      <c r="J63" s="1492"/>
      <c r="K63" s="3212"/>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7" t="s">
        <v>563</v>
      </c>
      <c r="B64" s="628">
        <f t="shared" si="17"/>
        <v>1227</v>
      </c>
      <c r="C64" s="370">
        <f t="shared" si="16"/>
        <v>0.25</v>
      </c>
      <c r="D64" s="2105">
        <v>0.25</v>
      </c>
      <c r="E64" s="631">
        <f>'数据-汇总表'!E12</f>
        <v>20244.13</v>
      </c>
      <c r="F64" s="626">
        <f t="shared" si="15"/>
        <v>2484</v>
      </c>
      <c r="G64" s="1856" t="s">
        <v>1667</v>
      </c>
      <c r="H64" s="1854" t="str">
        <f>IF(G64="商业",项目基本情况!B43,IF(G64="办公",项目基本情况!C43,IF(G64="住宅",项目基本情况!D43,项目基本情况!E43)))</f>
        <v>五级</v>
      </c>
      <c r="I64" s="1491">
        <f>SUMIF(修正!$A$45:$A$56,H64,修正!G45:G56)</f>
        <v>0.25</v>
      </c>
      <c r="J64" s="1492"/>
      <c r="K64" s="3212"/>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7" t="s">
        <v>564</v>
      </c>
      <c r="B65" s="628">
        <f t="shared" si="17"/>
        <v>981</v>
      </c>
      <c r="C65" s="370">
        <f t="shared" si="16"/>
        <v>0.2</v>
      </c>
      <c r="D65" s="2105">
        <v>0.25</v>
      </c>
      <c r="E65" s="631">
        <f>'数据-汇总表'!E13</f>
        <v>23373.33</v>
      </c>
      <c r="F65" s="626">
        <f t="shared" si="15"/>
        <v>2293</v>
      </c>
      <c r="G65" s="1856" t="s">
        <v>914</v>
      </c>
      <c r="H65" s="1854" t="str">
        <f>IF(G65="商业",项目基本情况!B43,IF(G65="办公",项目基本情况!C43,IF(G65="住宅",项目基本情况!D43,项目基本情况!E43)))</f>
        <v>五级</v>
      </c>
      <c r="I65" s="1491">
        <f>SUMIF(修正!$A$45:$A$56,H65,修正!H45:H56)</f>
        <v>0.2</v>
      </c>
      <c r="J65" s="1492"/>
      <c r="K65" s="3212"/>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7" t="s">
        <v>565</v>
      </c>
      <c r="B66" s="628">
        <f t="shared" si="17"/>
        <v>981</v>
      </c>
      <c r="C66" s="370">
        <f t="shared" si="16"/>
        <v>0.2</v>
      </c>
      <c r="D66" s="2105">
        <v>0.25</v>
      </c>
      <c r="E66" s="631">
        <f>'数据-汇总表'!E14</f>
        <v>0</v>
      </c>
      <c r="F66" s="626">
        <f t="shared" si="15"/>
        <v>0</v>
      </c>
      <c r="G66" s="3439" t="s">
        <v>2269</v>
      </c>
      <c r="H66" s="1858" t="str">
        <f>项目基本情况!B43</f>
        <v>五级</v>
      </c>
      <c r="I66" s="1491">
        <f>SUMIF(修正!$A$45:$A$56,H66,修正!H45:H56)</f>
        <v>0.2</v>
      </c>
      <c r="J66" s="1492"/>
      <c r="K66" s="3212"/>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7" t="s">
        <v>566</v>
      </c>
      <c r="B67" s="628">
        <f t="shared" si="17"/>
        <v>981</v>
      </c>
      <c r="C67" s="370">
        <f t="shared" si="16"/>
        <v>0.2</v>
      </c>
      <c r="D67" s="2105">
        <v>0.25</v>
      </c>
      <c r="E67" s="631">
        <f>'数据-汇总表'!E15</f>
        <v>360.7</v>
      </c>
      <c r="F67" s="626">
        <f t="shared" si="15"/>
        <v>35</v>
      </c>
      <c r="G67" s="1857" t="s">
        <v>2270</v>
      </c>
      <c r="H67" s="1859" t="str">
        <f>项目基本情况!C43</f>
        <v>五级</v>
      </c>
      <c r="I67" s="1491">
        <f>SUMIF(修正!$A$45:$A$56,H67,修正!H45:H56)</f>
        <v>0.2</v>
      </c>
      <c r="J67" s="1492"/>
      <c r="K67" s="3212"/>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2" t="s">
        <v>567</v>
      </c>
      <c r="B68" s="633" t="s">
        <v>14</v>
      </c>
      <c r="C68" s="633" t="s">
        <v>14</v>
      </c>
      <c r="D68" s="633" t="s">
        <v>2281</v>
      </c>
      <c r="E68" s="633">
        <f>IF(B48="楼面地价",SUM(E58:E67),'数据-汇总表'!D3)</f>
        <v>110483.17000000001</v>
      </c>
      <c r="F68" s="634">
        <f>IF(B48="楼面地价",SUM(F58:F67),ROUND(C50*E68/10000,0))</f>
        <v>135248</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2021-8-1</v>
      </c>
      <c r="D70" s="2512">
        <f>EDATE(C70,-3)</f>
        <v>44317</v>
      </c>
      <c r="E70" s="2512">
        <f t="shared" ref="E70:N70" si="18">EDATE(D70,-3)</f>
        <v>44228</v>
      </c>
      <c r="F70" s="2512">
        <f t="shared" si="18"/>
        <v>44136</v>
      </c>
      <c r="G70" s="2512">
        <f t="shared" si="18"/>
        <v>44044</v>
      </c>
      <c r="H70" s="2512">
        <f t="shared" si="18"/>
        <v>43952</v>
      </c>
      <c r="I70" s="2512">
        <f t="shared" si="18"/>
        <v>43862</v>
      </c>
      <c r="J70" s="2512">
        <f t="shared" si="18"/>
        <v>43770</v>
      </c>
      <c r="K70" s="2512">
        <f t="shared" si="18"/>
        <v>43678</v>
      </c>
      <c r="L70" s="2512">
        <f t="shared" si="18"/>
        <v>43586</v>
      </c>
      <c r="M70" s="2512">
        <f t="shared" si="18"/>
        <v>43497</v>
      </c>
      <c r="N70" s="2512">
        <f t="shared" si="18"/>
        <v>43405</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8" customFormat="1" ht="15">
      <c r="A72" s="2417" t="s">
        <v>2513</v>
      </c>
      <c r="B72" s="2418"/>
      <c r="C72" s="2514"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30">
      <c r="A73" s="2519" t="s">
        <v>2998</v>
      </c>
      <c r="B73" s="471" t="str">
        <f>"北京市平均增长率"&amp;TEXT(SUMIF('基准地价（商业）'!N21:N25,A73,'基准地价（商业）'!P21:P25),"0.00%")</f>
        <v>北京市平均增长率0.00%</v>
      </c>
      <c r="C73" s="881">
        <v>100</v>
      </c>
      <c r="D73" s="3387">
        <f>C73/(1+1.12%)</f>
        <v>98.892405063291136</v>
      </c>
      <c r="E73" s="3387">
        <f t="shared" ref="E73:N73" si="20">D73/(1+1.12%)</f>
        <v>97.797077792020502</v>
      </c>
      <c r="F73" s="3387">
        <f t="shared" si="20"/>
        <v>96.713882310146843</v>
      </c>
      <c r="G73" s="3387">
        <f t="shared" si="20"/>
        <v>95.642684246585077</v>
      </c>
      <c r="H73" s="3387">
        <f t="shared" si="20"/>
        <v>94.583350718537446</v>
      </c>
      <c r="I73" s="3387">
        <f>H73/(1+1.12%)</f>
        <v>93.535750315009338</v>
      </c>
      <c r="J73" s="3387">
        <f t="shared" si="20"/>
        <v>92.499753080507645</v>
      </c>
      <c r="K73" s="3387">
        <f t="shared" si="20"/>
        <v>91.475230498919728</v>
      </c>
      <c r="L73" s="3387">
        <f t="shared" si="20"/>
        <v>90.462055477570928</v>
      </c>
      <c r="M73" s="3387">
        <f t="shared" si="20"/>
        <v>89.460102331458586</v>
      </c>
      <c r="N73" s="3387">
        <f t="shared" si="20"/>
        <v>88.469246767660778</v>
      </c>
      <c r="O73" s="2039"/>
      <c r="P73" s="2035"/>
      <c r="Q73" s="1901"/>
      <c r="R73" s="1901"/>
      <c r="S73" s="1901"/>
      <c r="T73" s="1901"/>
      <c r="U73" s="1901"/>
      <c r="V73" s="1901"/>
      <c r="W73" s="1901"/>
      <c r="X73" s="1901"/>
      <c r="Y73" s="1901"/>
      <c r="Z73" s="1901"/>
      <c r="AA73" s="1901"/>
      <c r="AB73" s="1901"/>
      <c r="AC73" s="1901"/>
    </row>
    <row r="74" spans="1:29" s="1201" customFormat="1" ht="15.75"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49" t="s">
        <v>525</v>
      </c>
      <c r="B75" s="638"/>
      <c r="C75" s="650" t="s">
        <v>570</v>
      </c>
      <c r="D75" s="651"/>
      <c r="E75" s="651"/>
      <c r="F75" s="651"/>
      <c r="G75" s="651"/>
      <c r="H75" s="651"/>
      <c r="I75" s="651"/>
      <c r="J75" s="651"/>
      <c r="K75" s="651"/>
      <c r="L75" s="652"/>
      <c r="M75" s="653"/>
      <c r="N75" s="2039"/>
      <c r="O75" s="2039"/>
      <c r="P75" s="2040"/>
      <c r="Q75" s="2035"/>
      <c r="R75" s="1901"/>
      <c r="S75" s="1901"/>
      <c r="T75" s="1901"/>
      <c r="U75" s="1901"/>
      <c r="V75" s="1901"/>
      <c r="W75" s="1901"/>
      <c r="X75" s="1901"/>
      <c r="Y75" s="1901"/>
      <c r="Z75" s="1901"/>
      <c r="AA75" s="1901"/>
      <c r="AB75" s="1901"/>
      <c r="AC75" s="1901"/>
    </row>
    <row r="76" spans="1:29" s="1201" customFormat="1" ht="15.75" thickBot="1">
      <c r="A76" s="649"/>
      <c r="B76" s="638"/>
      <c r="C76" s="639">
        <v>100</v>
      </c>
      <c r="D76" s="640"/>
      <c r="E76" s="640"/>
      <c r="F76" s="640"/>
      <c r="G76" s="640"/>
      <c r="H76" s="640"/>
      <c r="I76" s="640"/>
      <c r="J76" s="640"/>
      <c r="K76" s="640"/>
      <c r="L76" s="640"/>
      <c r="M76" s="642"/>
      <c r="N76" s="2039"/>
      <c r="O76" s="2039"/>
      <c r="P76" s="2035"/>
      <c r="Q76" s="2035"/>
      <c r="R76" s="1901"/>
      <c r="S76" s="1901"/>
      <c r="T76" s="1901"/>
      <c r="U76" s="1901"/>
      <c r="V76" s="1901"/>
      <c r="W76" s="1901"/>
      <c r="X76" s="1901"/>
      <c r="Y76" s="1901"/>
      <c r="Z76" s="1901"/>
      <c r="AA76" s="1901"/>
      <c r="AB76" s="1901"/>
      <c r="AC76" s="1901"/>
    </row>
    <row r="77" spans="1:29">
      <c r="A77" s="654" t="s">
        <v>571</v>
      </c>
      <c r="B77" s="655" t="s">
        <v>528</v>
      </c>
      <c r="C77" s="3374" t="s">
        <v>3272</v>
      </c>
      <c r="D77" s="3374" t="s">
        <v>3288</v>
      </c>
      <c r="E77" s="590"/>
      <c r="F77" s="590"/>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0"/>
      <c r="C78" s="661"/>
      <c r="D78" s="661"/>
      <c r="E78" s="661"/>
      <c r="F78" s="661"/>
      <c r="G78" s="661"/>
      <c r="H78" s="661"/>
      <c r="I78" s="661"/>
      <c r="J78" s="661"/>
      <c r="K78" s="661"/>
      <c r="L78" s="661"/>
      <c r="M78" s="662"/>
      <c r="N78" s="2043"/>
      <c r="O78" s="2043"/>
      <c r="P78" s="2042"/>
      <c r="Q78" s="2035"/>
      <c r="R78" s="2023"/>
      <c r="S78" s="2023"/>
      <c r="T78" s="2023"/>
      <c r="U78" s="2023"/>
      <c r="V78" s="2023"/>
      <c r="W78" s="2023"/>
      <c r="X78" s="2023"/>
      <c r="Y78" s="2023"/>
      <c r="Z78" s="2023"/>
      <c r="AA78" s="2023"/>
      <c r="AB78" s="2023"/>
      <c r="AC78" s="2023"/>
    </row>
    <row r="79" spans="1:29" ht="27.75" thickTop="1">
      <c r="A79" s="659"/>
      <c r="B79" s="663" t="s">
        <v>531</v>
      </c>
      <c r="C79" s="664"/>
      <c r="D79" s="664"/>
      <c r="E79" s="664"/>
      <c r="F79" s="664"/>
      <c r="G79" s="664"/>
      <c r="H79" s="664"/>
      <c r="I79" s="664"/>
      <c r="J79" s="664"/>
      <c r="K79" s="665"/>
      <c r="L79" s="666"/>
      <c r="M79" s="667"/>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c r="D80" s="669"/>
      <c r="E80" s="669"/>
      <c r="F80" s="669"/>
      <c r="G80" s="669"/>
      <c r="H80" s="669"/>
      <c r="I80" s="669"/>
      <c r="J80" s="669"/>
      <c r="K80" s="669"/>
      <c r="L80" s="669"/>
      <c r="M80" s="670"/>
      <c r="N80" s="2043"/>
      <c r="O80" s="2043"/>
      <c r="P80" s="2042"/>
      <c r="Q80" s="2035"/>
      <c r="R80" s="2023"/>
      <c r="S80" s="2023"/>
      <c r="T80" s="2023"/>
      <c r="U80" s="2023"/>
      <c r="V80" s="2023"/>
      <c r="W80" s="2023"/>
      <c r="X80" s="2023"/>
      <c r="Y80" s="2023"/>
      <c r="Z80" s="2023"/>
      <c r="AA80" s="2023"/>
      <c r="AB80" s="2023"/>
      <c r="AC80" s="2023"/>
    </row>
    <row r="81" spans="1:29" ht="15.75" thickTop="1">
      <c r="A81" s="659"/>
      <c r="B81" s="671" t="s">
        <v>532</v>
      </c>
      <c r="C81" s="672" t="str">
        <f>C82&amp;"（含）"&amp;"-"&amp;D82</f>
        <v>0（含）-1</v>
      </c>
      <c r="D81" s="672" t="str">
        <f t="shared" ref="D81:L81" si="21">D82&amp;"（含）"&amp;"-"&amp;E82</f>
        <v>1（含）-2</v>
      </c>
      <c r="E81" s="672" t="str">
        <f t="shared" si="21"/>
        <v>2（含）-3</v>
      </c>
      <c r="F81" s="672" t="str">
        <f t="shared" si="21"/>
        <v>3（含）-</v>
      </c>
      <c r="G81" s="672" t="str">
        <f t="shared" si="21"/>
        <v>（含）-</v>
      </c>
      <c r="H81" s="672" t="str">
        <f t="shared" si="21"/>
        <v>（含）-</v>
      </c>
      <c r="I81" s="672" t="str">
        <f t="shared" si="21"/>
        <v>（含）-</v>
      </c>
      <c r="J81" s="672" t="str">
        <f t="shared" si="21"/>
        <v>（含）-</v>
      </c>
      <c r="K81" s="672" t="str">
        <f t="shared" si="21"/>
        <v>（含）-</v>
      </c>
      <c r="L81" s="672" t="str">
        <f t="shared" si="21"/>
        <v>（含）-</v>
      </c>
      <c r="M81" s="547"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9"/>
      <c r="B82" s="673"/>
      <c r="C82" s="533">
        <v>0</v>
      </c>
      <c r="D82" s="533">
        <f>'比较法-办公'!D82</f>
        <v>1</v>
      </c>
      <c r="E82" s="533">
        <f>'比较法-办公'!E82</f>
        <v>2</v>
      </c>
      <c r="F82" s="533">
        <f>'比较法-办公'!F82</f>
        <v>3</v>
      </c>
      <c r="G82" s="533"/>
      <c r="H82" s="533"/>
      <c r="I82" s="533"/>
      <c r="J82" s="533"/>
      <c r="K82" s="674"/>
      <c r="L82" s="675"/>
      <c r="M82" s="676"/>
      <c r="N82" s="2041"/>
      <c r="O82" s="2041"/>
      <c r="P82" s="2042"/>
      <c r="Q82" s="2035"/>
      <c r="R82" s="2023"/>
      <c r="S82" s="2023"/>
      <c r="T82" s="2023"/>
      <c r="U82" s="2023"/>
      <c r="V82" s="2023"/>
      <c r="W82" s="2023"/>
      <c r="X82" s="2023"/>
      <c r="Y82" s="2023"/>
      <c r="Z82" s="2023"/>
      <c r="AA82" s="2023"/>
      <c r="AB82" s="2023"/>
      <c r="AC82" s="2023"/>
    </row>
    <row r="83" spans="1:29" ht="15.75" thickBot="1">
      <c r="A83" s="659"/>
      <c r="B83" s="660"/>
      <c r="C83" s="669">
        <v>100</v>
      </c>
      <c r="D83" s="669">
        <f>IF($B$48="单位面积地价",C83+$K13,C83-$K13)</f>
        <v>99.5</v>
      </c>
      <c r="E83" s="669">
        <f t="shared" ref="E83:M83" si="22">IF($B$48="单位面积地价",D83+$K13,D83-$K13)</f>
        <v>99</v>
      </c>
      <c r="F83" s="669">
        <f t="shared" si="22"/>
        <v>98.5</v>
      </c>
      <c r="G83" s="669">
        <f t="shared" si="22"/>
        <v>98</v>
      </c>
      <c r="H83" s="669">
        <f t="shared" si="22"/>
        <v>97.5</v>
      </c>
      <c r="I83" s="669">
        <f t="shared" si="22"/>
        <v>97</v>
      </c>
      <c r="J83" s="669">
        <f t="shared" si="22"/>
        <v>96.5</v>
      </c>
      <c r="K83" s="669">
        <f t="shared" si="22"/>
        <v>96</v>
      </c>
      <c r="L83" s="669">
        <f t="shared" si="22"/>
        <v>95.5</v>
      </c>
      <c r="M83" s="669">
        <f t="shared" si="22"/>
        <v>95</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7"/>
      <c r="B84" s="663" t="str">
        <f>B14</f>
        <v>配建</v>
      </c>
      <c r="C84" s="678"/>
      <c r="D84" s="1324"/>
      <c r="E84" s="1325"/>
      <c r="F84" s="678"/>
      <c r="G84" s="678"/>
      <c r="H84" s="679"/>
      <c r="I84" s="679"/>
      <c r="J84" s="679"/>
      <c r="K84" s="679"/>
      <c r="L84" s="680"/>
      <c r="M84" s="681"/>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7"/>
      <c r="B86" s="663">
        <f>B15</f>
        <v>111</v>
      </c>
      <c r="C86" s="678"/>
      <c r="D86" s="678"/>
      <c r="E86" s="678"/>
      <c r="F86" s="678"/>
      <c r="G86" s="678"/>
      <c r="H86" s="679"/>
      <c r="I86" s="679"/>
      <c r="J86" s="679"/>
      <c r="K86" s="679"/>
      <c r="L86" s="680"/>
      <c r="M86" s="681"/>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7"/>
      <c r="B87" s="668"/>
      <c r="C87" s="682"/>
      <c r="D87" s="682"/>
      <c r="E87" s="682"/>
      <c r="F87" s="682"/>
      <c r="G87" s="682"/>
      <c r="H87" s="683"/>
      <c r="I87" s="683"/>
      <c r="J87" s="683"/>
      <c r="K87" s="683"/>
      <c r="L87" s="683"/>
      <c r="M87" s="684"/>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7"/>
      <c r="B88" s="671">
        <f>B16</f>
        <v>111</v>
      </c>
      <c r="C88" s="651"/>
      <c r="D88" s="651"/>
      <c r="E88" s="651"/>
      <c r="F88" s="651"/>
      <c r="G88" s="651"/>
      <c r="H88" s="685"/>
      <c r="I88" s="685"/>
      <c r="J88" s="685"/>
      <c r="K88" s="685"/>
      <c r="L88" s="686"/>
      <c r="M88" s="687"/>
      <c r="N88" s="2044"/>
      <c r="O88" s="2044"/>
      <c r="P88" s="2050"/>
      <c r="Q88" s="2046"/>
      <c r="R88" s="2047"/>
      <c r="S88" s="2047"/>
      <c r="T88" s="2047"/>
      <c r="U88" s="2047"/>
      <c r="V88" s="2047"/>
      <c r="W88" s="2047"/>
      <c r="X88" s="2047"/>
      <c r="Y88" s="2047"/>
      <c r="Z88" s="2047"/>
      <c r="AA88" s="2047"/>
      <c r="AB88" s="2047"/>
      <c r="AC88" s="2047"/>
    </row>
    <row r="89" spans="1:29" s="1291" customFormat="1" ht="15.75" thickBot="1">
      <c r="A89" s="688"/>
      <c r="B89" s="689"/>
      <c r="C89" s="690"/>
      <c r="D89" s="690"/>
      <c r="E89" s="690"/>
      <c r="F89" s="690"/>
      <c r="G89" s="690"/>
      <c r="H89" s="691"/>
      <c r="I89" s="691"/>
      <c r="J89" s="691"/>
      <c r="K89" s="691"/>
      <c r="L89" s="691"/>
      <c r="M89" s="692"/>
      <c r="N89" s="2044"/>
      <c r="O89" s="2044"/>
      <c r="P89" s="2045"/>
      <c r="Q89" s="2046"/>
      <c r="R89" s="2047"/>
      <c r="S89" s="2047"/>
      <c r="T89" s="2047"/>
      <c r="U89" s="2047"/>
      <c r="V89" s="2047"/>
      <c r="W89" s="2047"/>
      <c r="X89" s="2047"/>
      <c r="Y89" s="2047"/>
      <c r="Z89" s="2047"/>
      <c r="AA89" s="2047"/>
      <c r="AB89" s="2047"/>
      <c r="AC89" s="2047"/>
    </row>
    <row r="90" spans="1:29">
      <c r="A90" s="654" t="s">
        <v>533</v>
      </c>
      <c r="B90" s="655" t="s">
        <v>572</v>
      </c>
      <c r="C90" s="693" t="s">
        <v>573</v>
      </c>
      <c r="D90" s="693" t="s">
        <v>574</v>
      </c>
      <c r="E90" s="693" t="s">
        <v>575</v>
      </c>
      <c r="F90" s="693" t="s">
        <v>576</v>
      </c>
      <c r="G90" s="693" t="s">
        <v>577</v>
      </c>
      <c r="H90" s="694"/>
      <c r="I90" s="694"/>
      <c r="J90" s="694"/>
      <c r="K90" s="695"/>
      <c r="L90" s="696"/>
      <c r="M90" s="697"/>
      <c r="N90" s="2041"/>
      <c r="O90" s="2041"/>
      <c r="P90" s="2051"/>
      <c r="Q90" s="2035"/>
      <c r="R90" s="2023"/>
      <c r="S90" s="2023"/>
      <c r="T90" s="2023"/>
      <c r="U90" s="2023"/>
      <c r="V90" s="2023"/>
      <c r="W90" s="2023"/>
      <c r="X90" s="2023"/>
      <c r="Y90" s="2023"/>
      <c r="Z90" s="2023"/>
      <c r="AA90" s="2023"/>
      <c r="AB90" s="2023"/>
      <c r="AC90" s="2023"/>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3"/>
      <c r="O91" s="2043"/>
      <c r="P91" s="2042"/>
      <c r="Q91" s="2035"/>
      <c r="R91" s="2023"/>
      <c r="S91" s="2023"/>
      <c r="T91" s="2023"/>
      <c r="U91" s="2023"/>
      <c r="V91" s="2023"/>
      <c r="W91" s="2023"/>
      <c r="X91" s="2023"/>
      <c r="Y91" s="2023"/>
      <c r="Z91" s="2023"/>
      <c r="AA91" s="2023"/>
      <c r="AB91" s="2023"/>
      <c r="AC91" s="2023"/>
    </row>
    <row r="92" spans="1:29" ht="15.75" thickTop="1">
      <c r="A92" s="659"/>
      <c r="B92" s="663" t="s">
        <v>578</v>
      </c>
      <c r="C92" s="698" t="s">
        <v>573</v>
      </c>
      <c r="D92" s="698" t="s">
        <v>574</v>
      </c>
      <c r="E92" s="698" t="s">
        <v>575</v>
      </c>
      <c r="F92" s="698" t="s">
        <v>576</v>
      </c>
      <c r="G92" s="698" t="s">
        <v>577</v>
      </c>
      <c r="H92" s="664"/>
      <c r="I92" s="664"/>
      <c r="J92" s="664"/>
      <c r="K92" s="665"/>
      <c r="L92" s="666"/>
      <c r="M92" s="667"/>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3"/>
      <c r="O93" s="2043"/>
      <c r="P93" s="2042"/>
      <c r="Q93" s="2035"/>
      <c r="R93" s="2023"/>
      <c r="S93" s="2023"/>
      <c r="T93" s="2023"/>
      <c r="U93" s="2023"/>
      <c r="V93" s="2023"/>
      <c r="W93" s="2023"/>
      <c r="X93" s="2023"/>
      <c r="Y93" s="2023"/>
      <c r="Z93" s="2023"/>
      <c r="AA93" s="2023"/>
      <c r="AB93" s="2023"/>
      <c r="AC93" s="2023"/>
    </row>
    <row r="94" spans="1:29" ht="15.75" thickTop="1">
      <c r="A94" s="659"/>
      <c r="B94" s="663" t="s">
        <v>579</v>
      </c>
      <c r="C94" s="698" t="s">
        <v>573</v>
      </c>
      <c r="D94" s="698" t="s">
        <v>574</v>
      </c>
      <c r="E94" s="698" t="s">
        <v>575</v>
      </c>
      <c r="F94" s="698" t="s">
        <v>576</v>
      </c>
      <c r="G94" s="698" t="s">
        <v>577</v>
      </c>
      <c r="H94" s="664"/>
      <c r="I94" s="664"/>
      <c r="J94" s="664"/>
      <c r="K94" s="665"/>
      <c r="L94" s="666"/>
      <c r="M94" s="667"/>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69">
        <v>100</v>
      </c>
      <c r="D95" s="669">
        <f>C95-$K21</f>
        <v>99</v>
      </c>
      <c r="E95" s="669">
        <f>D95-$K21</f>
        <v>98</v>
      </c>
      <c r="F95" s="669">
        <f>E95-$K21</f>
        <v>97</v>
      </c>
      <c r="G95" s="669">
        <f>F95-$K21</f>
        <v>96</v>
      </c>
      <c r="H95" s="669"/>
      <c r="I95" s="669"/>
      <c r="J95" s="669"/>
      <c r="K95" s="669"/>
      <c r="L95" s="669"/>
      <c r="M95" s="670"/>
      <c r="N95" s="2043"/>
      <c r="O95" s="2043"/>
      <c r="P95" s="2042"/>
      <c r="Q95" s="2035"/>
      <c r="R95" s="2023"/>
      <c r="S95" s="2023"/>
      <c r="T95" s="2023"/>
      <c r="U95" s="2023"/>
      <c r="V95" s="2023"/>
      <c r="W95" s="2023"/>
      <c r="X95" s="2023"/>
      <c r="Y95" s="2023"/>
      <c r="Z95" s="2023"/>
      <c r="AA95" s="2023"/>
      <c r="AB95" s="2023"/>
      <c r="AC95" s="2023"/>
    </row>
    <row r="96" spans="1:29" ht="15.75" thickTop="1">
      <c r="A96" s="659"/>
      <c r="B96" s="663" t="s">
        <v>580</v>
      </c>
      <c r="C96" s="698" t="s">
        <v>573</v>
      </c>
      <c r="D96" s="698" t="s">
        <v>574</v>
      </c>
      <c r="E96" s="698" t="s">
        <v>575</v>
      </c>
      <c r="F96" s="698" t="s">
        <v>576</v>
      </c>
      <c r="G96" s="698" t="s">
        <v>577</v>
      </c>
      <c r="H96" s="664"/>
      <c r="I96" s="664"/>
      <c r="J96" s="664"/>
      <c r="K96" s="665"/>
      <c r="L96" s="666"/>
      <c r="M96" s="667"/>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69">
        <v>100</v>
      </c>
      <c r="D97" s="669">
        <f>C97-$K23</f>
        <v>98</v>
      </c>
      <c r="E97" s="669">
        <f>D97-$K23</f>
        <v>96</v>
      </c>
      <c r="F97" s="669">
        <f>E97-$K23</f>
        <v>94</v>
      </c>
      <c r="G97" s="669">
        <f>F97-$K23</f>
        <v>92</v>
      </c>
      <c r="H97" s="669"/>
      <c r="I97" s="669"/>
      <c r="J97" s="669"/>
      <c r="K97" s="669"/>
      <c r="L97" s="669"/>
      <c r="M97" s="670"/>
      <c r="N97" s="2043"/>
      <c r="O97" s="2043"/>
      <c r="P97" s="2042"/>
      <c r="Q97" s="2035"/>
      <c r="R97" s="2023"/>
      <c r="S97" s="2023"/>
      <c r="T97" s="2023"/>
      <c r="U97" s="2023"/>
      <c r="V97" s="2023"/>
      <c r="W97" s="2023"/>
      <c r="X97" s="2023"/>
      <c r="Y97" s="2023"/>
      <c r="Z97" s="2023"/>
      <c r="AA97" s="2023"/>
      <c r="AB97" s="2023"/>
      <c r="AC97" s="2023"/>
    </row>
    <row r="98" spans="1:29" s="1201" customFormat="1" ht="27.75" thickTop="1">
      <c r="A98" s="699"/>
      <c r="B98" s="663" t="s">
        <v>581</v>
      </c>
      <c r="C98" s="698" t="s">
        <v>573</v>
      </c>
      <c r="D98" s="698" t="s">
        <v>574</v>
      </c>
      <c r="E98" s="698" t="s">
        <v>575</v>
      </c>
      <c r="F98" s="698" t="s">
        <v>576</v>
      </c>
      <c r="G98" s="698" t="s">
        <v>577</v>
      </c>
      <c r="H98" s="698"/>
      <c r="I98" s="698"/>
      <c r="J98" s="698"/>
      <c r="K98" s="698"/>
      <c r="L98" s="700"/>
      <c r="M98" s="701"/>
      <c r="N98" s="2039"/>
      <c r="O98" s="2039"/>
      <c r="P98" s="2042"/>
      <c r="Q98" s="2035"/>
      <c r="R98" s="1901"/>
      <c r="S98" s="1901"/>
      <c r="T98" s="1901"/>
      <c r="U98" s="1901"/>
      <c r="V98" s="1901"/>
      <c r="W98" s="1901"/>
      <c r="X98" s="1901"/>
      <c r="Y98" s="1901"/>
      <c r="Z98" s="1901"/>
      <c r="AA98" s="1901"/>
      <c r="AB98" s="1901"/>
      <c r="AC98" s="1901"/>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699"/>
      <c r="B100" s="663" t="s">
        <v>582</v>
      </c>
      <c r="C100" s="693" t="s">
        <v>573</v>
      </c>
      <c r="D100" s="693" t="s">
        <v>574</v>
      </c>
      <c r="E100" s="693" t="s">
        <v>575</v>
      </c>
      <c r="F100" s="693" t="s">
        <v>576</v>
      </c>
      <c r="G100" s="693" t="s">
        <v>577</v>
      </c>
      <c r="H100" s="698"/>
      <c r="I100" s="698"/>
      <c r="J100" s="698"/>
      <c r="K100" s="698"/>
      <c r="L100" s="698"/>
      <c r="M100" s="701"/>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7"/>
      <c r="B102" s="1806" t="s">
        <v>2529</v>
      </c>
      <c r="C102" s="693" t="s">
        <v>573</v>
      </c>
      <c r="D102" s="693" t="s">
        <v>574</v>
      </c>
      <c r="E102" s="693" t="s">
        <v>575</v>
      </c>
      <c r="F102" s="693" t="s">
        <v>576</v>
      </c>
      <c r="G102" s="693" t="s">
        <v>577</v>
      </c>
      <c r="H102" s="703"/>
      <c r="I102" s="703"/>
      <c r="J102" s="703"/>
      <c r="K102" s="703"/>
      <c r="L102" s="704"/>
      <c r="M102" s="705"/>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7"/>
      <c r="B104" s="2437" t="s">
        <v>2530</v>
      </c>
      <c r="C104" s="2438" t="s">
        <v>2532</v>
      </c>
      <c r="D104" s="2438" t="s">
        <v>2533</v>
      </c>
      <c r="E104" s="2438" t="s">
        <v>2534</v>
      </c>
      <c r="F104" s="2438" t="s">
        <v>2535</v>
      </c>
      <c r="G104" s="2438" t="s">
        <v>2536</v>
      </c>
      <c r="H104" s="703"/>
      <c r="I104" s="703"/>
      <c r="J104" s="703"/>
      <c r="K104" s="703"/>
      <c r="L104" s="703"/>
      <c r="M104" s="705"/>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1"/>
      <c r="O106" s="2041"/>
      <c r="P106" s="2042"/>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9"/>
      <c r="B108" s="663" t="s">
        <v>542</v>
      </c>
      <c r="C108" s="3328" t="s">
        <v>3256</v>
      </c>
      <c r="D108" s="3372" t="s">
        <v>3261</v>
      </c>
      <c r="E108" s="3328" t="s">
        <v>3258</v>
      </c>
      <c r="F108" s="3328" t="s">
        <v>3259</v>
      </c>
      <c r="G108" s="3328" t="s">
        <v>3260</v>
      </c>
      <c r="H108" s="708"/>
      <c r="I108" s="708"/>
      <c r="J108" s="708"/>
      <c r="K108" s="709"/>
      <c r="L108" s="710"/>
      <c r="M108" s="711"/>
      <c r="N108" s="2041"/>
      <c r="O108" s="2041"/>
      <c r="P108" s="2042"/>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C109-$K34</f>
        <v>98</v>
      </c>
      <c r="E109" s="669">
        <f t="shared" ref="E109:M109" si="24">D109-$K34</f>
        <v>96</v>
      </c>
      <c r="F109" s="669">
        <f t="shared" si="24"/>
        <v>94</v>
      </c>
      <c r="G109" s="669">
        <f t="shared" si="24"/>
        <v>92</v>
      </c>
      <c r="H109" s="669">
        <f t="shared" si="24"/>
        <v>90</v>
      </c>
      <c r="I109" s="669">
        <f t="shared" si="24"/>
        <v>88</v>
      </c>
      <c r="J109" s="669">
        <f t="shared" si="24"/>
        <v>86</v>
      </c>
      <c r="K109" s="669">
        <f t="shared" si="24"/>
        <v>84</v>
      </c>
      <c r="L109" s="669">
        <f t="shared" si="24"/>
        <v>82</v>
      </c>
      <c r="M109" s="669">
        <f t="shared" si="24"/>
        <v>80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9"/>
      <c r="B110" s="663" t="s">
        <v>543</v>
      </c>
      <c r="C110" s="3373" t="s">
        <v>3263</v>
      </c>
      <c r="D110" s="3373" t="s">
        <v>3264</v>
      </c>
      <c r="E110" s="3373" t="s">
        <v>3265</v>
      </c>
      <c r="F110" s="3373" t="s">
        <v>3262</v>
      </c>
      <c r="G110" s="3373" t="s">
        <v>3266</v>
      </c>
      <c r="H110" s="708"/>
      <c r="I110" s="708"/>
      <c r="J110" s="708"/>
      <c r="K110" s="709"/>
      <c r="L110" s="710"/>
      <c r="M110" s="71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69">
        <v>100</v>
      </c>
      <c r="D111" s="669">
        <f>C111-$K36</f>
        <v>98</v>
      </c>
      <c r="E111" s="669">
        <f t="shared" ref="E111:M111" si="25">D111-$K36</f>
        <v>96</v>
      </c>
      <c r="F111" s="669">
        <f t="shared" si="25"/>
        <v>94</v>
      </c>
      <c r="G111" s="669">
        <f t="shared" si="25"/>
        <v>92</v>
      </c>
      <c r="H111" s="669">
        <f t="shared" si="25"/>
        <v>90</v>
      </c>
      <c r="I111" s="669">
        <f t="shared" si="25"/>
        <v>88</v>
      </c>
      <c r="J111" s="669">
        <f t="shared" si="25"/>
        <v>86</v>
      </c>
      <c r="K111" s="669">
        <f t="shared" si="25"/>
        <v>84</v>
      </c>
      <c r="L111" s="669">
        <f t="shared" si="25"/>
        <v>82</v>
      </c>
      <c r="M111" s="669">
        <f t="shared" si="25"/>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9"/>
      <c r="B112" s="671">
        <f>B37</f>
        <v>111</v>
      </c>
      <c r="C112" s="678"/>
      <c r="D112" s="678"/>
      <c r="E112" s="678"/>
      <c r="F112" s="678"/>
      <c r="G112" s="712"/>
      <c r="H112" s="712"/>
      <c r="I112" s="712"/>
      <c r="J112" s="712"/>
      <c r="K112" s="713"/>
      <c r="L112" s="714"/>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659"/>
      <c r="B113" s="689"/>
      <c r="C113" s="682"/>
      <c r="D113" s="682"/>
      <c r="E113" s="682"/>
      <c r="F113" s="682"/>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ht="15" thickTop="1">
      <c r="A114" s="579"/>
      <c r="B114" s="663">
        <f>B38</f>
        <v>111</v>
      </c>
      <c r="C114" s="651"/>
      <c r="D114" s="651"/>
      <c r="E114" s="651"/>
      <c r="F114" s="651"/>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90"/>
      <c r="D115" s="690"/>
      <c r="E115" s="690"/>
      <c r="F115" s="690"/>
      <c r="G115" s="661"/>
      <c r="H115" s="661"/>
      <c r="I115" s="661"/>
      <c r="J115" s="661"/>
      <c r="K115" s="661"/>
      <c r="L115" s="661"/>
      <c r="M115" s="662"/>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18"/>
      <c r="B116" s="719">
        <f>B39</f>
        <v>111</v>
      </c>
      <c r="C116" s="720"/>
      <c r="D116" s="720"/>
      <c r="E116" s="720"/>
      <c r="F116" s="720"/>
      <c r="G116" s="720"/>
      <c r="H116" s="720"/>
      <c r="I116" s="720"/>
      <c r="J116" s="721"/>
      <c r="K116" s="721"/>
      <c r="L116" s="722"/>
      <c r="M116" s="723"/>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7"/>
      <c r="B117" s="671"/>
      <c r="C117" s="640"/>
      <c r="D117" s="584"/>
      <c r="E117" s="584"/>
      <c r="F117" s="584"/>
      <c r="G117" s="584"/>
      <c r="H117" s="584"/>
      <c r="I117" s="584"/>
      <c r="J117" s="584"/>
      <c r="K117" s="584"/>
      <c r="L117" s="584"/>
      <c r="M117" s="724"/>
      <c r="N117" s="2043"/>
      <c r="O117" s="2043"/>
      <c r="P117" s="2045"/>
      <c r="Q117" s="2046"/>
      <c r="R117" s="2047"/>
      <c r="S117" s="2047"/>
      <c r="T117" s="2047"/>
      <c r="U117" s="2047"/>
      <c r="V117" s="2047"/>
      <c r="W117" s="2047"/>
      <c r="X117" s="2047"/>
      <c r="Y117" s="2047"/>
      <c r="Z117" s="2047"/>
      <c r="AA117" s="2047"/>
      <c r="AB117" s="2047"/>
      <c r="AC117" s="2047"/>
    </row>
    <row r="118" spans="1:29" ht="28.5">
      <c r="A118" s="654" t="s">
        <v>545</v>
      </c>
      <c r="B118" s="655" t="s">
        <v>587</v>
      </c>
      <c r="C118" s="694" t="str">
        <f t="shared" ref="C118:L118" si="26">C119&amp;"(含)"&amp;"-"&amp;D119</f>
        <v>0(含)-20000</v>
      </c>
      <c r="D118" s="694" t="str">
        <f t="shared" si="26"/>
        <v>20000(含)-40000</v>
      </c>
      <c r="E118" s="694" t="str">
        <f t="shared" si="26"/>
        <v>40000(含)-60000</v>
      </c>
      <c r="F118" s="694" t="str">
        <f t="shared" si="26"/>
        <v>60000(含)-80000</v>
      </c>
      <c r="G118" s="694" t="str">
        <f t="shared" si="26"/>
        <v>80000(含)-</v>
      </c>
      <c r="H118" s="694" t="str">
        <f t="shared" si="26"/>
        <v>(含)-</v>
      </c>
      <c r="I118" s="694" t="str">
        <f t="shared" si="26"/>
        <v>(含)-</v>
      </c>
      <c r="J118" s="2774" t="str">
        <f t="shared" si="26"/>
        <v>(含)-</v>
      </c>
      <c r="K118" s="2774" t="str">
        <f t="shared" si="26"/>
        <v>(含)-</v>
      </c>
      <c r="L118" s="2775" t="str">
        <f t="shared" si="26"/>
        <v>(含)-</v>
      </c>
      <c r="M118" s="2776"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9"/>
      <c r="B119" s="671"/>
      <c r="C119" s="720">
        <v>0</v>
      </c>
      <c r="D119" s="720">
        <v>20000</v>
      </c>
      <c r="E119" s="720">
        <v>40000</v>
      </c>
      <c r="F119" s="720">
        <v>60000</v>
      </c>
      <c r="G119" s="720">
        <v>80000</v>
      </c>
      <c r="H119" s="720"/>
      <c r="I119" s="720"/>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9"/>
      <c r="B120" s="668"/>
      <c r="C120" s="690">
        <v>100</v>
      </c>
      <c r="D120" s="690">
        <v>100.5</v>
      </c>
      <c r="E120" s="690">
        <v>101</v>
      </c>
      <c r="F120" s="690">
        <v>101.5</v>
      </c>
      <c r="G120" s="690">
        <v>102</v>
      </c>
      <c r="H120" s="716"/>
      <c r="I120" s="716"/>
      <c r="J120" s="716"/>
      <c r="K120" s="716"/>
      <c r="L120" s="716"/>
      <c r="M120" s="717"/>
      <c r="N120" s="2043"/>
      <c r="O120" s="2043"/>
      <c r="P120" s="2042"/>
      <c r="Q120" s="2035"/>
      <c r="R120" s="2023"/>
      <c r="S120" s="2023"/>
      <c r="T120" s="2023"/>
      <c r="U120" s="2023"/>
      <c r="V120" s="2023"/>
      <c r="W120" s="2023"/>
      <c r="X120" s="2023"/>
      <c r="Y120" s="2023"/>
      <c r="Z120" s="2023"/>
      <c r="AA120" s="2023"/>
      <c r="AB120" s="2023"/>
      <c r="AC120" s="2023"/>
    </row>
    <row r="121" spans="1:29" ht="15" thickTop="1">
      <c r="A121" s="725"/>
      <c r="B121" s="663" t="s">
        <v>588</v>
      </c>
      <c r="C121" s="3373" t="s">
        <v>3282</v>
      </c>
      <c r="D121" s="708"/>
      <c r="E121" s="708"/>
      <c r="F121" s="708"/>
      <c r="G121" s="708"/>
      <c r="H121" s="708"/>
      <c r="I121" s="708"/>
      <c r="J121" s="708"/>
      <c r="K121" s="709"/>
      <c r="L121" s="710"/>
      <c r="M121" s="711"/>
      <c r="N121" s="2041"/>
      <c r="O121" s="2041"/>
      <c r="P121" s="2042"/>
      <c r="Q121" s="2035"/>
      <c r="R121" s="2023"/>
      <c r="S121" s="2023"/>
      <c r="T121" s="2023"/>
      <c r="U121" s="2023"/>
      <c r="V121" s="2023"/>
      <c r="W121" s="2023"/>
      <c r="X121" s="2023"/>
      <c r="Y121" s="2023"/>
      <c r="Z121" s="2023"/>
      <c r="AA121" s="2023"/>
      <c r="AB121" s="2023"/>
      <c r="AC121" s="2023"/>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5"/>
      <c r="B123" s="663" t="s">
        <v>589</v>
      </c>
      <c r="C123" s="678"/>
      <c r="D123" s="678"/>
      <c r="E123" s="678"/>
      <c r="F123" s="708"/>
      <c r="G123" s="708"/>
      <c r="H123" s="708"/>
      <c r="I123" s="708"/>
      <c r="J123" s="708"/>
      <c r="K123" s="709"/>
      <c r="L123" s="710"/>
      <c r="M123" s="711"/>
      <c r="N123" s="2041"/>
      <c r="O123" s="2041"/>
      <c r="P123" s="2042"/>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18"/>
      <c r="B125" s="1806" t="s">
        <v>2409</v>
      </c>
      <c r="C125" s="1324" t="s">
        <v>2532</v>
      </c>
      <c r="D125" s="1324"/>
      <c r="E125" s="1324"/>
      <c r="F125" s="1324"/>
      <c r="G125" s="1324"/>
      <c r="H125" s="708"/>
      <c r="I125" s="708"/>
      <c r="J125" s="708"/>
      <c r="K125" s="709"/>
      <c r="L125" s="710"/>
      <c r="M125" s="711"/>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5"/>
      <c r="B127" s="663" t="s">
        <v>590</v>
      </c>
      <c r="C127" s="3328" t="s">
        <v>3111</v>
      </c>
      <c r="D127" s="3328" t="s">
        <v>3112</v>
      </c>
      <c r="E127" s="3373" t="s">
        <v>3103</v>
      </c>
      <c r="F127" s="3373" t="s">
        <v>3270</v>
      </c>
      <c r="G127" s="3373" t="s">
        <v>3271</v>
      </c>
      <c r="H127" s="708"/>
      <c r="I127" s="708"/>
      <c r="J127" s="708"/>
      <c r="K127" s="709"/>
      <c r="L127" s="710"/>
      <c r="M127" s="711"/>
      <c r="N127" s="2041"/>
      <c r="O127" s="2041"/>
      <c r="P127" s="2042"/>
      <c r="Q127" s="2035"/>
      <c r="R127" s="2023"/>
      <c r="S127" s="2023"/>
      <c r="T127" s="2023"/>
      <c r="U127" s="2023"/>
      <c r="V127" s="2023"/>
      <c r="W127" s="2023"/>
      <c r="X127" s="2023"/>
      <c r="Y127" s="2023"/>
      <c r="Z127" s="2023"/>
      <c r="AA127" s="2023"/>
      <c r="AB127" s="2023"/>
      <c r="AC127" s="2023"/>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5"/>
      <c r="B129" s="663">
        <f>B45</f>
        <v>111</v>
      </c>
      <c r="C129" s="678"/>
      <c r="D129" s="678"/>
      <c r="E129" s="678"/>
      <c r="F129" s="678"/>
      <c r="G129" s="678"/>
      <c r="H129" s="708"/>
      <c r="I129" s="708"/>
      <c r="J129" s="708"/>
      <c r="K129" s="709"/>
      <c r="L129" s="710"/>
      <c r="M129" s="711"/>
      <c r="N129" s="2041"/>
      <c r="O129" s="2041"/>
      <c r="P129" s="2042"/>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42"/>
      <c r="Q130" s="2035"/>
      <c r="R130" s="2023"/>
      <c r="S130" s="2023"/>
      <c r="T130" s="2023"/>
      <c r="U130" s="2023"/>
      <c r="V130" s="2023"/>
      <c r="W130" s="2023"/>
      <c r="X130" s="2023"/>
      <c r="Y130" s="2023"/>
      <c r="Z130" s="2023"/>
      <c r="AA130" s="2023"/>
      <c r="AB130" s="2023"/>
      <c r="AC130" s="2023"/>
    </row>
    <row r="131" spans="1:29" ht="15" thickTop="1">
      <c r="A131" s="725"/>
      <c r="B131" s="663">
        <f>B46</f>
        <v>111</v>
      </c>
      <c r="C131" s="651"/>
      <c r="D131" s="651"/>
      <c r="E131" s="651"/>
      <c r="F131" s="651"/>
      <c r="G131" s="708"/>
      <c r="H131" s="708"/>
      <c r="I131" s="708"/>
      <c r="J131" s="708"/>
      <c r="K131" s="709"/>
      <c r="L131" s="710"/>
      <c r="M131" s="711"/>
      <c r="N131" s="2041"/>
      <c r="O131" s="2041"/>
      <c r="P131" s="2042"/>
      <c r="Q131" s="2035"/>
      <c r="R131" s="2023"/>
      <c r="S131" s="2023"/>
      <c r="T131" s="2023"/>
      <c r="U131" s="2023"/>
      <c r="V131" s="2023"/>
      <c r="W131" s="2023"/>
      <c r="X131" s="2023"/>
      <c r="Y131" s="2023"/>
      <c r="Z131" s="2023"/>
      <c r="AA131" s="2023"/>
      <c r="AB131" s="2023"/>
      <c r="AC131" s="2023"/>
    </row>
    <row r="132" spans="1:29" ht="15.75" thickBot="1">
      <c r="A132" s="659"/>
      <c r="B132" s="668"/>
      <c r="C132" s="690"/>
      <c r="D132" s="690"/>
      <c r="E132" s="690"/>
      <c r="F132" s="690"/>
      <c r="G132" s="661"/>
      <c r="H132" s="661"/>
      <c r="I132" s="661"/>
      <c r="J132" s="661"/>
      <c r="K132" s="661"/>
      <c r="L132" s="661"/>
      <c r="M132" s="662"/>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18"/>
      <c r="B133" s="663">
        <f>B47</f>
        <v>111</v>
      </c>
      <c r="C133" s="651"/>
      <c r="D133" s="651"/>
      <c r="E133" s="651"/>
      <c r="F133" s="651"/>
      <c r="G133" s="679"/>
      <c r="H133" s="679"/>
      <c r="I133" s="679"/>
      <c r="J133" s="679"/>
      <c r="K133" s="679"/>
      <c r="L133" s="680"/>
      <c r="M133" s="681"/>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88"/>
      <c r="B134" s="726"/>
      <c r="C134" s="690"/>
      <c r="D134" s="690"/>
      <c r="E134" s="690"/>
      <c r="F134" s="690"/>
      <c r="G134" s="716"/>
      <c r="H134" s="716"/>
      <c r="I134" s="716"/>
      <c r="J134" s="716"/>
      <c r="K134" s="716"/>
      <c r="L134" s="716"/>
      <c r="M134" s="717"/>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86" priority="18" stopIfTrue="1" operator="containsText" text="超过">
      <formula>NOT(ISERROR(SEARCH("超过",F53)))</formula>
    </cfRule>
  </conditionalFormatting>
  <conditionalFormatting sqref="J55">
    <cfRule type="containsText" dxfId="85" priority="17" stopIfTrue="1" operator="containsText" text="超过">
      <formula>NOT(ISERROR(SEARCH("超过",J55)))</formula>
    </cfRule>
  </conditionalFormatting>
  <conditionalFormatting sqref="H55">
    <cfRule type="containsText" dxfId="84" priority="16" stopIfTrue="1" operator="containsText" text="超过">
      <formula>NOT(ISERROR(SEARCH("超过",H55)))</formula>
    </cfRule>
  </conditionalFormatting>
  <conditionalFormatting sqref="F55">
    <cfRule type="containsText" dxfId="83" priority="15" stopIfTrue="1" operator="containsText" text="超过">
      <formula>NOT(ISERROR(SEARCH("超过",F55)))</formula>
    </cfRule>
  </conditionalFormatting>
  <conditionalFormatting sqref="F54 H54 J54">
    <cfRule type="containsText" dxfId="82" priority="14" stopIfTrue="1" operator="containsText" text="超过">
      <formula>NOT(ISERROR(SEARCH("超过",F54)))</formula>
    </cfRule>
  </conditionalFormatting>
  <conditionalFormatting sqref="E53">
    <cfRule type="expression" dxfId="81" priority="13" stopIfTrue="1">
      <formula>$F$53="超过30%"</formula>
    </cfRule>
  </conditionalFormatting>
  <conditionalFormatting sqref="G55">
    <cfRule type="expression" dxfId="80" priority="12" stopIfTrue="1">
      <formula>$H$55="超过30%"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3">
    <cfRule type="expression" dxfId="77" priority="9" stopIfTrue="1">
      <formula>$H$55+$H$53="超过30%"</formula>
    </cfRule>
  </conditionalFormatting>
  <conditionalFormatting sqref="G54">
    <cfRule type="expression" dxfId="76" priority="8" stopIfTrue="1">
      <formula>$H$54="超过20%"</formula>
    </cfRule>
  </conditionalFormatting>
  <conditionalFormatting sqref="I53">
    <cfRule type="expression" dxfId="75" priority="7" stopIfTrue="1">
      <formula>$J$53="超过30%"</formula>
    </cfRule>
  </conditionalFormatting>
  <conditionalFormatting sqref="I54">
    <cfRule type="expression" dxfId="74" priority="6" stopIfTrue="1">
      <formula>$J$54="超过20%"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9:F47 H9:H47 J9:J47">
    <cfRule type="cellIs" dxfId="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drawing r:id="rId2"/>
  <legacyDrawing r:id="rId3"/>
</worksheet>
</file>

<file path=xl/worksheets/sheet49.xml><?xml version="1.0" encoding="utf-8"?>
<worksheet xmlns="http://schemas.openxmlformats.org/spreadsheetml/2006/main" xmlns:r="http://schemas.openxmlformats.org/officeDocument/2006/relationships">
  <sheetPr>
    <tabColor rgb="FFFFC000"/>
  </sheetPr>
  <dimension ref="A1:A68"/>
  <sheetViews>
    <sheetView topLeftCell="A77" zoomScale="70" zoomScaleNormal="70" workbookViewId="0">
      <selection activeCell="E15" sqref="E15"/>
    </sheetView>
  </sheetViews>
  <sheetFormatPr defaultRowHeight="13.5"/>
  <sheetData>
    <row r="1" spans="1:1">
      <c r="A1" s="3311" t="s">
        <v>3048</v>
      </c>
    </row>
    <row r="34" spans="1:1">
      <c r="A34" s="3311" t="s">
        <v>3047</v>
      </c>
    </row>
    <row r="68" spans="1:1">
      <c r="A68" s="3311" t="s">
        <v>3049</v>
      </c>
    </row>
  </sheetData>
  <phoneticPr fontId="228" type="noConversion"/>
  <hyperlinks>
    <hyperlink ref="A34" r:id="rId1"/>
    <hyperlink ref="A1" r:id="rId2"/>
    <hyperlink ref="A68" r:id="rId3"/>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8" t="s">
        <v>2026</v>
      </c>
      <c r="B1" s="3508"/>
      <c r="C1" s="3508"/>
      <c r="D1" s="3508"/>
      <c r="E1" s="3508"/>
      <c r="F1" s="3508"/>
      <c r="G1" s="3508"/>
      <c r="H1" s="3508"/>
      <c r="I1" s="3508"/>
      <c r="J1" s="3508"/>
      <c r="K1" s="3508"/>
      <c r="L1" s="3508"/>
      <c r="M1" s="3508"/>
      <c r="N1" s="3508"/>
      <c r="O1" s="3508"/>
      <c r="P1" s="3508"/>
      <c r="Q1" s="3508"/>
      <c r="R1" s="3508"/>
    </row>
    <row r="2" spans="1:18">
      <c r="A2" s="1718" t="s">
        <v>2028</v>
      </c>
      <c r="B2" s="1718"/>
      <c r="C2" s="1718"/>
      <c r="D2" s="1718"/>
      <c r="E2" s="1718"/>
      <c r="F2" s="1718"/>
      <c r="G2" s="1718"/>
      <c r="H2" s="1718"/>
      <c r="I2" s="1719"/>
      <c r="J2" s="1719"/>
      <c r="K2" s="1720" t="str">
        <f>"估价期日："&amp;TEXT(项目基本情况!D3,"yyyy年m月d日;;")</f>
        <v>估价期日：2021年8月4日</v>
      </c>
      <c r="L2" s="1718"/>
      <c r="M2" s="1718"/>
      <c r="N2" s="1718"/>
      <c r="O2" s="1718"/>
      <c r="P2" s="1718"/>
      <c r="Q2" s="1718"/>
      <c r="R2" s="1720" t="str">
        <f>"估价期日的国有建设用地使用权性质："&amp;项目基本情况!B16</f>
        <v>估价期日的国有建设用地使用权性质：出让</v>
      </c>
    </row>
    <row r="3" spans="1:18" ht="23.25" customHeight="1">
      <c r="A3" s="3509" t="s">
        <v>2017</v>
      </c>
      <c r="B3" s="3509" t="s">
        <v>2710</v>
      </c>
      <c r="C3" s="3510" t="s">
        <v>2018</v>
      </c>
      <c r="D3" s="3509" t="s">
        <v>2714</v>
      </c>
      <c r="E3" s="3512" t="s">
        <v>2019</v>
      </c>
      <c r="F3" s="3512"/>
      <c r="G3" s="3512"/>
      <c r="H3" s="3512" t="s">
        <v>2020</v>
      </c>
      <c r="I3" s="3512"/>
      <c r="J3" s="3512"/>
      <c r="K3" s="3510" t="s">
        <v>2021</v>
      </c>
      <c r="L3" s="3510" t="s">
        <v>2022</v>
      </c>
      <c r="M3" s="3509" t="s">
        <v>2711</v>
      </c>
      <c r="N3" s="3511" t="str">
        <f>"（分摊）"&amp;项目基本情况!B16&amp;"国有建设用地使用权面积/㎡"</f>
        <v>（分摊）出让国有建设用地使用权面积/㎡</v>
      </c>
      <c r="O3" s="3509" t="s">
        <v>2051</v>
      </c>
      <c r="P3" s="3510" t="s">
        <v>2031</v>
      </c>
      <c r="Q3" s="3510" t="s">
        <v>2052</v>
      </c>
      <c r="R3" s="3510" t="s">
        <v>2023</v>
      </c>
    </row>
    <row r="4" spans="1:18" ht="36.75" customHeight="1">
      <c r="A4" s="3509"/>
      <c r="B4" s="3509"/>
      <c r="C4" s="3510"/>
      <c r="D4" s="3509"/>
      <c r="E4" s="2487" t="s">
        <v>2030</v>
      </c>
      <c r="F4" s="2487" t="s">
        <v>2723</v>
      </c>
      <c r="G4" s="2487" t="s">
        <v>2024</v>
      </c>
      <c r="H4" s="2487" t="s">
        <v>2025</v>
      </c>
      <c r="I4" s="2487" t="s">
        <v>2724</v>
      </c>
      <c r="J4" s="2487" t="s">
        <v>2024</v>
      </c>
      <c r="K4" s="3510"/>
      <c r="L4" s="3510"/>
      <c r="M4" s="3509"/>
      <c r="N4" s="3511"/>
      <c r="O4" s="3509"/>
      <c r="P4" s="3510"/>
      <c r="Q4" s="3510"/>
      <c r="R4" s="3510"/>
    </row>
    <row r="5" spans="1:18" ht="135" customHeight="1">
      <c r="A5" s="1853" t="s">
        <v>2634</v>
      </c>
      <c r="B5" s="2580" t="s">
        <v>2632</v>
      </c>
      <c r="C5" s="2486">
        <v>22</v>
      </c>
      <c r="D5" s="2485" t="s">
        <v>2633</v>
      </c>
      <c r="E5" s="1721" t="str">
        <f>项目基本情况!B12</f>
        <v>商业、办公、地下商业、地下办公、地下车库</v>
      </c>
      <c r="F5" s="2485">
        <v>258</v>
      </c>
      <c r="G5" s="1721">
        <f>项目基本情况!B13</f>
        <v>0</v>
      </c>
      <c r="H5" s="2485">
        <v>1.5</v>
      </c>
      <c r="I5" s="2485">
        <v>1.5</v>
      </c>
      <c r="J5" s="2485">
        <v>1.5</v>
      </c>
      <c r="K5" s="1721" t="str">
        <f>"红线外"&amp;项目基本情况!T40&amp;"、宗地红线内"&amp;项目基本情况!B35</f>
        <v>红线外七通、宗地红线内</v>
      </c>
      <c r="L5" s="1721" t="str">
        <f>"红线外"&amp;项目基本情况!T40&amp;"、宗地红线内场地"&amp;项目基本情况!D36</f>
        <v>红线外七通、宗地红线内场地平整</v>
      </c>
      <c r="M5" s="1721">
        <f>IF(项目基本情况!B16="出让",项目基本情况!D20,"——")</f>
        <v>0</v>
      </c>
      <c r="N5" s="1721">
        <f>项目基本情况!C22</f>
        <v>60461.7</v>
      </c>
      <c r="O5" s="1721">
        <f>项目基本情况!C21</f>
        <v>121547.97</v>
      </c>
      <c r="P5" s="1721">
        <f ca="1">'结果表(商业）'!E42</f>
        <v>7159</v>
      </c>
      <c r="Q5" s="1721">
        <f ca="1">'结果表(商业）'!D42</f>
        <v>3561</v>
      </c>
      <c r="R5" s="1722">
        <f ca="1">'结果表(商业）'!C42</f>
        <v>43286</v>
      </c>
    </row>
    <row r="6" spans="1:18">
      <c r="A6" s="3505" t="str">
        <f>IF(项目基本情况!B9="市场价格","——","抵押价格")</f>
        <v>——</v>
      </c>
      <c r="B6" s="3506"/>
      <c r="C6" s="3506"/>
      <c r="D6" s="3506"/>
      <c r="E6" s="3506"/>
      <c r="F6" s="3506"/>
      <c r="G6" s="3506"/>
      <c r="H6" s="3506"/>
      <c r="I6" s="3506"/>
      <c r="J6" s="3506"/>
      <c r="K6" s="3506"/>
      <c r="L6" s="3506"/>
      <c r="M6" s="3506"/>
      <c r="N6" s="3506"/>
      <c r="O6" s="3506"/>
      <c r="P6" s="3506"/>
      <c r="Q6" s="3507"/>
      <c r="R6" s="1723" t="str">
        <f>'结果表(商业）'!O39</f>
        <v>——</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723" t="str">
        <f>'结果表(商业）'!O40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723" t="str">
        <f>'结果表(商业）'!O41</f>
        <v>——</v>
      </c>
    </row>
    <row r="9" spans="1:18">
      <c r="A9" s="1724" t="s">
        <v>2029</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2016</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sheetPr>
  <dimension ref="A1:AH116"/>
  <sheetViews>
    <sheetView zoomScale="80" zoomScaleNormal="80" workbookViewId="0">
      <selection activeCell="I6" sqref="I6:L6"/>
    </sheetView>
  </sheetViews>
  <sheetFormatPr defaultColWidth="9" defaultRowHeight="12.75"/>
  <cols>
    <col min="1" max="1" width="9" style="2880"/>
    <col min="2" max="6" width="9" style="2880" customWidth="1"/>
    <col min="7" max="7" width="9" style="2918" customWidth="1"/>
    <col min="8" max="12" width="9" style="2880" customWidth="1"/>
    <col min="13" max="13" width="2.1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858" t="s">
        <v>2556</v>
      </c>
      <c r="C1" s="3858"/>
      <c r="D1" s="3858"/>
      <c r="E1" s="3858"/>
      <c r="F1" s="3858"/>
      <c r="G1" s="3857" t="s">
        <v>2557</v>
      </c>
      <c r="H1" s="3857"/>
      <c r="I1" s="3857"/>
      <c r="J1" s="3857"/>
      <c r="K1" s="3857"/>
      <c r="L1" s="3857"/>
      <c r="N1" s="3857" t="s">
        <v>2558</v>
      </c>
      <c r="O1" s="3857"/>
      <c r="P1" s="3857"/>
      <c r="Q1" s="3857"/>
      <c r="S1" s="3857" t="s">
        <v>2559</v>
      </c>
      <c r="T1" s="3857"/>
      <c r="U1" s="3857"/>
      <c r="V1" s="3857"/>
      <c r="X1" s="3856" t="s">
        <v>2619</v>
      </c>
      <c r="Y1" s="3857"/>
      <c r="Z1" s="3857"/>
      <c r="AA1" s="3857"/>
      <c r="AB1" s="3857"/>
      <c r="AD1" s="3856" t="s">
        <v>2623</v>
      </c>
      <c r="AE1" s="3857"/>
      <c r="AF1" s="3857"/>
      <c r="AG1" s="3857"/>
      <c r="AH1" s="3857"/>
    </row>
    <row r="2" spans="1:34" s="2859" customFormat="1" ht="14.25" thickBot="1">
      <c r="B2" s="2860" t="s">
        <v>2560</v>
      </c>
      <c r="C2" s="2860" t="s">
        <v>2621</v>
      </c>
      <c r="D2" s="2861" t="s">
        <v>1634</v>
      </c>
      <c r="E2" s="2861" t="s">
        <v>1937</v>
      </c>
      <c r="F2" s="2860" t="s">
        <v>2622</v>
      </c>
      <c r="G2" s="2862"/>
      <c r="I2" s="2860" t="s">
        <v>2918</v>
      </c>
      <c r="J2" s="2861" t="s">
        <v>2920</v>
      </c>
      <c r="K2" s="2861" t="s">
        <v>2921</v>
      </c>
      <c r="L2" s="2860" t="s">
        <v>2922</v>
      </c>
      <c r="N2" s="2860" t="s">
        <v>2560</v>
      </c>
      <c r="O2" s="2861" t="s">
        <v>2919</v>
      </c>
      <c r="P2" s="2861" t="s">
        <v>1937</v>
      </c>
      <c r="Q2" s="2860" t="s">
        <v>2622</v>
      </c>
      <c r="S2" s="2860" t="s">
        <v>2560</v>
      </c>
      <c r="T2" s="2861" t="s">
        <v>2919</v>
      </c>
      <c r="U2" s="2861" t="s">
        <v>1937</v>
      </c>
      <c r="V2" s="2860" t="s">
        <v>2622</v>
      </c>
      <c r="X2" s="2860" t="s">
        <v>2560</v>
      </c>
      <c r="Y2" s="2860" t="s">
        <v>2621</v>
      </c>
      <c r="Z2" s="2861" t="s">
        <v>1634</v>
      </c>
      <c r="AA2" s="2861" t="s">
        <v>1937</v>
      </c>
      <c r="AB2" s="2860" t="s">
        <v>2622</v>
      </c>
      <c r="AD2" s="2860" t="s">
        <v>2560</v>
      </c>
      <c r="AE2" s="2860" t="s">
        <v>2621</v>
      </c>
      <c r="AF2" s="2861" t="s">
        <v>1634</v>
      </c>
      <c r="AG2" s="2861" t="s">
        <v>1937</v>
      </c>
      <c r="AH2" s="2860" t="s">
        <v>2622</v>
      </c>
    </row>
    <row r="3" spans="1:34" s="2869" customFormat="1" ht="14.25">
      <c r="A3" s="2863" t="s">
        <v>2929</v>
      </c>
      <c r="B3" s="2864"/>
      <c r="C3" s="2864"/>
      <c r="D3" s="2865"/>
      <c r="E3" s="2865"/>
      <c r="F3" s="2864"/>
      <c r="G3" s="2866"/>
      <c r="H3" s="2867"/>
      <c r="I3" s="2868">
        <f>ROUND(AVERAGE($I4:$I33),2)</f>
        <v>1.75</v>
      </c>
      <c r="J3" s="2868">
        <f>ROUND(AVERAGE($J4:$J33),2)</f>
        <v>1.1200000000000001</v>
      </c>
      <c r="K3" s="2868">
        <f>ROUND(AVERAGE($K4:$K33),2)</f>
        <v>1.93</v>
      </c>
      <c r="L3" s="2868">
        <f>ROUND(AVERAGE($L4:$L33),2)</f>
        <v>1.28</v>
      </c>
      <c r="N3" s="2866"/>
      <c r="S3" s="2866"/>
      <c r="W3" s="2870"/>
      <c r="X3" s="2871">
        <f>ROUND(SUMPRODUCT(PRODUCT(1+N3:N$32)),4)</f>
        <v>1.6034999999999999</v>
      </c>
      <c r="Y3" s="2871">
        <f>ROUND(SUMPRODUCT(PRODUCT(1+O3:O$32)),4)</f>
        <v>1.3469</v>
      </c>
      <c r="Z3" s="2871">
        <f t="shared" ref="Z3" si="0">Y3</f>
        <v>1.3469</v>
      </c>
      <c r="AA3" s="2871">
        <f>ROUND(SUMPRODUCT(PRODUCT(1+P3:P$32)),4)</f>
        <v>1.6801999999999999</v>
      </c>
      <c r="AB3" s="2871">
        <f>ROUND(SUMPRODUCT(PRODUCT(1+Q3:Q$32)),4)</f>
        <v>1.4263999999999999</v>
      </c>
      <c r="AD3" s="2872">
        <f>ROUND(AVERAGE(I3:I$33)/100,4)</f>
        <v>1.7500000000000002E-2</v>
      </c>
      <c r="AE3" s="2872">
        <f>ROUND(AVERAGE(J3:J$33)/100,4)</f>
        <v>1.12E-2</v>
      </c>
      <c r="AF3" s="2872">
        <f t="shared" ref="AF3:AF31" si="1">AE3</f>
        <v>1.12E-2</v>
      </c>
      <c r="AG3" s="2872">
        <f>ROUND(AVERAGE(K3:K$33)/100,4)</f>
        <v>1.9300000000000001E-2</v>
      </c>
      <c r="AH3" s="2872">
        <f>ROUND(AVERAGE(L3:L$33)/100,4)</f>
        <v>1.2800000000000001E-2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2994</v>
      </c>
      <c r="B5" s="2883">
        <f t="shared" ref="B5" si="2">B6*(1+N5)</f>
        <v>493.14449689037161</v>
      </c>
      <c r="C5" s="2883">
        <f t="shared" ref="C5" si="3">C6*(1+O5)</f>
        <v>347.21619073020611</v>
      </c>
      <c r="D5" s="2883">
        <f t="shared" ref="D5" si="4">C5</f>
        <v>347.21619073020611</v>
      </c>
      <c r="E5" s="2883">
        <f t="shared" ref="E5" si="5">E6*(1+P5)</f>
        <v>710.55974278763904</v>
      </c>
      <c r="F5" s="2883">
        <f t="shared" ref="F5" si="6">F6*(1+Q5)</f>
        <v>327.94540235306141</v>
      </c>
      <c r="G5" s="2876">
        <v>2021</v>
      </c>
      <c r="H5" s="2884">
        <v>1</v>
      </c>
      <c r="I5" s="2885">
        <v>0</v>
      </c>
      <c r="J5" s="2885">
        <v>0</v>
      </c>
      <c r="K5" s="2885">
        <v>0</v>
      </c>
      <c r="L5" s="2885">
        <v>0</v>
      </c>
      <c r="N5" s="2887">
        <f t="shared" ref="N5" si="7">I5/100</f>
        <v>0</v>
      </c>
      <c r="O5" s="2887">
        <f t="shared" ref="O5" si="8">J5/100</f>
        <v>0</v>
      </c>
      <c r="P5" s="2887">
        <f t="shared" ref="P5" si="9">K5/100</f>
        <v>0</v>
      </c>
      <c r="Q5" s="2887">
        <f t="shared" ref="Q5" si="10">L5/100</f>
        <v>0</v>
      </c>
      <c r="S5" s="2888"/>
      <c r="W5" s="2889" t="s">
        <v>2930</v>
      </c>
      <c r="X5" s="2890">
        <f>ROUND(SUMPRODUCT(PRODUCT(1+N5:N$33)),4)</f>
        <v>1.6511</v>
      </c>
      <c r="Y5" s="2890">
        <f>ROUND(SUMPRODUCT(PRODUCT(1+O5:O$33)),4)</f>
        <v>1.3785000000000001</v>
      </c>
      <c r="Z5" s="2890">
        <f t="shared" ref="Z5" si="11">Y5</f>
        <v>1.3785000000000001</v>
      </c>
      <c r="AA5" s="2890">
        <f>ROUND(SUMPRODUCT(PRODUCT(1+P5:P$33)),4)</f>
        <v>1.7353000000000001</v>
      </c>
      <c r="AB5" s="2890">
        <f>ROUND(SUMPRODUCT(PRODUCT(1+Q5:Q$33)),4)</f>
        <v>1.4458</v>
      </c>
      <c r="AD5" s="2891">
        <f>ROUND(AVERAGE(I5:I$33)/100,4)</f>
        <v>1.7500000000000002E-2</v>
      </c>
      <c r="AE5" s="2891">
        <f>ROUND(AVERAGE(J5:J$33)/100,4)</f>
        <v>1.12E-2</v>
      </c>
      <c r="AF5" s="2891">
        <f t="shared" ref="AF5" si="12">AE5</f>
        <v>1.12E-2</v>
      </c>
      <c r="AG5" s="2891">
        <f>ROUND(AVERAGE(K5:K$33)/100,4)</f>
        <v>1.9300000000000001E-2</v>
      </c>
      <c r="AH5" s="2891">
        <f>ROUND(AVERAGE(L5:L$33)/100,4)</f>
        <v>1.2800000000000001E-2</v>
      </c>
    </row>
    <row r="6" spans="1:34" s="2899" customFormat="1">
      <c r="A6" s="2892" t="s">
        <v>2995</v>
      </c>
      <c r="B6" s="2893">
        <f t="shared" ref="B6" si="13">B7*(1+N6)</f>
        <v>493.14449689037161</v>
      </c>
      <c r="C6" s="2893">
        <f t="shared" ref="C6" si="14">C7*(1+O6)</f>
        <v>347.21619073020611</v>
      </c>
      <c r="D6" s="2893">
        <f t="shared" ref="D6" si="15">C6</f>
        <v>347.21619073020611</v>
      </c>
      <c r="E6" s="2893">
        <f t="shared" ref="E6" si="16">E7*(1+P6)</f>
        <v>710.55974278763904</v>
      </c>
      <c r="F6" s="2893">
        <f t="shared" ref="F6" si="17">F7*(1+Q6)</f>
        <v>327.94540235306141</v>
      </c>
      <c r="G6" s="2876">
        <v>2020</v>
      </c>
      <c r="H6" s="2894">
        <v>4</v>
      </c>
      <c r="I6" s="2856">
        <v>2.0699999999999998</v>
      </c>
      <c r="J6" s="2856">
        <v>0.37</v>
      </c>
      <c r="K6" s="2856">
        <v>2.35</v>
      </c>
      <c r="L6" s="2857">
        <v>2.69</v>
      </c>
      <c r="M6" s="2880"/>
      <c r="N6" s="2895">
        <f t="shared" ref="N6" si="18">I6/100</f>
        <v>2.07E-2</v>
      </c>
      <c r="O6" s="2881">
        <f t="shared" ref="O6" si="19">J6/100</f>
        <v>3.7000000000000002E-3</v>
      </c>
      <c r="P6" s="2881">
        <f t="shared" ref="P6" si="20">K6/100</f>
        <v>2.35E-2</v>
      </c>
      <c r="Q6" s="2881">
        <f t="shared" ref="Q6" si="21">L6/100</f>
        <v>2.69E-2</v>
      </c>
      <c r="R6" s="2896"/>
      <c r="S6" s="2897"/>
      <c r="T6" s="2898"/>
      <c r="U6" s="2898"/>
      <c r="V6" s="2898"/>
      <c r="W6" s="2880"/>
      <c r="X6" s="2880">
        <f>ROUND(SUMPRODUCT(PRODUCT(1+N6:N$33)),4)</f>
        <v>1.6511</v>
      </c>
      <c r="Y6" s="2880">
        <f>ROUND(SUMPRODUCT(PRODUCT(1+O6:O$33)),4)</f>
        <v>1.3785000000000001</v>
      </c>
      <c r="Z6" s="2880">
        <f t="shared" ref="Z6" si="22">Y6</f>
        <v>1.3785000000000001</v>
      </c>
      <c r="AA6" s="2880">
        <f>ROUND(SUMPRODUCT(PRODUCT(1+P6:P$33)),4)</f>
        <v>1.7353000000000001</v>
      </c>
      <c r="AB6" s="2880">
        <f>ROUND(SUMPRODUCT(PRODUCT(1+Q6:Q$33)),4)</f>
        <v>1.4458</v>
      </c>
      <c r="AC6" s="2880"/>
      <c r="AD6" s="2881">
        <f>ROUND(AVERAGE(I6:I$33)/100,4)</f>
        <v>1.8200000000000001E-2</v>
      </c>
      <c r="AE6" s="2881">
        <f>ROUND(AVERAGE(J6:J$33)/100,4)</f>
        <v>1.1599999999999999E-2</v>
      </c>
      <c r="AF6" s="2881">
        <f t="shared" ref="AF6" si="23">AE6</f>
        <v>1.1599999999999999E-2</v>
      </c>
      <c r="AG6" s="2881">
        <f>ROUND(AVERAGE(K6:K$33)/100,4)</f>
        <v>0.02</v>
      </c>
      <c r="AH6" s="2881">
        <f>ROUND(AVERAGE(L6:L$33)/100,4)</f>
        <v>1.3299999999999999E-2</v>
      </c>
    </row>
    <row r="7" spans="1:34" s="2899" customFormat="1">
      <c r="A7" s="2892" t="s">
        <v>2993</v>
      </c>
      <c r="B7" s="2893">
        <f t="shared" ref="B7" si="24">B8*(1+N7)</f>
        <v>483.1434279321756</v>
      </c>
      <c r="C7" s="2893">
        <f t="shared" ref="C7" si="25">C8*(1+O7)</f>
        <v>345.93622669144776</v>
      </c>
      <c r="D7" s="2893">
        <f t="shared" ref="D7" si="26">C7</f>
        <v>345.93622669144776</v>
      </c>
      <c r="E7" s="2893">
        <f t="shared" ref="E7" si="27">E8*(1+P7)</f>
        <v>694.24498562544113</v>
      </c>
      <c r="F7" s="2893">
        <f t="shared" ref="F7" si="28">F8*(1+Q7)</f>
        <v>319.35475932716082</v>
      </c>
      <c r="G7" s="2876">
        <v>2020</v>
      </c>
      <c r="H7" s="2894">
        <v>3</v>
      </c>
      <c r="I7" s="2856">
        <v>0.36</v>
      </c>
      <c r="J7" s="2856">
        <v>-0.39</v>
      </c>
      <c r="K7" s="2856">
        <v>0.49</v>
      </c>
      <c r="L7" s="2857">
        <v>7.0000000000000007E-2</v>
      </c>
      <c r="M7" s="2880"/>
      <c r="N7" s="2895">
        <f t="shared" ref="N7" si="29">I7/100</f>
        <v>3.5999999999999999E-3</v>
      </c>
      <c r="O7" s="2881">
        <f t="shared" ref="O7" si="30">J7/100</f>
        <v>-3.9000000000000003E-3</v>
      </c>
      <c r="P7" s="2881">
        <f t="shared" ref="P7" si="31">K7/100</f>
        <v>4.8999999999999998E-3</v>
      </c>
      <c r="Q7" s="2881">
        <f t="shared" ref="Q7" si="32">L7/100</f>
        <v>7.000000000000001E-4</v>
      </c>
      <c r="R7" s="2896"/>
      <c r="S7" s="2897"/>
      <c r="T7" s="2898"/>
      <c r="U7" s="2898"/>
      <c r="V7" s="2898"/>
      <c r="W7" s="2880"/>
      <c r="X7" s="2880">
        <f>ROUND(SUMPRODUCT(PRODUCT(1+N7:N$33)),4)</f>
        <v>1.6175999999999999</v>
      </c>
      <c r="Y7" s="2880">
        <f>ROUND(SUMPRODUCT(PRODUCT(1+O7:O$33)),4)</f>
        <v>1.3734</v>
      </c>
      <c r="Z7" s="2880">
        <f t="shared" ref="Z7" si="33">Y7</f>
        <v>1.3734</v>
      </c>
      <c r="AA7" s="2880">
        <f>ROUND(SUMPRODUCT(PRODUCT(1+P7:P$33)),4)</f>
        <v>1.6955</v>
      </c>
      <c r="AB7" s="2880">
        <f>ROUND(SUMPRODUCT(PRODUCT(1+Q7:Q$33)),4)</f>
        <v>1.4078999999999999</v>
      </c>
      <c r="AC7" s="2880"/>
      <c r="AD7" s="2881">
        <f>ROUND(AVERAGE(I7:I$33)/100,4)</f>
        <v>1.8100000000000002E-2</v>
      </c>
      <c r="AE7" s="2881">
        <f>ROUND(AVERAGE(J7:J$33)/100,4)</f>
        <v>1.1900000000000001E-2</v>
      </c>
      <c r="AF7" s="2881">
        <f t="shared" ref="AF7" si="34">AE7</f>
        <v>1.1900000000000001E-2</v>
      </c>
      <c r="AG7" s="2881">
        <f>ROUND(AVERAGE(K7:K$33)/100,4)</f>
        <v>1.9900000000000001E-2</v>
      </c>
      <c r="AH7" s="2881">
        <f>ROUND(AVERAGE(L7:L$33)/100,4)</f>
        <v>1.2800000000000001E-2</v>
      </c>
    </row>
    <row r="8" spans="1:34" s="2899" customFormat="1">
      <c r="A8" s="2892" t="s">
        <v>2956</v>
      </c>
      <c r="B8" s="2893">
        <f t="shared" ref="B8" si="35">B9*(1+N8)</f>
        <v>481.4103506697644</v>
      </c>
      <c r="C8" s="2893">
        <f t="shared" ref="C8" si="36">C9*(1+O8)</f>
        <v>347.29066026648707</v>
      </c>
      <c r="D8" s="2893">
        <f t="shared" ref="D8" si="37">C8</f>
        <v>347.29066026648707</v>
      </c>
      <c r="E8" s="2893">
        <f t="shared" ref="E8" si="38">E9*(1+P8)</f>
        <v>690.85977273901995</v>
      </c>
      <c r="F8" s="2893">
        <f t="shared" ref="F8" si="39">F9*(1+Q8)</f>
        <v>319.13136737000184</v>
      </c>
      <c r="G8" s="2876">
        <v>2020</v>
      </c>
      <c r="H8" s="2894">
        <v>2</v>
      </c>
      <c r="I8" s="2856">
        <v>0.31</v>
      </c>
      <c r="J8" s="2856">
        <v>-0.78</v>
      </c>
      <c r="K8" s="2856">
        <v>0.5</v>
      </c>
      <c r="L8" s="2857">
        <v>0.47</v>
      </c>
      <c r="M8" s="2880"/>
      <c r="N8" s="2895">
        <f t="shared" ref="N8" si="40">I8/100</f>
        <v>3.0999999999999999E-3</v>
      </c>
      <c r="O8" s="2881">
        <f t="shared" ref="O8" si="41">J8/100</f>
        <v>-7.8000000000000005E-3</v>
      </c>
      <c r="P8" s="2881">
        <f t="shared" ref="P8" si="42">K8/100</f>
        <v>5.0000000000000001E-3</v>
      </c>
      <c r="Q8" s="2881">
        <f t="shared" ref="Q8" si="43">L8/100</f>
        <v>4.6999999999999993E-3</v>
      </c>
      <c r="R8" s="2896"/>
      <c r="S8" s="2897"/>
      <c r="T8" s="2898"/>
      <c r="U8" s="2898"/>
      <c r="V8" s="2898"/>
      <c r="W8" s="2880"/>
      <c r="X8" s="2880">
        <f>ROUND(SUMPRODUCT(PRODUCT(1+N8:N$33)),4)</f>
        <v>1.6117999999999999</v>
      </c>
      <c r="Y8" s="2880">
        <f>ROUND(SUMPRODUCT(PRODUCT(1+O8:O$33)),4)</f>
        <v>1.3788</v>
      </c>
      <c r="Z8" s="2880">
        <f t="shared" ref="Z8" si="44">Y8</f>
        <v>1.3788</v>
      </c>
      <c r="AA8" s="2880">
        <f>ROUND(SUMPRODUCT(PRODUCT(1+P8:P$33)),4)</f>
        <v>1.6872</v>
      </c>
      <c r="AB8" s="2880">
        <f>ROUND(SUMPRODUCT(PRODUCT(1+Q8:Q$33)),4)</f>
        <v>1.4069</v>
      </c>
      <c r="AC8" s="2880"/>
      <c r="AD8" s="2881">
        <f>ROUND(AVERAGE(I8:I$33)/100,4)</f>
        <v>1.8599999999999998E-2</v>
      </c>
      <c r="AE8" s="2881">
        <f>ROUND(AVERAGE(J8:J$33)/100,4)</f>
        <v>1.2500000000000001E-2</v>
      </c>
      <c r="AF8" s="2881">
        <f t="shared" ref="AF8" si="45">AE8</f>
        <v>1.2500000000000001E-2</v>
      </c>
      <c r="AG8" s="2881">
        <f>ROUND(AVERAGE(K8:K$33)/100,4)</f>
        <v>2.0400000000000001E-2</v>
      </c>
      <c r="AH8" s="2881">
        <f>ROUND(AVERAGE(L8:L$33)/100,4)</f>
        <v>1.32E-2</v>
      </c>
    </row>
    <row r="9" spans="1:34" s="2899" customFormat="1">
      <c r="A9" s="2892" t="s">
        <v>2954</v>
      </c>
      <c r="B9" s="2893">
        <f t="shared" ref="B9" si="46">B10*(1+N9)</f>
        <v>479.92259063878413</v>
      </c>
      <c r="C9" s="2893">
        <f t="shared" ref="C9" si="47">C10*(1+O9)</f>
        <v>350.02082268341775</v>
      </c>
      <c r="D9" s="2893">
        <f t="shared" ref="D9" si="48">C9</f>
        <v>350.02082268341775</v>
      </c>
      <c r="E9" s="2893">
        <f t="shared" ref="E9" si="49">E10*(1+P9)</f>
        <v>687.42265944181099</v>
      </c>
      <c r="F9" s="2893">
        <f t="shared" ref="F9" si="50">F10*(1+Q9)</f>
        <v>317.63846657708956</v>
      </c>
      <c r="G9" s="2876">
        <v>2020</v>
      </c>
      <c r="H9" s="2894">
        <v>1</v>
      </c>
      <c r="I9" s="2856">
        <v>0.12</v>
      </c>
      <c r="J9" s="2856">
        <v>-0.4</v>
      </c>
      <c r="K9" s="2856">
        <v>0.21</v>
      </c>
      <c r="L9" s="2857">
        <v>0.27</v>
      </c>
      <c r="M9" s="2880"/>
      <c r="N9" s="2895">
        <f t="shared" ref="N9" si="51">I9/100</f>
        <v>1.1999999999999999E-3</v>
      </c>
      <c r="O9" s="2881">
        <f t="shared" ref="O9" si="52">J9/100</f>
        <v>-4.0000000000000001E-3</v>
      </c>
      <c r="P9" s="2881">
        <f t="shared" ref="P9" si="53">K9/100</f>
        <v>2.0999999999999999E-3</v>
      </c>
      <c r="Q9" s="2881">
        <f t="shared" ref="Q9" si="54">L9/100</f>
        <v>2.7000000000000001E-3</v>
      </c>
      <c r="R9" s="2896"/>
      <c r="S9" s="2897">
        <f>B9/B10-1</f>
        <v>1.2000000000000899E-3</v>
      </c>
      <c r="T9" s="2898">
        <f>C9/C10-1</f>
        <v>-4.0000000000000036E-3</v>
      </c>
      <c r="U9" s="2898">
        <f>E9/E10-1</f>
        <v>2.0999999999999908E-3</v>
      </c>
      <c r="V9" s="2898">
        <f>F9/F10-1</f>
        <v>2.6999999999999247E-3</v>
      </c>
      <c r="W9" s="2880"/>
      <c r="X9" s="2880">
        <f>ROUND(SUMPRODUCT(PRODUCT(1+N9:N$33)),4)</f>
        <v>1.6068</v>
      </c>
      <c r="Y9" s="2880">
        <f>ROUND(SUMPRODUCT(PRODUCT(1+O9:O$33)),4)</f>
        <v>1.3895999999999999</v>
      </c>
      <c r="Z9" s="2880">
        <f t="shared" ref="Z9:Z32" si="55">Y9</f>
        <v>1.3895999999999999</v>
      </c>
      <c r="AA9" s="2880">
        <f>ROUND(SUMPRODUCT(PRODUCT(1+P9:P$33)),4)</f>
        <v>1.6788000000000001</v>
      </c>
      <c r="AB9" s="2880">
        <f>ROUND(SUMPRODUCT(PRODUCT(1+Q9:Q$33)),4)</f>
        <v>1.4004000000000001</v>
      </c>
      <c r="AC9" s="2880"/>
      <c r="AD9" s="2881">
        <f>ROUND(AVERAGE(I9:I$33)/100,4)</f>
        <v>1.9199999999999998E-2</v>
      </c>
      <c r="AE9" s="2881">
        <f>ROUND(AVERAGE(J9:J$33)/100,4)</f>
        <v>1.3299999999999999E-2</v>
      </c>
      <c r="AF9" s="2881">
        <f t="shared" ref="AF9" si="56">AE9</f>
        <v>1.3299999999999999E-2</v>
      </c>
      <c r="AG9" s="2881">
        <f>ROUND(AVERAGE(K9:K$33)/100,4)</f>
        <v>2.1100000000000001E-2</v>
      </c>
      <c r="AH9" s="2881">
        <f>ROUND(AVERAGE(L9:L$33)/100,4)</f>
        <v>1.3599999999999999E-2</v>
      </c>
    </row>
    <row r="10" spans="1:34" s="2899" customFormat="1">
      <c r="A10" s="2892" t="s">
        <v>2951</v>
      </c>
      <c r="B10" s="2893">
        <f t="shared" ref="B10" si="57">B11*(1+N10)</f>
        <v>479.34737379023579</v>
      </c>
      <c r="C10" s="2893">
        <f t="shared" ref="C10" si="58">C11*(1+O10)</f>
        <v>351.4265287986122</v>
      </c>
      <c r="D10" s="2893">
        <f t="shared" ref="D10" si="59">C10</f>
        <v>351.4265287986122</v>
      </c>
      <c r="E10" s="2893">
        <f t="shared" ref="E10" si="60">E11*(1+P10)</f>
        <v>685.98209703803116</v>
      </c>
      <c r="F10" s="2893">
        <f t="shared" ref="F10" si="61">F11*(1+Q10)</f>
        <v>316.78315206651001</v>
      </c>
      <c r="G10" s="2876">
        <v>2019</v>
      </c>
      <c r="H10" s="2894">
        <v>4</v>
      </c>
      <c r="I10" s="2894">
        <v>0.45</v>
      </c>
      <c r="J10" s="2894">
        <v>-0.12</v>
      </c>
      <c r="K10" s="2894">
        <v>0.54</v>
      </c>
      <c r="L10" s="2900">
        <v>0.48</v>
      </c>
      <c r="M10" s="2880"/>
      <c r="N10" s="2895">
        <f t="shared" ref="N10" si="62">I10/100</f>
        <v>4.5000000000000005E-3</v>
      </c>
      <c r="O10" s="2881">
        <f t="shared" ref="O10" si="63">J10/100</f>
        <v>-1.1999999999999999E-3</v>
      </c>
      <c r="P10" s="2881">
        <f t="shared" ref="P10" si="64">K10/100</f>
        <v>5.4000000000000003E-3</v>
      </c>
      <c r="Q10" s="2881">
        <f t="shared" ref="Q10" si="65">L10/100</f>
        <v>4.7999999999999996E-3</v>
      </c>
      <c r="R10" s="2896"/>
      <c r="S10" s="2897"/>
      <c r="T10" s="2898"/>
      <c r="U10" s="2898"/>
      <c r="V10" s="2898"/>
      <c r="W10" s="2880"/>
      <c r="X10" s="2880">
        <f>ROUND(SUMPRODUCT(PRODUCT(1+N10:N$33)),4)</f>
        <v>1.6049</v>
      </c>
      <c r="Y10" s="2880">
        <f>ROUND(SUMPRODUCT(PRODUCT(1+O10:O$33)),4)</f>
        <v>1.3952</v>
      </c>
      <c r="Z10" s="2880">
        <f t="shared" si="55"/>
        <v>1.3952</v>
      </c>
      <c r="AA10" s="2880">
        <f>ROUND(SUMPRODUCT(PRODUCT(1+P10:P$33)),4)</f>
        <v>1.6753</v>
      </c>
      <c r="AB10" s="2880">
        <f>ROUND(SUMPRODUCT(PRODUCT(1+Q10:Q$33)),4)</f>
        <v>1.3966000000000001</v>
      </c>
      <c r="AC10" s="2880"/>
      <c r="AD10" s="2881">
        <f>ROUND(AVERAGE(I10:I$33)/100,4)</f>
        <v>0.02</v>
      </c>
      <c r="AE10" s="2881">
        <f>ROUND(AVERAGE(J10:J$33)/100,4)</f>
        <v>1.4E-2</v>
      </c>
      <c r="AF10" s="2881">
        <f t="shared" ref="AF10" si="66">AE10</f>
        <v>1.4E-2</v>
      </c>
      <c r="AG10" s="2881">
        <f>ROUND(AVERAGE(K10:K$33)/100,4)</f>
        <v>2.1899999999999999E-2</v>
      </c>
      <c r="AH10" s="2881">
        <f>ROUND(AVERAGE(L10:L$33)/100,4)</f>
        <v>1.4E-2</v>
      </c>
    </row>
    <row r="11" spans="1:34" s="2899" customFormat="1" ht="13.5" thickBot="1">
      <c r="A11" s="2892" t="s">
        <v>2950</v>
      </c>
      <c r="B11" s="2893">
        <f t="shared" ref="B11" si="67">B12*(1+N11)</f>
        <v>477.19997390765138</v>
      </c>
      <c r="C11" s="2893">
        <f t="shared" ref="C11" si="68">C12*(1+O11)</f>
        <v>351.84874729536665</v>
      </c>
      <c r="D11" s="2893">
        <f t="shared" ref="D11" si="69">C11</f>
        <v>351.84874729536665</v>
      </c>
      <c r="E11" s="2893">
        <f t="shared" ref="E11" si="70">E12*(1+P11)</f>
        <v>682.29768951465201</v>
      </c>
      <c r="F11" s="2893">
        <f t="shared" ref="F11" si="71">F12*(1+Q11)</f>
        <v>315.26985675409043</v>
      </c>
      <c r="G11" s="2876">
        <v>2019</v>
      </c>
      <c r="H11" s="2894">
        <v>3</v>
      </c>
      <c r="I11" s="2894">
        <v>0.61</v>
      </c>
      <c r="J11" s="2894">
        <v>0.67</v>
      </c>
      <c r="K11" s="2894">
        <v>0.6</v>
      </c>
      <c r="L11" s="2900">
        <v>1.03</v>
      </c>
      <c r="M11" s="2880"/>
      <c r="N11" s="2895">
        <f t="shared" ref="N11" si="72">I11/100</f>
        <v>6.0999999999999995E-3</v>
      </c>
      <c r="O11" s="2881">
        <f t="shared" ref="O11" si="73">J11/100</f>
        <v>6.7000000000000002E-3</v>
      </c>
      <c r="P11" s="2881">
        <f t="shared" ref="P11" si="74">K11/100</f>
        <v>6.0000000000000001E-3</v>
      </c>
      <c r="Q11" s="2881">
        <f t="shared" ref="Q11" si="75">L11/100</f>
        <v>1.03E-2</v>
      </c>
      <c r="R11" s="2896"/>
      <c r="S11" s="2897"/>
      <c r="T11" s="2898"/>
      <c r="U11" s="2898"/>
      <c r="V11" s="2898"/>
      <c r="W11" s="2880"/>
      <c r="X11" s="2880">
        <f>ROUND(SUMPRODUCT(PRODUCT(1+N11:N$33)),4)</f>
        <v>1.5976999999999999</v>
      </c>
      <c r="Y11" s="2880">
        <f>ROUND(SUMPRODUCT(PRODUCT(1+O11:O$33)),4)</f>
        <v>1.3969</v>
      </c>
      <c r="Z11" s="2880">
        <f t="shared" si="55"/>
        <v>1.3969</v>
      </c>
      <c r="AA11" s="2880">
        <f>ROUND(SUMPRODUCT(PRODUCT(1+P11:P$33)),4)</f>
        <v>1.6662999999999999</v>
      </c>
      <c r="AB11" s="2880">
        <f>ROUND(SUMPRODUCT(PRODUCT(1+Q11:Q$33)),4)</f>
        <v>1.3898999999999999</v>
      </c>
      <c r="AC11" s="2880"/>
      <c r="AD11" s="2881">
        <f>ROUND(AVERAGE(I11:I$33)/100,4)</f>
        <v>2.07E-2</v>
      </c>
      <c r="AE11" s="2881">
        <f>ROUND(AVERAGE(J11:J$33)/100,4)</f>
        <v>1.47E-2</v>
      </c>
      <c r="AF11" s="2881">
        <f t="shared" ref="AF11" si="76">AE11</f>
        <v>1.47E-2</v>
      </c>
      <c r="AG11" s="2881">
        <f>ROUND(AVERAGE(K11:K$33)/100,4)</f>
        <v>2.2599999999999999E-2</v>
      </c>
      <c r="AH11" s="2881">
        <f>ROUND(AVERAGE(L11:L$33)/100,4)</f>
        <v>1.44E-2</v>
      </c>
    </row>
    <row r="12" spans="1:34" s="2899" customFormat="1">
      <c r="A12" s="2892" t="s">
        <v>2949</v>
      </c>
      <c r="B12" s="2893">
        <f t="shared" ref="B12:B17" si="77">B13*(1+N12)</f>
        <v>474.30670301923408</v>
      </c>
      <c r="C12" s="2893">
        <f t="shared" ref="C12" si="78">C13*(1+O12)</f>
        <v>349.50705005996491</v>
      </c>
      <c r="D12" s="2893">
        <f t="shared" ref="D12" si="79">C12</f>
        <v>349.50705005996491</v>
      </c>
      <c r="E12" s="2893">
        <f t="shared" ref="E12" si="80">E13*(1+P12)</f>
        <v>678.22831959706957</v>
      </c>
      <c r="F12" s="2893">
        <f t="shared" ref="F12" si="81">F13*(1+Q12)</f>
        <v>312.0556832169558</v>
      </c>
      <c r="G12" s="2876">
        <v>2019</v>
      </c>
      <c r="H12" s="2901">
        <v>2</v>
      </c>
      <c r="I12" s="2901">
        <v>1.53</v>
      </c>
      <c r="J12" s="2901">
        <v>1.01</v>
      </c>
      <c r="K12" s="2901">
        <v>1.62</v>
      </c>
      <c r="L12" s="2902">
        <v>1.25</v>
      </c>
      <c r="M12" s="2880"/>
      <c r="N12" s="2895">
        <f t="shared" ref="N12" si="82">I12/100</f>
        <v>1.5300000000000001E-2</v>
      </c>
      <c r="O12" s="2881">
        <f t="shared" ref="O12" si="83">J12/100</f>
        <v>1.01E-2</v>
      </c>
      <c r="P12" s="2881">
        <f t="shared" ref="P12" si="84">K12/100</f>
        <v>1.6200000000000003E-2</v>
      </c>
      <c r="Q12" s="2881">
        <f t="shared" ref="Q12" si="85">L12/100</f>
        <v>1.2500000000000001E-2</v>
      </c>
      <c r="R12" s="2896"/>
      <c r="S12" s="2897"/>
      <c r="T12" s="2898"/>
      <c r="U12" s="2898"/>
      <c r="V12" s="2898"/>
      <c r="W12" s="2880"/>
      <c r="X12" s="2880">
        <f>ROUND(SUMPRODUCT(PRODUCT(1+N12:N$33)),4)</f>
        <v>1.5880000000000001</v>
      </c>
      <c r="Y12" s="2880">
        <f>ROUND(SUMPRODUCT(PRODUCT(1+O12:O$33)),4)</f>
        <v>1.3875999999999999</v>
      </c>
      <c r="Z12" s="2880">
        <f t="shared" si="55"/>
        <v>1.3875999999999999</v>
      </c>
      <c r="AA12" s="2880">
        <f>ROUND(SUMPRODUCT(PRODUCT(1+P12:P$33)),4)</f>
        <v>1.6563000000000001</v>
      </c>
      <c r="AB12" s="2880">
        <f>ROUND(SUMPRODUCT(PRODUCT(1+Q12:Q$33)),4)</f>
        <v>1.3756999999999999</v>
      </c>
      <c r="AC12" s="2880"/>
      <c r="AD12" s="2881">
        <f>ROUND(AVERAGE(I12:I$33)/100,4)</f>
        <v>2.1299999999999999E-2</v>
      </c>
      <c r="AE12" s="2881">
        <f>ROUND(AVERAGE(J12:J$33)/100,4)</f>
        <v>1.4999999999999999E-2</v>
      </c>
      <c r="AF12" s="2881">
        <f t="shared" ref="AF12" si="86">AE12</f>
        <v>1.4999999999999999E-2</v>
      </c>
      <c r="AG12" s="2881">
        <f>ROUND(AVERAGE(K12:K$33)/100,4)</f>
        <v>2.3300000000000001E-2</v>
      </c>
      <c r="AH12" s="2881">
        <f>ROUND(AVERAGE(L12:L$33)/100,4)</f>
        <v>1.46E-2</v>
      </c>
    </row>
    <row r="13" spans="1:34" s="2899" customFormat="1" ht="13.5" thickBot="1">
      <c r="A13" s="2892" t="s">
        <v>2948</v>
      </c>
      <c r="B13" s="2893">
        <f t="shared" si="77"/>
        <v>467.15916775261894</v>
      </c>
      <c r="C13" s="2893">
        <f t="shared" ref="C13" si="87">C14*(1+O13)</f>
        <v>346.01232557169084</v>
      </c>
      <c r="D13" s="2893">
        <f t="shared" ref="D13" si="88">C13</f>
        <v>346.01232557169084</v>
      </c>
      <c r="E13" s="2893">
        <f t="shared" ref="E13" si="89">E14*(1+P13)</f>
        <v>667.41617752122568</v>
      </c>
      <c r="F13" s="2893">
        <f t="shared" ref="F13" si="90">F14*(1+Q13)</f>
        <v>308.20314391798104</v>
      </c>
      <c r="G13" s="2876">
        <v>2019</v>
      </c>
      <c r="H13" s="2894">
        <v>1</v>
      </c>
      <c r="I13" s="2894">
        <v>0.6</v>
      </c>
      <c r="J13" s="2894">
        <v>0.37</v>
      </c>
      <c r="K13" s="2894">
        <v>0.63</v>
      </c>
      <c r="L13" s="2900">
        <v>1.1299999999999999</v>
      </c>
      <c r="M13" s="2880"/>
      <c r="N13" s="2895">
        <f t="shared" ref="N13" si="91">I13/100</f>
        <v>6.0000000000000001E-3</v>
      </c>
      <c r="O13" s="2881">
        <f t="shared" ref="O13" si="92">J13/100</f>
        <v>3.7000000000000002E-3</v>
      </c>
      <c r="P13" s="2881">
        <f t="shared" ref="P13" si="93">K13/100</f>
        <v>6.3E-3</v>
      </c>
      <c r="Q13" s="2881">
        <f t="shared" ref="Q13" si="94">L13/100</f>
        <v>1.1299999999999999E-2</v>
      </c>
      <c r="R13" s="2896"/>
      <c r="S13" s="2897">
        <f>B13/B14-1</f>
        <v>6.0000000000000053E-3</v>
      </c>
      <c r="T13" s="2898">
        <f>C13/C14-1</f>
        <v>3.7000000000000366E-3</v>
      </c>
      <c r="U13" s="2898">
        <f>E13/E14-1</f>
        <v>6.2999999999999723E-3</v>
      </c>
      <c r="V13" s="2898">
        <f>F13/F14-1</f>
        <v>1.1300000000000088E-2</v>
      </c>
      <c r="W13" s="2880"/>
      <c r="X13" s="2880">
        <f>ROUND(SUMPRODUCT(PRODUCT(1+N13:N$33)),4)</f>
        <v>1.5641</v>
      </c>
      <c r="Y13" s="2880">
        <f>ROUND(SUMPRODUCT(PRODUCT(1+O13:O$33)),4)</f>
        <v>1.3736999999999999</v>
      </c>
      <c r="Z13" s="2880">
        <f t="shared" si="55"/>
        <v>1.3736999999999999</v>
      </c>
      <c r="AA13" s="2880">
        <f>ROUND(SUMPRODUCT(PRODUCT(1+P13:P$33)),4)</f>
        <v>1.6298999999999999</v>
      </c>
      <c r="AB13" s="2880">
        <f>ROUND(SUMPRODUCT(PRODUCT(1+Q13:Q$33)),4)</f>
        <v>1.3588</v>
      </c>
      <c r="AC13" s="2880"/>
      <c r="AD13" s="2881">
        <f>ROUND(AVERAGE(I13:I$33)/100,4)</f>
        <v>2.1600000000000001E-2</v>
      </c>
      <c r="AE13" s="2881">
        <f>ROUND(AVERAGE(J13:J$33)/100,4)</f>
        <v>1.5299999999999999E-2</v>
      </c>
      <c r="AF13" s="2881">
        <f t="shared" ref="AF13" si="95">AE13</f>
        <v>1.5299999999999999E-2</v>
      </c>
      <c r="AG13" s="2881">
        <f>ROUND(AVERAGE(K13:K$33)/100,4)</f>
        <v>2.3699999999999999E-2</v>
      </c>
      <c r="AH13" s="2881">
        <f>ROUND(AVERAGE(L13:L$33)/100,4)</f>
        <v>1.47E-2</v>
      </c>
    </row>
    <row r="14" spans="1:34" s="2899" customFormat="1">
      <c r="A14" s="2892" t="s">
        <v>2946</v>
      </c>
      <c r="B14" s="2903">
        <f t="shared" si="77"/>
        <v>464.37293017158942</v>
      </c>
      <c r="C14" s="2903">
        <f t="shared" ref="C14" si="96">C15*(1+O14)</f>
        <v>344.73679941385956</v>
      </c>
      <c r="D14" s="2903">
        <f t="shared" ref="D14" si="97">C14</f>
        <v>344.73679941385956</v>
      </c>
      <c r="E14" s="2903">
        <f t="shared" ref="E14" si="98">E15*(1+P14)</f>
        <v>663.2377795103107</v>
      </c>
      <c r="F14" s="2904">
        <f t="shared" ref="F14" si="99">F15*(1+Q14)</f>
        <v>304.75936311478398</v>
      </c>
      <c r="G14" s="3852">
        <v>2018</v>
      </c>
      <c r="H14" s="2901">
        <v>4</v>
      </c>
      <c r="I14" s="2901">
        <v>0.96</v>
      </c>
      <c r="J14" s="2901">
        <v>1.03</v>
      </c>
      <c r="K14" s="2901">
        <v>0.92</v>
      </c>
      <c r="L14" s="2902">
        <v>1.29</v>
      </c>
      <c r="M14" s="2880"/>
      <c r="N14" s="2895">
        <f t="shared" ref="N14" si="100">I14/100</f>
        <v>9.5999999999999992E-3</v>
      </c>
      <c r="O14" s="2881">
        <f t="shared" ref="O14" si="101">J14/100</f>
        <v>1.03E-2</v>
      </c>
      <c r="P14" s="2881">
        <f t="shared" ref="P14" si="102">K14/100</f>
        <v>9.1999999999999998E-3</v>
      </c>
      <c r="Q14" s="2881">
        <f t="shared" ref="Q14" si="103">L14/100</f>
        <v>1.29E-2</v>
      </c>
      <c r="R14" s="2896"/>
      <c r="S14" s="2905"/>
      <c r="T14" s="2906"/>
      <c r="U14" s="2906"/>
      <c r="V14" s="2906"/>
      <c r="W14" s="2880"/>
      <c r="X14" s="2880">
        <f>ROUND(SUMPRODUCT(PRODUCT(1+N14:N$33)),4)</f>
        <v>1.5548</v>
      </c>
      <c r="Y14" s="2880">
        <f>ROUND(SUMPRODUCT(PRODUCT(1+O14:O$33)),4)</f>
        <v>1.3686</v>
      </c>
      <c r="Z14" s="2880">
        <f t="shared" si="55"/>
        <v>1.3686</v>
      </c>
      <c r="AA14" s="2880">
        <f>ROUND(SUMPRODUCT(PRODUCT(1+P14:P$33)),4)</f>
        <v>1.6196999999999999</v>
      </c>
      <c r="AB14" s="2880">
        <f>ROUND(SUMPRODUCT(PRODUCT(1+Q14:Q$33)),4)</f>
        <v>1.3435999999999999</v>
      </c>
      <c r="AC14" s="2880"/>
      <c r="AD14" s="2881">
        <f>ROUND(AVERAGE(I14:I$33)/100,4)</f>
        <v>2.24E-2</v>
      </c>
      <c r="AE14" s="2881">
        <f>ROUND(AVERAGE(J14:J$33)/100,4)</f>
        <v>1.5800000000000002E-2</v>
      </c>
      <c r="AF14" s="2881">
        <f t="shared" ref="AF14" si="104">AE14</f>
        <v>1.5800000000000002E-2</v>
      </c>
      <c r="AG14" s="2881">
        <f>ROUND(AVERAGE(K14:K$33)/100,4)</f>
        <v>2.4500000000000001E-2</v>
      </c>
      <c r="AH14" s="2881">
        <f>ROUND(AVERAGE(L14:L$33)/100,4)</f>
        <v>1.49E-2</v>
      </c>
    </row>
    <row r="15" spans="1:34" s="2899" customFormat="1" ht="14.45" customHeight="1">
      <c r="A15" s="2892" t="s">
        <v>2939</v>
      </c>
      <c r="B15" s="2893">
        <f t="shared" si="77"/>
        <v>459.95733971036987</v>
      </c>
      <c r="C15" s="2893">
        <f t="shared" ref="C15" si="105">C16*(1+O15)</f>
        <v>341.22221064422405</v>
      </c>
      <c r="D15" s="2893">
        <f t="shared" ref="D15" si="106">C15</f>
        <v>341.22221064422405</v>
      </c>
      <c r="E15" s="2893">
        <f t="shared" ref="E15" si="107">E16*(1+P15)</f>
        <v>657.19161663724799</v>
      </c>
      <c r="F15" s="2893">
        <f t="shared" ref="F15" si="108">F16*(1+Q15)</f>
        <v>300.87803644464805</v>
      </c>
      <c r="G15" s="3852"/>
      <c r="H15" s="2894">
        <v>3</v>
      </c>
      <c r="I15" s="2894">
        <v>1.51</v>
      </c>
      <c r="J15" s="2894">
        <v>1.41</v>
      </c>
      <c r="K15" s="2894">
        <v>1.52</v>
      </c>
      <c r="L15" s="2900">
        <v>1.74</v>
      </c>
      <c r="M15" s="2880"/>
      <c r="N15" s="2895">
        <f t="shared" ref="N15" si="109">I15/100</f>
        <v>1.5100000000000001E-2</v>
      </c>
      <c r="O15" s="2881">
        <f t="shared" ref="O15" si="110">J15/100</f>
        <v>1.41E-2</v>
      </c>
      <c r="P15" s="2881">
        <f t="shared" ref="P15" si="111">K15/100</f>
        <v>1.52E-2</v>
      </c>
      <c r="Q15" s="2881">
        <f t="shared" ref="Q15" si="112">L15/100</f>
        <v>1.7399999999999999E-2</v>
      </c>
      <c r="R15" s="2896"/>
      <c r="S15" s="2895"/>
      <c r="T15" s="2881"/>
      <c r="U15" s="2881"/>
      <c r="V15" s="2881"/>
      <c r="W15" s="2880"/>
      <c r="X15" s="2880">
        <f>ROUND(SUMPRODUCT(PRODUCT(1+N15:N$33)),4)</f>
        <v>1.54</v>
      </c>
      <c r="Y15" s="2880">
        <f>ROUND(SUMPRODUCT(PRODUCT(1+O15:O$33)),4)</f>
        <v>1.3547</v>
      </c>
      <c r="Z15" s="2880">
        <f t="shared" si="55"/>
        <v>1.3547</v>
      </c>
      <c r="AA15" s="2880">
        <f>ROUND(SUMPRODUCT(PRODUCT(1+P15:P$33)),4)</f>
        <v>1.605</v>
      </c>
      <c r="AB15" s="2880">
        <f>ROUND(SUMPRODUCT(PRODUCT(1+Q15:Q$33)),4)</f>
        <v>1.3265</v>
      </c>
      <c r="AC15" s="2880"/>
      <c r="AD15" s="2881">
        <f>ROUND(AVERAGE(I15:I$33)/100,4)</f>
        <v>2.3099999999999999E-2</v>
      </c>
      <c r="AE15" s="2881">
        <f>ROUND(AVERAGE(J15:J$33)/100,4)</f>
        <v>1.61E-2</v>
      </c>
      <c r="AF15" s="2881">
        <f t="shared" ref="AF15" si="113">AE15</f>
        <v>1.61E-2</v>
      </c>
      <c r="AG15" s="2881">
        <f>ROUND(AVERAGE(K15:K$33)/100,4)</f>
        <v>2.53E-2</v>
      </c>
      <c r="AH15" s="2881">
        <f>ROUND(AVERAGE(L15:L$33)/100,4)</f>
        <v>1.4999999999999999E-2</v>
      </c>
    </row>
    <row r="16" spans="1:34" s="2899" customFormat="1" ht="14.45" customHeight="1">
      <c r="A16" s="2892" t="s">
        <v>2940</v>
      </c>
      <c r="B16" s="2893">
        <f t="shared" si="77"/>
        <v>453.11529869999993</v>
      </c>
      <c r="C16" s="2893">
        <f t="shared" ref="C16" si="114">C17*(1+O16)</f>
        <v>336.47787264000004</v>
      </c>
      <c r="D16" s="2893">
        <f t="shared" ref="D16" si="115">C16</f>
        <v>336.47787264000004</v>
      </c>
      <c r="E16" s="2893">
        <f t="shared" ref="E16" si="116">E17*(1+P16)</f>
        <v>647.35186823999993</v>
      </c>
      <c r="F16" s="2893">
        <f t="shared" ref="F16" si="117">F17*(1+Q16)</f>
        <v>295.73229452000004</v>
      </c>
      <c r="G16" s="3852"/>
      <c r="H16" s="2907">
        <v>2</v>
      </c>
      <c r="I16" s="2907">
        <v>1.49</v>
      </c>
      <c r="J16" s="2907">
        <v>0.96</v>
      </c>
      <c r="K16" s="2907">
        <v>1.58</v>
      </c>
      <c r="L16" s="2908">
        <v>2.44</v>
      </c>
      <c r="M16" s="2880"/>
      <c r="N16" s="2895">
        <f t="shared" ref="N16" si="118">I16/100</f>
        <v>1.49E-2</v>
      </c>
      <c r="O16" s="2881">
        <f t="shared" ref="O16" si="119">J16/100</f>
        <v>9.5999999999999992E-3</v>
      </c>
      <c r="P16" s="2881">
        <f t="shared" ref="P16" si="120">K16/100</f>
        <v>1.5800000000000002E-2</v>
      </c>
      <c r="Q16" s="2881">
        <f t="shared" ref="Q16" si="121">L16/100</f>
        <v>2.4399999999999998E-2</v>
      </c>
      <c r="R16" s="2896"/>
      <c r="S16" s="2895"/>
      <c r="T16" s="2881"/>
      <c r="U16" s="2881"/>
      <c r="V16" s="2881"/>
      <c r="W16" s="2880"/>
      <c r="X16" s="2880">
        <f>ROUND(SUMPRODUCT(PRODUCT(1+N16:N$33)),4)</f>
        <v>1.5170999999999999</v>
      </c>
      <c r="Y16" s="2880">
        <f>ROUND(SUMPRODUCT(PRODUCT(1+O16:O$33)),4)</f>
        <v>1.3358000000000001</v>
      </c>
      <c r="Z16" s="2880">
        <f t="shared" si="55"/>
        <v>1.3358000000000001</v>
      </c>
      <c r="AA16" s="2880">
        <f>ROUND(SUMPRODUCT(PRODUCT(1+P16:P$33)),4)</f>
        <v>1.5809</v>
      </c>
      <c r="AB16" s="2880">
        <f>ROUND(SUMPRODUCT(PRODUCT(1+Q16:Q$33)),4)</f>
        <v>1.3038000000000001</v>
      </c>
      <c r="AC16" s="2880"/>
      <c r="AD16" s="2881">
        <f>ROUND(AVERAGE(I16:I$33)/100,4)</f>
        <v>2.35E-2</v>
      </c>
      <c r="AE16" s="2881">
        <f>ROUND(AVERAGE(J16:J$33)/100,4)</f>
        <v>1.6199999999999999E-2</v>
      </c>
      <c r="AF16" s="2881">
        <f t="shared" ref="AF16" si="122">AE16</f>
        <v>1.6199999999999999E-2</v>
      </c>
      <c r="AG16" s="2881">
        <f>ROUND(AVERAGE(K16:K$33)/100,4)</f>
        <v>2.5899999999999999E-2</v>
      </c>
      <c r="AH16" s="2881">
        <f>ROUND(AVERAGE(L16:L$33)/100,4)</f>
        <v>1.49E-2</v>
      </c>
    </row>
    <row r="17" spans="1:34" s="2899" customFormat="1" ht="15" customHeight="1" thickBot="1">
      <c r="A17" s="2892" t="s">
        <v>2936</v>
      </c>
      <c r="B17" s="2893">
        <f t="shared" si="77"/>
        <v>446.46299999999997</v>
      </c>
      <c r="C17" s="2893">
        <f t="shared" ref="C17" si="123">C18*(1+O17)</f>
        <v>333.27840000000003</v>
      </c>
      <c r="D17" s="2893">
        <f t="shared" ref="D17:D22" si="124">C17</f>
        <v>333.27840000000003</v>
      </c>
      <c r="E17" s="2893">
        <f t="shared" ref="E17" si="125">E18*(1+P17)</f>
        <v>637.28279999999995</v>
      </c>
      <c r="F17" s="2893">
        <f t="shared" ref="F17" si="126">F18*(1+Q17)</f>
        <v>288.68830000000003</v>
      </c>
      <c r="G17" s="3853"/>
      <c r="H17" s="2894">
        <v>1</v>
      </c>
      <c r="I17" s="2894">
        <v>1.7</v>
      </c>
      <c r="J17" s="2894">
        <v>1.92</v>
      </c>
      <c r="K17" s="2894">
        <v>1.64</v>
      </c>
      <c r="L17" s="2900">
        <v>2.0099999999999998</v>
      </c>
      <c r="M17" s="2880"/>
      <c r="N17" s="2895">
        <f t="shared" ref="N17:N22" si="127">I17/100</f>
        <v>1.7000000000000001E-2</v>
      </c>
      <c r="O17" s="2881">
        <f t="shared" ref="O17" si="128">J17/100</f>
        <v>1.9199999999999998E-2</v>
      </c>
      <c r="P17" s="2881">
        <f t="shared" ref="P17" si="129">K17/100</f>
        <v>1.6399999999999998E-2</v>
      </c>
      <c r="Q17" s="2881">
        <f t="shared" ref="Q17" si="130">L17/100</f>
        <v>2.0099999999999996E-2</v>
      </c>
      <c r="R17" s="2896"/>
      <c r="S17" s="2897">
        <f>B17/B18-1</f>
        <v>1.6999999999999904E-2</v>
      </c>
      <c r="T17" s="2898">
        <f>C17/C18-1</f>
        <v>1.9200000000000106E-2</v>
      </c>
      <c r="U17" s="2898">
        <f>E17/E18-1</f>
        <v>1.639999999999997E-2</v>
      </c>
      <c r="V17" s="2898">
        <f>F17/F18-1</f>
        <v>2.0100000000000007E-2</v>
      </c>
      <c r="W17" s="2880"/>
      <c r="X17" s="2880">
        <f>ROUND(SUMPRODUCT(PRODUCT(1+N17:N$33)),4)</f>
        <v>1.4947999999999999</v>
      </c>
      <c r="Y17" s="2880">
        <f>ROUND(SUMPRODUCT(PRODUCT(1+O17:O$33)),4)</f>
        <v>1.3230999999999999</v>
      </c>
      <c r="Z17" s="2880">
        <f t="shared" si="55"/>
        <v>1.3230999999999999</v>
      </c>
      <c r="AA17" s="2880">
        <f>ROUND(SUMPRODUCT(PRODUCT(1+P17:P$33)),4)</f>
        <v>1.5564</v>
      </c>
      <c r="AB17" s="2880">
        <f>ROUND(SUMPRODUCT(PRODUCT(1+Q17:Q$33)),4)</f>
        <v>1.2726999999999999</v>
      </c>
      <c r="AC17" s="2880"/>
      <c r="AD17" s="2881">
        <f>ROUND(AVERAGE(I17:I$33)/100,4)</f>
        <v>2.4E-2</v>
      </c>
      <c r="AE17" s="2881">
        <f>ROUND(AVERAGE(J17:J$33)/100,4)</f>
        <v>1.66E-2</v>
      </c>
      <c r="AF17" s="2881">
        <f t="shared" ref="AF17" si="131">AE17</f>
        <v>1.66E-2</v>
      </c>
      <c r="AG17" s="2881">
        <f>ROUND(AVERAGE(K17:K$33)/100,4)</f>
        <v>2.6499999999999999E-2</v>
      </c>
      <c r="AH17" s="2881">
        <f>ROUND(AVERAGE(L17:L$33)/100,4)</f>
        <v>1.43E-2</v>
      </c>
    </row>
    <row r="18" spans="1:34">
      <c r="A18" s="2892" t="s">
        <v>2928</v>
      </c>
      <c r="B18" s="2909">
        <v>439</v>
      </c>
      <c r="C18" s="2909">
        <v>327</v>
      </c>
      <c r="D18" s="2909">
        <f t="shared" si="124"/>
        <v>327</v>
      </c>
      <c r="E18" s="2909">
        <v>627</v>
      </c>
      <c r="F18" s="2910">
        <v>283</v>
      </c>
      <c r="G18" s="3851">
        <v>2017</v>
      </c>
      <c r="H18" s="2901">
        <v>4</v>
      </c>
      <c r="I18" s="2901">
        <v>1.71</v>
      </c>
      <c r="J18" s="2901">
        <v>1.78</v>
      </c>
      <c r="K18" s="2901">
        <v>1.71</v>
      </c>
      <c r="L18" s="2902">
        <v>1.43</v>
      </c>
      <c r="N18" s="2911">
        <f t="shared" si="127"/>
        <v>1.7100000000000001E-2</v>
      </c>
      <c r="O18" s="2912">
        <f t="shared" ref="O18" si="132">J18/100</f>
        <v>1.78E-2</v>
      </c>
      <c r="P18" s="2912">
        <f t="shared" ref="P18" si="133">K18/100</f>
        <v>1.7100000000000001E-2</v>
      </c>
      <c r="Q18" s="2912">
        <f t="shared" ref="Q18" si="134">L18/100</f>
        <v>1.43E-2</v>
      </c>
      <c r="R18" s="2896"/>
      <c r="S18" s="2905"/>
      <c r="T18" s="2906"/>
      <c r="U18" s="2906"/>
      <c r="V18" s="2906"/>
      <c r="X18" s="2880">
        <f>ROUND(SUMPRODUCT(PRODUCT(1+N18:N$33)),4)</f>
        <v>1.4698</v>
      </c>
      <c r="Y18" s="2880">
        <f>ROUND(SUMPRODUCT(PRODUCT(1+O18:O$33)),4)</f>
        <v>1.2982</v>
      </c>
      <c r="Z18" s="2880">
        <f t="shared" si="55"/>
        <v>1.2982</v>
      </c>
      <c r="AA18" s="2880">
        <f>ROUND(SUMPRODUCT(PRODUCT(1+P18:P$33)),4)</f>
        <v>1.5311999999999999</v>
      </c>
      <c r="AB18" s="2880">
        <f>ROUND(SUMPRODUCT(PRODUCT(1+Q18:Q$33)),4)</f>
        <v>1.2476</v>
      </c>
      <c r="AD18" s="2881">
        <f>ROUND(AVERAGE(I18:I$33)/100,4)</f>
        <v>2.4500000000000001E-2</v>
      </c>
      <c r="AE18" s="2881">
        <f>ROUND(AVERAGE(J18:J$33)/100,4)</f>
        <v>1.6500000000000001E-2</v>
      </c>
      <c r="AF18" s="2881">
        <f t="shared" si="1"/>
        <v>1.6500000000000001E-2</v>
      </c>
      <c r="AG18" s="2881">
        <f>ROUND(AVERAGE(K18:K$33)/100,4)</f>
        <v>2.7099999999999999E-2</v>
      </c>
      <c r="AH18" s="2881">
        <f>ROUND(AVERAGE(L18:L$33)/100,4)</f>
        <v>1.3899999999999999E-2</v>
      </c>
    </row>
    <row r="19" spans="1:34" s="2899" customFormat="1" ht="14.45" customHeight="1">
      <c r="A19" s="2892" t="s">
        <v>2931</v>
      </c>
      <c r="B19" s="2893">
        <f t="shared" ref="B19:C21" si="135">B20*(1+N19)</f>
        <v>431.80730811680002</v>
      </c>
      <c r="C19" s="2893">
        <f t="shared" si="135"/>
        <v>320.57880516480003</v>
      </c>
      <c r="D19" s="2893">
        <f t="shared" si="124"/>
        <v>320.57880516480003</v>
      </c>
      <c r="E19" s="2893">
        <f t="shared" ref="E19:F21" si="136">E20*(1+P19)</f>
        <v>615.96110553196797</v>
      </c>
      <c r="F19" s="2893">
        <f t="shared" si="136"/>
        <v>279.46777300108801</v>
      </c>
      <c r="G19" s="3852"/>
      <c r="H19" s="2894">
        <v>3</v>
      </c>
      <c r="I19" s="2894">
        <v>2.98</v>
      </c>
      <c r="J19" s="2894">
        <v>2.11</v>
      </c>
      <c r="K19" s="2894">
        <v>3.24</v>
      </c>
      <c r="L19" s="2900">
        <v>1.72</v>
      </c>
      <c r="M19" s="2880"/>
      <c r="N19" s="2895">
        <f t="shared" si="127"/>
        <v>2.98E-2</v>
      </c>
      <c r="O19" s="2913">
        <f t="shared" ref="O19:O20" si="137">J19/100</f>
        <v>2.1099999999999997E-2</v>
      </c>
      <c r="P19" s="2913">
        <f t="shared" ref="P19:P20" si="138">K19/100</f>
        <v>3.2400000000000005E-2</v>
      </c>
      <c r="Q19" s="2913">
        <f t="shared" ref="Q19:Q20" si="139">L19/100</f>
        <v>1.72E-2</v>
      </c>
      <c r="R19" s="2896"/>
      <c r="S19" s="2895"/>
      <c r="T19" s="2881"/>
      <c r="U19" s="2881"/>
      <c r="V19" s="2881"/>
      <c r="W19" s="2880"/>
      <c r="X19" s="2880">
        <f>ROUND(SUMPRODUCT(PRODUCT(1+N19:N$33)),4)</f>
        <v>1.4451000000000001</v>
      </c>
      <c r="Y19" s="2880">
        <f>ROUND(SUMPRODUCT(PRODUCT(1+O19:O$33)),4)</f>
        <v>1.2755000000000001</v>
      </c>
      <c r="Z19" s="2880">
        <f t="shared" si="55"/>
        <v>1.2755000000000001</v>
      </c>
      <c r="AA19" s="2880">
        <f>ROUND(SUMPRODUCT(PRODUCT(1+P19:P$33)),4)</f>
        <v>1.5055000000000001</v>
      </c>
      <c r="AB19" s="2880">
        <f>ROUND(SUMPRODUCT(PRODUCT(1+Q19:Q$33)),4)</f>
        <v>1.2301</v>
      </c>
      <c r="AC19" s="2880"/>
      <c r="AD19" s="2881">
        <f>ROUND(AVERAGE(I19:I$33)/100,4)</f>
        <v>2.4899999999999999E-2</v>
      </c>
      <c r="AE19" s="2881">
        <f>ROUND(AVERAGE(J19:J$33)/100,4)</f>
        <v>1.6400000000000001E-2</v>
      </c>
      <c r="AF19" s="2881">
        <f t="shared" si="1"/>
        <v>1.6400000000000001E-2</v>
      </c>
      <c r="AG19" s="2881">
        <f>ROUND(AVERAGE(K19:K$33)/100,4)</f>
        <v>2.7799999999999998E-2</v>
      </c>
      <c r="AH19" s="2881">
        <f>ROUND(AVERAGE(L19:L$33)/100,4)</f>
        <v>1.3899999999999999E-2</v>
      </c>
    </row>
    <row r="20" spans="1:34" s="2858" customFormat="1" ht="14.45" customHeight="1">
      <c r="A20" s="2892" t="s">
        <v>2561</v>
      </c>
      <c r="B20" s="2893">
        <f t="shared" si="135"/>
        <v>419.31181600000002</v>
      </c>
      <c r="C20" s="2893">
        <f t="shared" si="135"/>
        <v>313.95436800000004</v>
      </c>
      <c r="D20" s="2893">
        <f t="shared" si="124"/>
        <v>313.95436800000004</v>
      </c>
      <c r="E20" s="2893">
        <f t="shared" si="136"/>
        <v>596.63028431999999</v>
      </c>
      <c r="F20" s="2893">
        <f t="shared" si="136"/>
        <v>274.74220703999998</v>
      </c>
      <c r="G20" s="3852"/>
      <c r="H20" s="2907">
        <v>2</v>
      </c>
      <c r="I20" s="2907">
        <v>3.4</v>
      </c>
      <c r="J20" s="2907">
        <v>2</v>
      </c>
      <c r="K20" s="2907">
        <v>3.82</v>
      </c>
      <c r="L20" s="2908">
        <v>1.68</v>
      </c>
      <c r="N20" s="2895">
        <f t="shared" si="127"/>
        <v>3.4000000000000002E-2</v>
      </c>
      <c r="O20" s="2913">
        <f t="shared" si="137"/>
        <v>0.02</v>
      </c>
      <c r="P20" s="2913">
        <f t="shared" si="138"/>
        <v>3.8199999999999998E-2</v>
      </c>
      <c r="Q20" s="2913">
        <f t="shared" si="139"/>
        <v>1.6799999999999999E-2</v>
      </c>
      <c r="S20" s="2895"/>
      <c r="T20" s="2881"/>
      <c r="U20" s="2881"/>
      <c r="V20" s="2881"/>
      <c r="X20" s="2880">
        <f>ROUND(SUMPRODUCT(PRODUCT(1+N20:N$33)),4)</f>
        <v>1.4033</v>
      </c>
      <c r="Y20" s="2880">
        <f>ROUND(SUMPRODUCT(PRODUCT(1+O20:O$33)),4)</f>
        <v>1.2491000000000001</v>
      </c>
      <c r="Z20" s="2880">
        <f t="shared" si="55"/>
        <v>1.2491000000000001</v>
      </c>
      <c r="AA20" s="2880">
        <f>ROUND(SUMPRODUCT(PRODUCT(1+P20:P$33)),4)</f>
        <v>1.4581999999999999</v>
      </c>
      <c r="AB20" s="2880">
        <f>ROUND(SUMPRODUCT(PRODUCT(1+Q20:Q$33)),4)</f>
        <v>1.2093</v>
      </c>
      <c r="AD20" s="2881">
        <f>ROUND(AVERAGE(I20:I$33)/100,4)</f>
        <v>2.46E-2</v>
      </c>
      <c r="AE20" s="2881">
        <f>ROUND(AVERAGE(J20:J$33)/100,4)</f>
        <v>1.6E-2</v>
      </c>
      <c r="AF20" s="2881">
        <f t="shared" si="1"/>
        <v>1.6E-2</v>
      </c>
      <c r="AG20" s="2881">
        <f>ROUND(AVERAGE(K20:K$33)/100,4)</f>
        <v>2.75E-2</v>
      </c>
      <c r="AH20" s="2881">
        <f>ROUND(AVERAGE(L20:L$33)/100,4)</f>
        <v>1.37E-2</v>
      </c>
    </row>
    <row r="21" spans="1:34" s="2899" customFormat="1" ht="15" customHeight="1" thickBot="1">
      <c r="A21" s="2892" t="s">
        <v>2562</v>
      </c>
      <c r="B21" s="2893">
        <f t="shared" si="135"/>
        <v>405.524</v>
      </c>
      <c r="C21" s="2893">
        <f t="shared" si="135"/>
        <v>307.79840000000002</v>
      </c>
      <c r="D21" s="2893">
        <f t="shared" si="124"/>
        <v>307.79840000000002</v>
      </c>
      <c r="E21" s="2893">
        <f t="shared" si="136"/>
        <v>574.67759999999998</v>
      </c>
      <c r="F21" s="2893">
        <f t="shared" si="136"/>
        <v>270.20280000000002</v>
      </c>
      <c r="G21" s="3853"/>
      <c r="H21" s="2894">
        <v>1</v>
      </c>
      <c r="I21" s="2894">
        <v>3.45</v>
      </c>
      <c r="J21" s="2894">
        <v>1.92</v>
      </c>
      <c r="K21" s="2894">
        <v>3.92</v>
      </c>
      <c r="L21" s="2900">
        <v>1.58</v>
      </c>
      <c r="M21" s="2880"/>
      <c r="N21" s="2897">
        <f t="shared" si="127"/>
        <v>3.4500000000000003E-2</v>
      </c>
      <c r="O21" s="2898">
        <f t="shared" ref="O21" si="140">J21/100</f>
        <v>1.9199999999999998E-2</v>
      </c>
      <c r="P21" s="2898">
        <f t="shared" ref="P21" si="141">K21/100</f>
        <v>3.9199999999999999E-2</v>
      </c>
      <c r="Q21" s="2898">
        <f t="shared" ref="Q21" si="142">L21/100</f>
        <v>1.5800000000000002E-2</v>
      </c>
      <c r="R21" s="2896"/>
      <c r="S21" s="2897">
        <f>B21/B22-1</f>
        <v>3.4499999999999975E-2</v>
      </c>
      <c r="T21" s="2898">
        <f>C21/C22-1</f>
        <v>1.9200000000000106E-2</v>
      </c>
      <c r="U21" s="2898">
        <f>E21/E22-1</f>
        <v>3.9199999999999902E-2</v>
      </c>
      <c r="V21" s="2898">
        <f>F21/F22-1</f>
        <v>1.5800000000000036E-2</v>
      </c>
      <c r="W21" s="2880"/>
      <c r="X21" s="2880">
        <f>ROUND(SUMPRODUCT(PRODUCT(1+N21:N$33)),4)</f>
        <v>1.3571</v>
      </c>
      <c r="Y21" s="2880">
        <f>ROUND(SUMPRODUCT(PRODUCT(1+O21:O$33)),4)</f>
        <v>1.2245999999999999</v>
      </c>
      <c r="Z21" s="2880">
        <f t="shared" si="55"/>
        <v>1.2245999999999999</v>
      </c>
      <c r="AA21" s="2880">
        <f>ROUND(SUMPRODUCT(PRODUCT(1+P21:P$33)),4)</f>
        <v>1.4046000000000001</v>
      </c>
      <c r="AB21" s="2880">
        <f>ROUND(SUMPRODUCT(PRODUCT(1+Q21:Q$33)),4)</f>
        <v>1.1893</v>
      </c>
      <c r="AC21" s="2880"/>
      <c r="AD21" s="2881">
        <f>ROUND(AVERAGE(I21:I$33)/100,4)</f>
        <v>2.3900000000000001E-2</v>
      </c>
      <c r="AE21" s="2881">
        <f>ROUND(AVERAGE(J21:J$33)/100,4)</f>
        <v>1.5699999999999999E-2</v>
      </c>
      <c r="AF21" s="2881">
        <f t="shared" si="1"/>
        <v>1.5699999999999999E-2</v>
      </c>
      <c r="AG21" s="2881">
        <f>ROUND(AVERAGE(K21:K$33)/100,4)</f>
        <v>2.6599999999999999E-2</v>
      </c>
      <c r="AH21" s="2881">
        <f>ROUND(AVERAGE(L21:L$33)/100,4)</f>
        <v>1.34E-2</v>
      </c>
    </row>
    <row r="22" spans="1:34">
      <c r="A22" s="2892" t="s">
        <v>961</v>
      </c>
      <c r="B22" s="2914">
        <v>392</v>
      </c>
      <c r="C22" s="2914">
        <v>302</v>
      </c>
      <c r="D22" s="2914">
        <f t="shared" si="124"/>
        <v>302</v>
      </c>
      <c r="E22" s="2914">
        <v>553</v>
      </c>
      <c r="F22" s="2915">
        <v>266</v>
      </c>
      <c r="G22" s="3851">
        <v>2016</v>
      </c>
      <c r="H22" s="2901">
        <v>4</v>
      </c>
      <c r="I22" s="2901">
        <v>4.5599999999999996</v>
      </c>
      <c r="J22" s="2901">
        <v>2.15</v>
      </c>
      <c r="K22" s="2901">
        <v>5.32</v>
      </c>
      <c r="L22" s="2902">
        <v>1.57</v>
      </c>
      <c r="N22" s="2895">
        <f t="shared" si="127"/>
        <v>4.5599999999999995E-2</v>
      </c>
      <c r="O22" s="2881">
        <f t="shared" ref="O22:Q37" si="143">J22/100</f>
        <v>2.1499999999999998E-2</v>
      </c>
      <c r="P22" s="2881">
        <f t="shared" si="143"/>
        <v>5.3200000000000004E-2</v>
      </c>
      <c r="Q22" s="2881">
        <f t="shared" si="143"/>
        <v>1.5700000000000002E-2</v>
      </c>
      <c r="R22" s="2896"/>
      <c r="S22" s="2905"/>
      <c r="T22" s="2906"/>
      <c r="U22" s="2906"/>
      <c r="V22" s="2906"/>
      <c r="X22" s="2880">
        <f>ROUND(SUMPRODUCT(PRODUCT(1+N22:N$33)),4)</f>
        <v>1.3119000000000001</v>
      </c>
      <c r="Y22" s="2880">
        <f>ROUND(SUMPRODUCT(PRODUCT(1+O22:O$33)),4)</f>
        <v>1.2016</v>
      </c>
      <c r="Z22" s="2880">
        <f t="shared" si="55"/>
        <v>1.2016</v>
      </c>
      <c r="AA22" s="2880">
        <f>ROUND(SUMPRODUCT(PRODUCT(1+P22:P$33)),4)</f>
        <v>1.3515999999999999</v>
      </c>
      <c r="AB22" s="2880">
        <f>ROUND(SUMPRODUCT(PRODUCT(1+Q22:Q$33)),4)</f>
        <v>1.1708000000000001</v>
      </c>
      <c r="AD22" s="2881">
        <f>ROUND(AVERAGE(I22:I$33)/100,4)</f>
        <v>2.3E-2</v>
      </c>
      <c r="AE22" s="2881">
        <f>ROUND(AVERAGE(J22:J$33)/100,4)</f>
        <v>1.55E-2</v>
      </c>
      <c r="AF22" s="2881">
        <f t="shared" si="1"/>
        <v>1.55E-2</v>
      </c>
      <c r="AG22" s="2881">
        <f>ROUND(AVERAGE(K22:K$33)/100,4)</f>
        <v>2.5600000000000001E-2</v>
      </c>
      <c r="AH22" s="2881">
        <f>ROUND(AVERAGE(L22:L$33)/100,4)</f>
        <v>1.32E-2</v>
      </c>
    </row>
    <row r="23" spans="1:34">
      <c r="A23" s="2892" t="s">
        <v>960</v>
      </c>
      <c r="B23" s="2893">
        <f t="shared" ref="B23:C25" si="144">B22/(1+N22)</f>
        <v>374.90436113236416</v>
      </c>
      <c r="C23" s="2893">
        <f t="shared" si="144"/>
        <v>295.64366128242779</v>
      </c>
      <c r="D23" s="2893">
        <f t="shared" ref="D23:D82" si="145">C23</f>
        <v>295.64366128242779</v>
      </c>
      <c r="E23" s="2893">
        <f t="shared" ref="E23:F25" si="146">E22/(1+P22)</f>
        <v>525.06646410938095</v>
      </c>
      <c r="F23" s="2893">
        <f t="shared" si="146"/>
        <v>261.88835286009646</v>
      </c>
      <c r="G23" s="3852"/>
      <c r="H23" s="2894">
        <v>3</v>
      </c>
      <c r="I23" s="2894">
        <v>4.12</v>
      </c>
      <c r="J23" s="2894">
        <v>2</v>
      </c>
      <c r="K23" s="2894">
        <v>4.79</v>
      </c>
      <c r="L23" s="2900">
        <v>1.97</v>
      </c>
      <c r="N23" s="2895">
        <f t="shared" ref="N23:Q57" si="147">I23/100</f>
        <v>4.1200000000000001E-2</v>
      </c>
      <c r="O23" s="2881">
        <f t="shared" si="143"/>
        <v>0.02</v>
      </c>
      <c r="P23" s="2881">
        <f t="shared" si="143"/>
        <v>4.7899999999999998E-2</v>
      </c>
      <c r="Q23" s="2881">
        <f t="shared" si="143"/>
        <v>1.9699999999999999E-2</v>
      </c>
      <c r="R23" s="2896"/>
      <c r="S23" s="2895"/>
      <c r="T23" s="2881"/>
      <c r="U23" s="2881"/>
      <c r="V23" s="2881"/>
      <c r="X23" s="2880">
        <f>ROUND(SUMPRODUCT(PRODUCT(1+N23:N$33)),4)</f>
        <v>1.2546999999999999</v>
      </c>
      <c r="Y23" s="2880">
        <f>ROUND(SUMPRODUCT(PRODUCT(1+O23:O$33)),4)</f>
        <v>1.1762999999999999</v>
      </c>
      <c r="Z23" s="2880">
        <f t="shared" si="55"/>
        <v>1.1762999999999999</v>
      </c>
      <c r="AA23" s="2880">
        <f>ROUND(SUMPRODUCT(PRODUCT(1+P23:P$33)),4)</f>
        <v>1.2833000000000001</v>
      </c>
      <c r="AB23" s="2880">
        <f>ROUND(SUMPRODUCT(PRODUCT(1+Q23:Q$33)),4)</f>
        <v>1.1527000000000001</v>
      </c>
      <c r="AD23" s="2881">
        <f>ROUND(AVERAGE(I23:I$33)/100,4)</f>
        <v>2.0899999999999998E-2</v>
      </c>
      <c r="AE23" s="2881">
        <f>ROUND(AVERAGE(J23:J$33)/100,4)</f>
        <v>1.49E-2</v>
      </c>
      <c r="AF23" s="2881">
        <f t="shared" si="1"/>
        <v>1.49E-2</v>
      </c>
      <c r="AG23" s="2881">
        <f>ROUND(AVERAGE(K23:K$33)/100,4)</f>
        <v>2.3099999999999999E-2</v>
      </c>
      <c r="AH23" s="2881">
        <f>ROUND(AVERAGE(L23:L$33)/100,4)</f>
        <v>1.2999999999999999E-2</v>
      </c>
    </row>
    <row r="24" spans="1:34">
      <c r="A24" s="2892" t="s">
        <v>950</v>
      </c>
      <c r="B24" s="2893">
        <f t="shared" si="144"/>
        <v>360.06949782209392</v>
      </c>
      <c r="C24" s="2893">
        <f t="shared" si="144"/>
        <v>289.84672674747821</v>
      </c>
      <c r="D24" s="2893">
        <f t="shared" si="145"/>
        <v>289.84672674747821</v>
      </c>
      <c r="E24" s="2893">
        <f t="shared" si="146"/>
        <v>501.06543001181495</v>
      </c>
      <c r="F24" s="2893">
        <f t="shared" si="146"/>
        <v>256.82882500744967</v>
      </c>
      <c r="G24" s="3852"/>
      <c r="H24" s="2907">
        <v>2</v>
      </c>
      <c r="I24" s="2907">
        <v>3.85</v>
      </c>
      <c r="J24" s="2907">
        <v>1.95</v>
      </c>
      <c r="K24" s="2907">
        <v>4.4800000000000004</v>
      </c>
      <c r="L24" s="2908">
        <v>1.41</v>
      </c>
      <c r="N24" s="2895">
        <f t="shared" si="147"/>
        <v>3.85E-2</v>
      </c>
      <c r="O24" s="2881">
        <f t="shared" si="143"/>
        <v>1.95E-2</v>
      </c>
      <c r="P24" s="2881">
        <f t="shared" si="143"/>
        <v>4.4800000000000006E-2</v>
      </c>
      <c r="Q24" s="2881">
        <f t="shared" si="143"/>
        <v>1.41E-2</v>
      </c>
      <c r="R24" s="2896"/>
      <c r="S24" s="2895"/>
      <c r="T24" s="2881"/>
      <c r="U24" s="2881"/>
      <c r="V24" s="2881"/>
      <c r="X24" s="2880">
        <f>ROUND(SUMPRODUCT(PRODUCT(1+N24:N$33)),4)</f>
        <v>1.2050000000000001</v>
      </c>
      <c r="Y24" s="2880">
        <f>ROUND(SUMPRODUCT(PRODUCT(1+O24:O$33)),4)</f>
        <v>1.1532</v>
      </c>
      <c r="Z24" s="2880">
        <f t="shared" si="55"/>
        <v>1.1532</v>
      </c>
      <c r="AA24" s="2880">
        <f>ROUND(SUMPRODUCT(PRODUCT(1+P24:P$33)),4)</f>
        <v>1.2246999999999999</v>
      </c>
      <c r="AB24" s="2880">
        <f>ROUND(SUMPRODUCT(PRODUCT(1+Q24:Q$33)),4)</f>
        <v>1.1304000000000001</v>
      </c>
      <c r="AD24" s="2881">
        <f>ROUND(AVERAGE(I24:I$33)/100,4)</f>
        <v>1.89E-2</v>
      </c>
      <c r="AE24" s="2881">
        <f>ROUND(AVERAGE(J24:J$33)/100,4)</f>
        <v>1.44E-2</v>
      </c>
      <c r="AF24" s="2881">
        <f t="shared" si="1"/>
        <v>1.44E-2</v>
      </c>
      <c r="AG24" s="2881">
        <f>ROUND(AVERAGE(K24:K$33)/100,4)</f>
        <v>2.06E-2</v>
      </c>
      <c r="AH24" s="2881">
        <f>ROUND(AVERAGE(L24:L$33)/100,4)</f>
        <v>1.23E-2</v>
      </c>
    </row>
    <row r="25" spans="1:34" ht="13.5" thickBot="1">
      <c r="A25" s="2892" t="s">
        <v>959</v>
      </c>
      <c r="B25" s="2893">
        <f t="shared" si="144"/>
        <v>346.720748986128</v>
      </c>
      <c r="C25" s="2893">
        <f t="shared" si="144"/>
        <v>284.30282172386285</v>
      </c>
      <c r="D25" s="2893">
        <f t="shared" si="145"/>
        <v>284.30282172386285</v>
      </c>
      <c r="E25" s="2893">
        <f t="shared" si="146"/>
        <v>479.58023546306947</v>
      </c>
      <c r="F25" s="2893">
        <f t="shared" si="146"/>
        <v>253.25788877571213</v>
      </c>
      <c r="G25" s="3855"/>
      <c r="H25" s="2894">
        <v>1</v>
      </c>
      <c r="I25" s="2894">
        <v>4.09</v>
      </c>
      <c r="J25" s="2894">
        <v>2.93</v>
      </c>
      <c r="K25" s="2894">
        <v>4.54</v>
      </c>
      <c r="L25" s="2900">
        <v>1.48</v>
      </c>
      <c r="N25" s="2895">
        <f t="shared" si="147"/>
        <v>4.0899999999999999E-2</v>
      </c>
      <c r="O25" s="2881">
        <f t="shared" si="143"/>
        <v>2.9300000000000003E-2</v>
      </c>
      <c r="P25" s="2881">
        <f t="shared" si="143"/>
        <v>4.5400000000000003E-2</v>
      </c>
      <c r="Q25" s="2881">
        <f t="shared" si="143"/>
        <v>1.4800000000000001E-2</v>
      </c>
      <c r="R25" s="2896"/>
      <c r="S25" s="2897">
        <f>B25/B26-1</f>
        <v>4.1203450408792808E-2</v>
      </c>
      <c r="T25" s="2898">
        <f>C25/C26-1</f>
        <v>2.6363977342465095E-2</v>
      </c>
      <c r="U25" s="2898">
        <f>E25/E26-1</f>
        <v>4.4837114298626357E-2</v>
      </c>
      <c r="V25" s="2898">
        <f>F25/F26-1</f>
        <v>1.7099954922538574E-2</v>
      </c>
      <c r="X25" s="2880">
        <f>ROUND(SUMPRODUCT(PRODUCT(1+N25:N$33)),4)</f>
        <v>1.1604000000000001</v>
      </c>
      <c r="Y25" s="2880">
        <f>ROUND(SUMPRODUCT(PRODUCT(1+O25:O$33)),4)</f>
        <v>1.1312</v>
      </c>
      <c r="Z25" s="2880">
        <f t="shared" si="55"/>
        <v>1.1312</v>
      </c>
      <c r="AA25" s="2880">
        <f>ROUND(SUMPRODUCT(PRODUCT(1+P25:P$33)),4)</f>
        <v>1.1721999999999999</v>
      </c>
      <c r="AB25" s="2880">
        <f>ROUND(SUMPRODUCT(PRODUCT(1+Q25:Q$33)),4)</f>
        <v>1.1147</v>
      </c>
      <c r="AD25" s="2881">
        <f>ROUND(AVERAGE(I25:I$33)/100,4)</f>
        <v>1.67E-2</v>
      </c>
      <c r="AE25" s="2881">
        <f>ROUND(AVERAGE(J25:J$33)/100,4)</f>
        <v>1.38E-2</v>
      </c>
      <c r="AF25" s="2881">
        <f t="shared" si="1"/>
        <v>1.38E-2</v>
      </c>
      <c r="AG25" s="2881">
        <f>ROUND(AVERAGE(K25:K$33)/100,4)</f>
        <v>1.7899999999999999E-2</v>
      </c>
      <c r="AH25" s="2881">
        <f>ROUND(AVERAGE(L25:L$33)/100,4)</f>
        <v>1.21E-2</v>
      </c>
    </row>
    <row r="26" spans="1:34" ht="13.5" thickBot="1">
      <c r="A26" s="2892" t="s">
        <v>958</v>
      </c>
      <c r="B26" s="2914">
        <v>333</v>
      </c>
      <c r="C26" s="2914">
        <v>277</v>
      </c>
      <c r="D26" s="2914">
        <f t="shared" si="145"/>
        <v>277</v>
      </c>
      <c r="E26" s="2914">
        <v>459</v>
      </c>
      <c r="F26" s="2915">
        <v>249</v>
      </c>
      <c r="G26" s="3854">
        <v>2015</v>
      </c>
      <c r="H26" s="2916">
        <v>4</v>
      </c>
      <c r="I26" s="2916">
        <v>1.63</v>
      </c>
      <c r="J26" s="2916">
        <v>1.1100000000000001</v>
      </c>
      <c r="K26" s="2916">
        <v>1.77</v>
      </c>
      <c r="L26" s="2917">
        <v>1.89</v>
      </c>
      <c r="N26" s="2911">
        <f t="shared" si="147"/>
        <v>1.6299999999999999E-2</v>
      </c>
      <c r="O26" s="2912">
        <f t="shared" si="143"/>
        <v>1.11E-2</v>
      </c>
      <c r="P26" s="2912">
        <f t="shared" si="143"/>
        <v>1.77E-2</v>
      </c>
      <c r="Q26" s="2912">
        <f t="shared" si="143"/>
        <v>1.89E-2</v>
      </c>
      <c r="R26" s="2896"/>
      <c r="X26" s="2880">
        <f>ROUND(SUMPRODUCT(PRODUCT(1+N26:N$33)),4)</f>
        <v>1.1148</v>
      </c>
      <c r="Y26" s="2880">
        <f>ROUND(SUMPRODUCT(PRODUCT(1+O26:O$33)),4)</f>
        <v>1.099</v>
      </c>
      <c r="Z26" s="2880">
        <f t="shared" si="55"/>
        <v>1.099</v>
      </c>
      <c r="AA26" s="2880">
        <f>ROUND(SUMPRODUCT(PRODUCT(1+P26:P$33)),4)</f>
        <v>1.1213</v>
      </c>
      <c r="AB26" s="2880">
        <f>ROUND(SUMPRODUCT(PRODUCT(1+Q26:Q$33)),4)</f>
        <v>1.0984</v>
      </c>
      <c r="AD26" s="2881">
        <f>ROUND(AVERAGE(I26:I$33)/100,4)</f>
        <v>1.37E-2</v>
      </c>
      <c r="AE26" s="2881">
        <f>ROUND(AVERAGE(J26:J$33)/100,4)</f>
        <v>1.1900000000000001E-2</v>
      </c>
      <c r="AF26" s="2881">
        <f t="shared" si="1"/>
        <v>1.1900000000000001E-2</v>
      </c>
      <c r="AG26" s="2881">
        <f>ROUND(AVERAGE(K26:K$33)/100,4)</f>
        <v>1.4500000000000001E-2</v>
      </c>
      <c r="AH26" s="2881">
        <f>ROUND(AVERAGE(L26:L$33)/100,4)</f>
        <v>1.18E-2</v>
      </c>
    </row>
    <row r="27" spans="1:34">
      <c r="A27" s="2892" t="s">
        <v>957</v>
      </c>
      <c r="B27" s="2893">
        <f t="shared" ref="B27:C29" si="148">B26/(1+N26)</f>
        <v>327.65915576109415</v>
      </c>
      <c r="C27" s="2893">
        <f t="shared" si="148"/>
        <v>273.95905449510434</v>
      </c>
      <c r="D27" s="2893">
        <f t="shared" si="145"/>
        <v>273.95905449510434</v>
      </c>
      <c r="E27" s="2893">
        <f t="shared" ref="E27:F29" si="149">E26/(1+P26)</f>
        <v>451.01699911565294</v>
      </c>
      <c r="F27" s="2893">
        <f t="shared" si="149"/>
        <v>244.38119540681129</v>
      </c>
      <c r="G27" s="3852"/>
      <c r="H27" s="2919">
        <v>3</v>
      </c>
      <c r="I27" s="2919">
        <v>1.65</v>
      </c>
      <c r="J27" s="2919">
        <v>0.92</v>
      </c>
      <c r="K27" s="2919">
        <v>1.88</v>
      </c>
      <c r="L27" s="2920">
        <v>1.26</v>
      </c>
      <c r="N27" s="2895">
        <f t="shared" si="147"/>
        <v>1.6500000000000001E-2</v>
      </c>
      <c r="O27" s="2913">
        <f t="shared" si="143"/>
        <v>9.1999999999999998E-3</v>
      </c>
      <c r="P27" s="2913">
        <f t="shared" si="143"/>
        <v>1.8799999999999997E-2</v>
      </c>
      <c r="Q27" s="2913">
        <f t="shared" si="143"/>
        <v>1.26E-2</v>
      </c>
      <c r="R27" s="2896"/>
      <c r="S27" s="2895"/>
      <c r="T27" s="2881"/>
      <c r="U27" s="2881"/>
      <c r="V27" s="2881"/>
      <c r="X27" s="2880">
        <f>ROUND(SUMPRODUCT(PRODUCT(1+N27:N$33)),4)</f>
        <v>1.0969</v>
      </c>
      <c r="Y27" s="2880">
        <f>ROUND(SUMPRODUCT(PRODUCT(1+O27:O$33)),4)</f>
        <v>1.0869</v>
      </c>
      <c r="Z27" s="2880">
        <f t="shared" si="55"/>
        <v>1.0869</v>
      </c>
      <c r="AA27" s="2880">
        <f>ROUND(SUMPRODUCT(PRODUCT(1+P27:P$33)),4)</f>
        <v>1.1017999999999999</v>
      </c>
      <c r="AB27" s="2880">
        <f>ROUND(SUMPRODUCT(PRODUCT(1+Q27:Q$33)),4)</f>
        <v>1.0781000000000001</v>
      </c>
      <c r="AD27" s="2881">
        <f>ROUND(AVERAGE(I27:I$33)/100,4)</f>
        <v>1.3299999999999999E-2</v>
      </c>
      <c r="AE27" s="2881">
        <f>ROUND(AVERAGE(J27:J$33)/100,4)</f>
        <v>1.2E-2</v>
      </c>
      <c r="AF27" s="2881">
        <f t="shared" si="1"/>
        <v>1.2E-2</v>
      </c>
      <c r="AG27" s="2881">
        <f>ROUND(AVERAGE(K27:K$33)/100,4)</f>
        <v>1.4E-2</v>
      </c>
      <c r="AH27" s="2881">
        <f>ROUND(AVERAGE(L27:L$33)/100,4)</f>
        <v>1.0800000000000001E-2</v>
      </c>
    </row>
    <row r="28" spans="1:34">
      <c r="A28" s="2892" t="s">
        <v>956</v>
      </c>
      <c r="B28" s="2893">
        <f t="shared" si="148"/>
        <v>322.34053690220776</v>
      </c>
      <c r="C28" s="2893">
        <f t="shared" si="148"/>
        <v>271.46160770422546</v>
      </c>
      <c r="D28" s="2893">
        <f t="shared" si="145"/>
        <v>271.46160770422546</v>
      </c>
      <c r="E28" s="2893">
        <f t="shared" si="149"/>
        <v>442.69434542172456</v>
      </c>
      <c r="F28" s="2893">
        <f t="shared" si="149"/>
        <v>241.34030753190925</v>
      </c>
      <c r="G28" s="3852"/>
      <c r="H28" s="2907">
        <v>2</v>
      </c>
      <c r="I28" s="2907">
        <v>0.77</v>
      </c>
      <c r="J28" s="2907">
        <v>0.69</v>
      </c>
      <c r="K28" s="2907">
        <v>0.8</v>
      </c>
      <c r="L28" s="2908">
        <v>0.88</v>
      </c>
      <c r="N28" s="2895">
        <f t="shared" si="147"/>
        <v>7.7000000000000002E-3</v>
      </c>
      <c r="O28" s="2913">
        <f t="shared" si="143"/>
        <v>6.8999999999999999E-3</v>
      </c>
      <c r="P28" s="2913">
        <f t="shared" si="143"/>
        <v>8.0000000000000002E-3</v>
      </c>
      <c r="Q28" s="2913">
        <f t="shared" si="143"/>
        <v>8.8000000000000005E-3</v>
      </c>
      <c r="R28" s="2896"/>
      <c r="S28" s="2895"/>
      <c r="T28" s="2881"/>
      <c r="U28" s="2881"/>
      <c r="V28" s="2881"/>
      <c r="X28" s="2880">
        <f>ROUND(SUMPRODUCT(PRODUCT(1+N28:N$33)),4)</f>
        <v>1.0790999999999999</v>
      </c>
      <c r="Y28" s="2880">
        <f>ROUND(SUMPRODUCT(PRODUCT(1+O28:O$33)),4)</f>
        <v>1.077</v>
      </c>
      <c r="Z28" s="2880">
        <f t="shared" si="55"/>
        <v>1.077</v>
      </c>
      <c r="AA28" s="2880">
        <f>ROUND(SUMPRODUCT(PRODUCT(1+P28:P$33)),4)</f>
        <v>1.0813999999999999</v>
      </c>
      <c r="AB28" s="2880">
        <f>ROUND(SUMPRODUCT(PRODUCT(1+Q28:Q$33)),4)</f>
        <v>1.0647</v>
      </c>
      <c r="AD28" s="2881">
        <f>ROUND(AVERAGE(I28:I$33)/100,4)</f>
        <v>1.2800000000000001E-2</v>
      </c>
      <c r="AE28" s="2881">
        <f>ROUND(AVERAGE(J28:J$33)/100,4)</f>
        <v>1.2500000000000001E-2</v>
      </c>
      <c r="AF28" s="2881">
        <f t="shared" si="1"/>
        <v>1.2500000000000001E-2</v>
      </c>
      <c r="AG28" s="2881">
        <f>ROUND(AVERAGE(K28:K$33)/100,4)</f>
        <v>1.32E-2</v>
      </c>
      <c r="AH28" s="2881">
        <f>ROUND(AVERAGE(L28:L$33)/100,4)</f>
        <v>1.0500000000000001E-2</v>
      </c>
    </row>
    <row r="29" spans="1:34">
      <c r="A29" s="2892" t="s">
        <v>955</v>
      </c>
      <c r="B29" s="2893">
        <f t="shared" si="148"/>
        <v>319.87748030386797</v>
      </c>
      <c r="C29" s="2893">
        <f t="shared" si="148"/>
        <v>269.60135833173649</v>
      </c>
      <c r="D29" s="2893">
        <f t="shared" si="145"/>
        <v>269.60135833173649</v>
      </c>
      <c r="E29" s="2893">
        <f t="shared" si="149"/>
        <v>439.18089823583784</v>
      </c>
      <c r="F29" s="2893">
        <f t="shared" si="149"/>
        <v>239.23503918706311</v>
      </c>
      <c r="G29" s="3855"/>
      <c r="H29" s="2894">
        <v>1</v>
      </c>
      <c r="I29" s="2894">
        <v>0.51</v>
      </c>
      <c r="J29" s="2894">
        <v>0.54</v>
      </c>
      <c r="K29" s="2894">
        <v>0.48</v>
      </c>
      <c r="L29" s="2900">
        <v>0.93</v>
      </c>
      <c r="N29" s="2897">
        <f t="shared" si="147"/>
        <v>5.1000000000000004E-3</v>
      </c>
      <c r="O29" s="2898">
        <f t="shared" si="143"/>
        <v>5.4000000000000003E-3</v>
      </c>
      <c r="P29" s="2898">
        <f t="shared" si="143"/>
        <v>4.7999999999999996E-3</v>
      </c>
      <c r="Q29" s="2898">
        <f t="shared" si="143"/>
        <v>9.300000000000001E-3</v>
      </c>
      <c r="R29" s="2896"/>
      <c r="S29" s="2897">
        <f>B29/B30-1</f>
        <v>5.9040261127922822E-3</v>
      </c>
      <c r="T29" s="2898">
        <f>C29/C30-1</f>
        <v>5.9752176557332781E-3</v>
      </c>
      <c r="U29" s="2898">
        <f>E29/E30-1</f>
        <v>4.9906138119859556E-3</v>
      </c>
      <c r="V29" s="2898">
        <f>F29/F30-1</f>
        <v>9.4305450930933787E-3</v>
      </c>
      <c r="X29" s="2880">
        <f>ROUND(SUMPRODUCT(PRODUCT(1+N29:N$33)),4)</f>
        <v>1.0708</v>
      </c>
      <c r="Y29" s="2880">
        <f>ROUND(SUMPRODUCT(PRODUCT(1+O29:O$33)),4)</f>
        <v>1.0696000000000001</v>
      </c>
      <c r="Z29" s="2880">
        <f t="shared" si="55"/>
        <v>1.0696000000000001</v>
      </c>
      <c r="AA29" s="2880">
        <f>ROUND(SUMPRODUCT(PRODUCT(1+P29:P$33)),4)</f>
        <v>1.0728</v>
      </c>
      <c r="AB29" s="2880">
        <f>ROUND(SUMPRODUCT(PRODUCT(1+Q29:Q$33)),4)</f>
        <v>1.0553999999999999</v>
      </c>
      <c r="AD29" s="2881">
        <f>ROUND(AVERAGE(I29:I$33)/100,4)</f>
        <v>1.38E-2</v>
      </c>
      <c r="AE29" s="2881">
        <f>ROUND(AVERAGE(J29:J$33)/100,4)</f>
        <v>1.3599999999999999E-2</v>
      </c>
      <c r="AF29" s="2881">
        <f t="shared" si="1"/>
        <v>1.3599999999999999E-2</v>
      </c>
      <c r="AG29" s="2881">
        <f>ROUND(AVERAGE(K29:K$33)/100,4)</f>
        <v>1.4200000000000001E-2</v>
      </c>
      <c r="AH29" s="2881">
        <f>ROUND(AVERAGE(L29:L$33)/100,4)</f>
        <v>1.0800000000000001E-2</v>
      </c>
    </row>
    <row r="30" spans="1:34" ht="13.5" thickBot="1">
      <c r="A30" s="2892" t="s">
        <v>954</v>
      </c>
      <c r="B30" s="2921">
        <v>318</v>
      </c>
      <c r="C30" s="2921">
        <v>268</v>
      </c>
      <c r="D30" s="2921">
        <f t="shared" si="145"/>
        <v>268</v>
      </c>
      <c r="E30" s="2921">
        <v>437</v>
      </c>
      <c r="F30" s="2922">
        <v>237</v>
      </c>
      <c r="G30" s="3854">
        <v>2014</v>
      </c>
      <c r="H30" s="2916">
        <v>4</v>
      </c>
      <c r="I30" s="2916">
        <v>0.21</v>
      </c>
      <c r="J30" s="2916">
        <v>0.41</v>
      </c>
      <c r="K30" s="2916">
        <v>0.12</v>
      </c>
      <c r="L30" s="2917">
        <v>0.89</v>
      </c>
      <c r="N30" s="2895">
        <f t="shared" si="147"/>
        <v>2.0999999999999999E-3</v>
      </c>
      <c r="O30" s="2881">
        <f t="shared" si="143"/>
        <v>4.0999999999999995E-3</v>
      </c>
      <c r="P30" s="2881">
        <f t="shared" si="143"/>
        <v>1.1999999999999999E-3</v>
      </c>
      <c r="Q30" s="2881">
        <f t="shared" si="143"/>
        <v>8.8999999999999999E-3</v>
      </c>
      <c r="R30" s="2896"/>
      <c r="S30" s="2905"/>
      <c r="T30" s="2906"/>
      <c r="U30" s="2906"/>
      <c r="V30" s="2906"/>
      <c r="X30" s="2880">
        <f>ROUND(SUMPRODUCT(PRODUCT(1+N30:N$33)),4)</f>
        <v>1.0653999999999999</v>
      </c>
      <c r="Y30" s="2880">
        <f>ROUND(SUMPRODUCT(PRODUCT(1+O30:O$33)),4)</f>
        <v>1.0639000000000001</v>
      </c>
      <c r="Z30" s="2880">
        <f t="shared" si="55"/>
        <v>1.0639000000000001</v>
      </c>
      <c r="AA30" s="2880">
        <f>ROUND(SUMPRODUCT(PRODUCT(1+P30:P$33)),4)</f>
        <v>1.0677000000000001</v>
      </c>
      <c r="AB30" s="2880">
        <f>ROUND(SUMPRODUCT(PRODUCT(1+Q30:Q$33)),4)</f>
        <v>1.0456000000000001</v>
      </c>
      <c r="AD30" s="2881">
        <f>ROUND(AVERAGE(I30:I$33)/100,4)</f>
        <v>1.6E-2</v>
      </c>
      <c r="AE30" s="2881">
        <f>ROUND(AVERAGE(J30:J$33)/100,4)</f>
        <v>1.5599999999999999E-2</v>
      </c>
      <c r="AF30" s="2881">
        <f t="shared" si="1"/>
        <v>1.5599999999999999E-2</v>
      </c>
      <c r="AG30" s="2881">
        <f>ROUND(AVERAGE(K30:K$33)/100,4)</f>
        <v>1.66E-2</v>
      </c>
      <c r="AH30" s="2881">
        <f>ROUND(AVERAGE(L30:L$33)/100,4)</f>
        <v>1.12E-2</v>
      </c>
    </row>
    <row r="31" spans="1:34">
      <c r="A31" s="2892" t="s">
        <v>953</v>
      </c>
      <c r="B31" s="2893">
        <f t="shared" ref="B31:C33" si="150">B30/(1+N30)</f>
        <v>317.33359944117353</v>
      </c>
      <c r="C31" s="2893">
        <f t="shared" si="150"/>
        <v>266.90568668459315</v>
      </c>
      <c r="D31" s="2893">
        <f t="shared" si="145"/>
        <v>266.90568668459315</v>
      </c>
      <c r="E31" s="2893">
        <f t="shared" ref="E31:F33" si="151">E30/(1+P30)</f>
        <v>436.47622852576905</v>
      </c>
      <c r="F31" s="2893">
        <f t="shared" si="151"/>
        <v>234.90930716622066</v>
      </c>
      <c r="G31" s="3852"/>
      <c r="H31" s="2923">
        <v>3</v>
      </c>
      <c r="I31" s="2923">
        <v>0.83</v>
      </c>
      <c r="J31" s="2923">
        <v>1.47</v>
      </c>
      <c r="K31" s="2923">
        <v>0.65</v>
      </c>
      <c r="L31" s="2924">
        <v>0.72</v>
      </c>
      <c r="N31" s="2895">
        <f t="shared" si="147"/>
        <v>8.3000000000000001E-3</v>
      </c>
      <c r="O31" s="2881">
        <f t="shared" si="143"/>
        <v>1.47E-2</v>
      </c>
      <c r="P31" s="2881">
        <f t="shared" si="143"/>
        <v>6.5000000000000006E-3</v>
      </c>
      <c r="Q31" s="2881">
        <f t="shared" si="143"/>
        <v>7.1999999999999998E-3</v>
      </c>
      <c r="R31" s="2896"/>
      <c r="S31" s="2895"/>
      <c r="T31" s="2881"/>
      <c r="U31" s="2881"/>
      <c r="V31" s="2881"/>
      <c r="X31" s="2880">
        <f>ROUND(SUMPRODUCT(PRODUCT(1+N31:N$33)),4)</f>
        <v>1.0631999999999999</v>
      </c>
      <c r="Y31" s="2880">
        <f>ROUND(SUMPRODUCT(PRODUCT(1+O31:O$33)),4)</f>
        <v>1.0595000000000001</v>
      </c>
      <c r="Z31" s="2880">
        <f t="shared" si="55"/>
        <v>1.0595000000000001</v>
      </c>
      <c r="AA31" s="2880">
        <f>ROUND(SUMPRODUCT(PRODUCT(1+P31:P$33)),4)</f>
        <v>1.0664</v>
      </c>
      <c r="AB31" s="2880">
        <f>ROUND(SUMPRODUCT(PRODUCT(1+Q31:Q$33)),4)</f>
        <v>1.0364</v>
      </c>
      <c r="AD31" s="2881">
        <f>ROUND(AVERAGE(I31:I$33)/100,4)</f>
        <v>2.07E-2</v>
      </c>
      <c r="AE31" s="2881">
        <f>ROUND(AVERAGE(J31:J$33)/100,4)</f>
        <v>1.95E-2</v>
      </c>
      <c r="AF31" s="2881">
        <f t="shared" si="1"/>
        <v>1.95E-2</v>
      </c>
      <c r="AG31" s="2881">
        <f>ROUND(AVERAGE(K31:K$33)/100,4)</f>
        <v>2.1700000000000001E-2</v>
      </c>
      <c r="AH31" s="2881">
        <f>ROUND(AVERAGE(L31:L$33)/100,4)</f>
        <v>1.2E-2</v>
      </c>
    </row>
    <row r="32" spans="1:34" ht="13.5" thickBot="1">
      <c r="A32" s="2892" t="s">
        <v>952</v>
      </c>
      <c r="B32" s="2893">
        <f t="shared" si="150"/>
        <v>314.72141172386546</v>
      </c>
      <c r="C32" s="2893">
        <f t="shared" si="150"/>
        <v>263.03901319069001</v>
      </c>
      <c r="D32" s="2893">
        <f t="shared" si="145"/>
        <v>263.03901319069001</v>
      </c>
      <c r="E32" s="2893">
        <f t="shared" si="151"/>
        <v>433.65745506782821</v>
      </c>
      <c r="F32" s="2893">
        <f t="shared" si="151"/>
        <v>233.23005080045735</v>
      </c>
      <c r="G32" s="3852"/>
      <c r="H32" s="2916">
        <v>2</v>
      </c>
      <c r="I32" s="2916">
        <v>2.4</v>
      </c>
      <c r="J32" s="2916">
        <v>2.0299999999999998</v>
      </c>
      <c r="K32" s="2916">
        <v>2.59</v>
      </c>
      <c r="L32" s="2917">
        <v>1.52</v>
      </c>
      <c r="N32" s="2895">
        <f t="shared" si="147"/>
        <v>2.4E-2</v>
      </c>
      <c r="O32" s="2881">
        <f t="shared" si="143"/>
        <v>2.0299999999999999E-2</v>
      </c>
      <c r="P32" s="2881">
        <f t="shared" si="143"/>
        <v>2.5899999999999999E-2</v>
      </c>
      <c r="Q32" s="2881">
        <f t="shared" si="143"/>
        <v>1.52E-2</v>
      </c>
      <c r="R32" s="2896"/>
      <c r="S32" s="2895"/>
      <c r="T32" s="2881"/>
      <c r="U32" s="2881"/>
      <c r="V32" s="2881"/>
      <c r="X32" s="2880">
        <f>ROUND(SUMPRODUCT(PRODUCT(1+N32:N$33)),4)</f>
        <v>1.0544</v>
      </c>
      <c r="Y32" s="2880">
        <f>ROUND(SUMPRODUCT(PRODUCT(1+O32:O$33)),4)</f>
        <v>1.0442</v>
      </c>
      <c r="Z32" s="2880">
        <f t="shared" si="55"/>
        <v>1.0442</v>
      </c>
      <c r="AA32" s="2880">
        <f>ROUND(SUMPRODUCT(PRODUCT(1+P32:P$33)),4)</f>
        <v>1.0595000000000001</v>
      </c>
      <c r="AB32" s="2880">
        <f>ROUND(SUMPRODUCT(PRODUCT(1+Q32:Q$33)),4)</f>
        <v>1.0289999999999999</v>
      </c>
      <c r="AD32" s="2881">
        <f>ROUND(AVERAGE(I32:I$33)/100,4)</f>
        <v>2.69E-2</v>
      </c>
      <c r="AE32" s="2881">
        <f>ROUND(AVERAGE(J32:J$33)/100,4)</f>
        <v>2.1899999999999999E-2</v>
      </c>
      <c r="AF32" s="2881">
        <f t="shared" ref="AF32" si="152">AE32</f>
        <v>2.1899999999999999E-2</v>
      </c>
      <c r="AG32" s="2881">
        <f>ROUND(AVERAGE(K32:K$33)/100,4)</f>
        <v>2.9399999999999999E-2</v>
      </c>
      <c r="AH32" s="2881">
        <f>ROUND(AVERAGE(L32:L$33)/100,4)</f>
        <v>1.44E-2</v>
      </c>
    </row>
    <row r="33" spans="1:34" s="2929" customFormat="1" ht="13.5" thickBot="1">
      <c r="A33" s="2925" t="s">
        <v>951</v>
      </c>
      <c r="B33" s="2926">
        <f t="shared" si="150"/>
        <v>307.34512863658733</v>
      </c>
      <c r="C33" s="2926">
        <f t="shared" si="150"/>
        <v>257.80556031626975</v>
      </c>
      <c r="D33" s="2926">
        <f t="shared" si="145"/>
        <v>257.80556031626975</v>
      </c>
      <c r="E33" s="2926">
        <f t="shared" si="151"/>
        <v>422.70928459677179</v>
      </c>
      <c r="F33" s="2926">
        <f t="shared" si="151"/>
        <v>229.73803270336617</v>
      </c>
      <c r="G33" s="3855"/>
      <c r="H33" s="2927">
        <v>1</v>
      </c>
      <c r="I33" s="2927">
        <v>2.97</v>
      </c>
      <c r="J33" s="2927">
        <v>2.34</v>
      </c>
      <c r="K33" s="2927">
        <v>3.28</v>
      </c>
      <c r="L33" s="2928">
        <v>1.36</v>
      </c>
      <c r="N33" s="2930">
        <f t="shared" si="147"/>
        <v>2.9700000000000001E-2</v>
      </c>
      <c r="O33" s="2931">
        <f t="shared" si="143"/>
        <v>2.3399999999999997E-2</v>
      </c>
      <c r="P33" s="2931">
        <f t="shared" si="143"/>
        <v>3.2799999999999996E-2</v>
      </c>
      <c r="Q33" s="2931">
        <f t="shared" si="143"/>
        <v>1.3600000000000001E-2</v>
      </c>
      <c r="R33" s="2932"/>
      <c r="S33" s="2933">
        <f>B33/B34-1</f>
        <v>2.7910129219355539E-2</v>
      </c>
      <c r="T33" s="2934">
        <f>C33/C34-1</f>
        <v>2.3037937762975247E-2</v>
      </c>
      <c r="U33" s="2934">
        <f>E33/E34-1</f>
        <v>3.3519033243940788E-2</v>
      </c>
      <c r="V33" s="2934">
        <f>F33/F34-1</f>
        <v>1.2061818076502862E-2</v>
      </c>
      <c r="W33" s="2935" t="s">
        <v>2620</v>
      </c>
      <c r="X33" s="2936">
        <v>1</v>
      </c>
      <c r="Y33" s="2936">
        <v>1</v>
      </c>
      <c r="Z33" s="2936">
        <v>1</v>
      </c>
      <c r="AA33" s="2936">
        <v>1</v>
      </c>
      <c r="AB33" s="2936">
        <v>1</v>
      </c>
      <c r="AD33" s="2931">
        <f>I33/100</f>
        <v>2.9700000000000001E-2</v>
      </c>
      <c r="AE33" s="2931">
        <f>J33/100</f>
        <v>2.3399999999999997E-2</v>
      </c>
      <c r="AF33" s="2931">
        <f>AE33</f>
        <v>2.3399999999999997E-2</v>
      </c>
      <c r="AG33" s="2931">
        <f>K33/100</f>
        <v>3.2799999999999996E-2</v>
      </c>
      <c r="AH33" s="2931">
        <f>L33/100</f>
        <v>1.3600000000000001E-2</v>
      </c>
    </row>
    <row r="34" spans="1:34" ht="13.5" thickBot="1">
      <c r="A34" s="2892" t="s">
        <v>2563</v>
      </c>
      <c r="B34" s="2914">
        <v>299</v>
      </c>
      <c r="C34" s="2914">
        <v>252</v>
      </c>
      <c r="D34" s="2914">
        <f t="shared" si="145"/>
        <v>252</v>
      </c>
      <c r="E34" s="2914">
        <v>409</v>
      </c>
      <c r="F34" s="2915">
        <v>227</v>
      </c>
      <c r="G34" s="3859">
        <v>2013</v>
      </c>
      <c r="H34" s="2937">
        <v>4</v>
      </c>
      <c r="I34" s="2937">
        <v>1.83</v>
      </c>
      <c r="J34" s="2937">
        <v>1.68</v>
      </c>
      <c r="K34" s="2937">
        <v>1.97</v>
      </c>
      <c r="L34" s="2938">
        <v>0.87</v>
      </c>
      <c r="N34" s="2911">
        <f t="shared" si="147"/>
        <v>1.83E-2</v>
      </c>
      <c r="O34" s="2912">
        <f t="shared" si="143"/>
        <v>1.6799999999999999E-2</v>
      </c>
      <c r="P34" s="2912">
        <f t="shared" si="143"/>
        <v>1.9699999999999999E-2</v>
      </c>
      <c r="Q34" s="2912">
        <f t="shared" si="143"/>
        <v>8.6999999999999994E-3</v>
      </c>
      <c r="R34" s="2896"/>
      <c r="S34" s="2905"/>
      <c r="T34" s="2906"/>
      <c r="U34" s="2906"/>
      <c r="V34" s="2906"/>
      <c r="X34" s="2906"/>
      <c r="Y34" s="2906"/>
      <c r="Z34" s="2906"/>
    </row>
    <row r="35" spans="1:34">
      <c r="A35" s="2892" t="s">
        <v>2564</v>
      </c>
      <c r="B35" s="2893">
        <f t="shared" ref="B35:C37" si="153">B34/(1+N34)</f>
        <v>293.62663262299913</v>
      </c>
      <c r="C35" s="2893">
        <f t="shared" si="153"/>
        <v>247.83634933123525</v>
      </c>
      <c r="D35" s="2893">
        <f t="shared" si="145"/>
        <v>247.83634933123525</v>
      </c>
      <c r="E35" s="2893">
        <f t="shared" ref="E35:F37" si="154">E34/(1+P34)</f>
        <v>401.09836226341076</v>
      </c>
      <c r="F35" s="2893">
        <f t="shared" si="154"/>
        <v>225.04213343908003</v>
      </c>
      <c r="G35" s="3860"/>
      <c r="H35" s="2919">
        <v>3</v>
      </c>
      <c r="I35" s="2919">
        <v>1.86</v>
      </c>
      <c r="J35" s="2919">
        <v>1.72</v>
      </c>
      <c r="K35" s="2919">
        <v>1.98</v>
      </c>
      <c r="L35" s="2920">
        <v>0.88</v>
      </c>
      <c r="N35" s="2895">
        <f t="shared" si="147"/>
        <v>1.8600000000000002E-2</v>
      </c>
      <c r="O35" s="2913">
        <f t="shared" si="143"/>
        <v>1.72E-2</v>
      </c>
      <c r="P35" s="2913">
        <f t="shared" si="143"/>
        <v>1.9799999999999998E-2</v>
      </c>
      <c r="Q35" s="2913">
        <f t="shared" si="143"/>
        <v>8.8000000000000005E-3</v>
      </c>
      <c r="R35" s="2896"/>
      <c r="S35" s="2895"/>
      <c r="T35" s="2881"/>
      <c r="U35" s="2881"/>
      <c r="V35" s="2881"/>
    </row>
    <row r="36" spans="1:34">
      <c r="A36" s="2892" t="s">
        <v>2565</v>
      </c>
      <c r="B36" s="2893">
        <f t="shared" si="153"/>
        <v>288.2649053828776</v>
      </c>
      <c r="C36" s="2893">
        <f t="shared" si="153"/>
        <v>243.64564425013293</v>
      </c>
      <c r="D36" s="2893">
        <f t="shared" si="145"/>
        <v>243.64564425013293</v>
      </c>
      <c r="E36" s="2893">
        <f t="shared" si="154"/>
        <v>393.31080825986544</v>
      </c>
      <c r="F36" s="2893">
        <f t="shared" si="154"/>
        <v>223.07903790551154</v>
      </c>
      <c r="G36" s="3860"/>
      <c r="H36" s="2907">
        <v>2</v>
      </c>
      <c r="I36" s="2907">
        <v>2.04</v>
      </c>
      <c r="J36" s="2907">
        <v>2.33</v>
      </c>
      <c r="K36" s="2907">
        <v>2.0699999999999998</v>
      </c>
      <c r="L36" s="2908">
        <v>0.69</v>
      </c>
      <c r="N36" s="2895">
        <f t="shared" si="147"/>
        <v>2.0400000000000001E-2</v>
      </c>
      <c r="O36" s="2913">
        <f t="shared" si="143"/>
        <v>2.3300000000000001E-2</v>
      </c>
      <c r="P36" s="2913">
        <f t="shared" si="143"/>
        <v>2.07E-2</v>
      </c>
      <c r="Q36" s="2913">
        <f t="shared" si="143"/>
        <v>6.8999999999999999E-3</v>
      </c>
      <c r="R36" s="2896"/>
      <c r="S36" s="2895"/>
      <c r="T36" s="2881"/>
      <c r="U36" s="2881"/>
      <c r="V36" s="2881"/>
      <c r="X36" s="2939"/>
      <c r="Y36" s="2940"/>
    </row>
    <row r="37" spans="1:34">
      <c r="A37" s="2892" t="s">
        <v>2566</v>
      </c>
      <c r="B37" s="2893">
        <f t="shared" si="153"/>
        <v>282.50186729015837</v>
      </c>
      <c r="C37" s="2893">
        <f t="shared" si="153"/>
        <v>238.09796174155468</v>
      </c>
      <c r="D37" s="2893">
        <f t="shared" si="145"/>
        <v>238.09796174155468</v>
      </c>
      <c r="E37" s="2893">
        <f t="shared" si="154"/>
        <v>385.33438646014054</v>
      </c>
      <c r="F37" s="2893">
        <f t="shared" si="154"/>
        <v>221.55034055567739</v>
      </c>
      <c r="G37" s="3861"/>
      <c r="H37" s="2894">
        <v>1</v>
      </c>
      <c r="I37" s="2894">
        <v>1.67</v>
      </c>
      <c r="J37" s="2894">
        <v>1.31</v>
      </c>
      <c r="K37" s="2894">
        <v>1.85</v>
      </c>
      <c r="L37" s="2900">
        <v>0.96</v>
      </c>
      <c r="N37" s="2897">
        <f t="shared" si="147"/>
        <v>1.67E-2</v>
      </c>
      <c r="O37" s="2898">
        <f t="shared" si="143"/>
        <v>1.3100000000000001E-2</v>
      </c>
      <c r="P37" s="2898">
        <f t="shared" si="143"/>
        <v>1.8500000000000003E-2</v>
      </c>
      <c r="Q37" s="2898">
        <f t="shared" si="143"/>
        <v>9.5999999999999992E-3</v>
      </c>
      <c r="R37" s="2896"/>
      <c r="S37" s="2897">
        <f>B37/B38-1</f>
        <v>1.6193767230785472E-2</v>
      </c>
      <c r="T37" s="2898">
        <f>C37/C38-1</f>
        <v>1.7512657015190891E-2</v>
      </c>
      <c r="U37" s="2898">
        <f>E37/E38-1</f>
        <v>1.6713420739157048E-2</v>
      </c>
      <c r="V37" s="2898">
        <f>F37/F38-1</f>
        <v>7.0470025258062563E-3</v>
      </c>
      <c r="X37" s="2941"/>
      <c r="Y37" s="2881"/>
      <c r="Z37" s="2881"/>
    </row>
    <row r="38" spans="1:34" ht="13.5" thickBot="1">
      <c r="A38" s="2892" t="s">
        <v>2567</v>
      </c>
      <c r="B38" s="2942">
        <v>278</v>
      </c>
      <c r="C38" s="2942">
        <v>234</v>
      </c>
      <c r="D38" s="2942">
        <f t="shared" si="145"/>
        <v>234</v>
      </c>
      <c r="E38" s="2942">
        <v>379</v>
      </c>
      <c r="F38" s="2943">
        <v>220</v>
      </c>
      <c r="G38" s="3854">
        <v>2012</v>
      </c>
      <c r="H38" s="2916">
        <v>4</v>
      </c>
      <c r="I38" s="2916">
        <v>0.91</v>
      </c>
      <c r="J38" s="2916">
        <v>0.68</v>
      </c>
      <c r="K38" s="2916">
        <v>0.98</v>
      </c>
      <c r="L38" s="2917">
        <v>0.9</v>
      </c>
      <c r="N38" s="2895">
        <f t="shared" si="147"/>
        <v>9.1000000000000004E-3</v>
      </c>
      <c r="O38" s="2881">
        <f t="shared" si="147"/>
        <v>6.8000000000000005E-3</v>
      </c>
      <c r="P38" s="2881">
        <f t="shared" si="147"/>
        <v>9.7999999999999997E-3</v>
      </c>
      <c r="Q38" s="2881">
        <f t="shared" si="147"/>
        <v>9.0000000000000011E-3</v>
      </c>
      <c r="R38" s="2896"/>
      <c r="S38" s="2905"/>
      <c r="T38" s="2906"/>
      <c r="U38" s="2906"/>
      <c r="V38" s="2906"/>
      <c r="X38" s="2906"/>
      <c r="Y38" s="2906"/>
      <c r="Z38" s="2906"/>
    </row>
    <row r="39" spans="1:34">
      <c r="A39" s="2892" t="s">
        <v>2568</v>
      </c>
      <c r="B39" s="2893">
        <f>B38/(1+N38)</f>
        <v>275.49301357645425</v>
      </c>
      <c r="C39" s="2893">
        <f>C38/(1+O38)</f>
        <v>232.41954707985698</v>
      </c>
      <c r="D39" s="2893">
        <f t="shared" si="145"/>
        <v>232.41954707985698</v>
      </c>
      <c r="E39" s="2893">
        <f t="shared" ref="E39:F41" si="155">E38/(1+P38)</f>
        <v>375.32184591008121</v>
      </c>
      <c r="F39" s="2893">
        <f t="shared" si="155"/>
        <v>218.03766105054513</v>
      </c>
      <c r="G39" s="3852"/>
      <c r="H39" s="2919">
        <v>3</v>
      </c>
      <c r="I39" s="2919">
        <v>0.09</v>
      </c>
      <c r="J39" s="2919">
        <v>0.28999999999999998</v>
      </c>
      <c r="K39" s="2919">
        <v>-0.01</v>
      </c>
      <c r="L39" s="2920">
        <v>0.57999999999999996</v>
      </c>
      <c r="N39" s="2895">
        <f t="shared" si="147"/>
        <v>8.9999999999999998E-4</v>
      </c>
      <c r="O39" s="2881">
        <f t="shared" si="147"/>
        <v>2.8999999999999998E-3</v>
      </c>
      <c r="P39" s="2881">
        <f t="shared" si="147"/>
        <v>-1E-4</v>
      </c>
      <c r="Q39" s="2881">
        <f t="shared" si="147"/>
        <v>5.7999999999999996E-3</v>
      </c>
      <c r="R39" s="2896"/>
      <c r="S39" s="2895"/>
      <c r="T39" s="2881"/>
      <c r="U39" s="2881"/>
      <c r="V39" s="2881"/>
    </row>
    <row r="40" spans="1:34">
      <c r="A40" s="2892" t="s">
        <v>2569</v>
      </c>
      <c r="B40" s="2893">
        <f>B39/(1+N39)</f>
        <v>275.24529281292263</v>
      </c>
      <c r="C40" s="2893">
        <f>C39/(1+O39)</f>
        <v>231.74747938962707</v>
      </c>
      <c r="D40" s="2893">
        <f t="shared" si="145"/>
        <v>231.74747938962707</v>
      </c>
      <c r="E40" s="2893">
        <f t="shared" si="155"/>
        <v>375.35938184826603</v>
      </c>
      <c r="F40" s="2893">
        <f t="shared" si="155"/>
        <v>216.78033510692495</v>
      </c>
      <c r="G40" s="3852"/>
      <c r="H40" s="2907">
        <v>2</v>
      </c>
      <c r="I40" s="2907">
        <v>0.02</v>
      </c>
      <c r="J40" s="2907">
        <v>0.12</v>
      </c>
      <c r="K40" s="2907">
        <v>-0.08</v>
      </c>
      <c r="L40" s="2908">
        <v>1.24</v>
      </c>
      <c r="N40" s="2895">
        <f t="shared" si="147"/>
        <v>2.0000000000000001E-4</v>
      </c>
      <c r="O40" s="2881">
        <f t="shared" si="147"/>
        <v>1.1999999999999999E-3</v>
      </c>
      <c r="P40" s="2881">
        <f t="shared" si="147"/>
        <v>-8.0000000000000004E-4</v>
      </c>
      <c r="Q40" s="2881">
        <f t="shared" si="147"/>
        <v>1.24E-2</v>
      </c>
      <c r="R40" s="2896"/>
      <c r="S40" s="2895"/>
      <c r="T40" s="2881"/>
      <c r="U40" s="2881"/>
      <c r="V40" s="2881"/>
    </row>
    <row r="41" spans="1:34" ht="13.5" thickBot="1">
      <c r="A41" s="2892" t="s">
        <v>2570</v>
      </c>
      <c r="B41" s="2893">
        <f>B40/(1+N40)</f>
        <v>275.19025476197027</v>
      </c>
      <c r="C41" s="2944">
        <v>232</v>
      </c>
      <c r="D41" s="2944">
        <f t="shared" si="145"/>
        <v>232</v>
      </c>
      <c r="E41" s="2893">
        <f t="shared" si="155"/>
        <v>375.65990977608692</v>
      </c>
      <c r="F41" s="2893">
        <f t="shared" si="155"/>
        <v>214.12518283971252</v>
      </c>
      <c r="G41" s="3855"/>
      <c r="H41" s="2894">
        <v>1</v>
      </c>
      <c r="I41" s="2894">
        <v>0.02</v>
      </c>
      <c r="J41" s="2894">
        <v>0.13</v>
      </c>
      <c r="K41" s="2894">
        <v>-0.04</v>
      </c>
      <c r="L41" s="2900">
        <v>0.46</v>
      </c>
      <c r="N41" s="2895">
        <f t="shared" si="147"/>
        <v>2.0000000000000001E-4</v>
      </c>
      <c r="O41" s="2881">
        <f t="shared" si="147"/>
        <v>1.2999999999999999E-3</v>
      </c>
      <c r="P41" s="2881">
        <f t="shared" si="147"/>
        <v>-4.0000000000000002E-4</v>
      </c>
      <c r="Q41" s="2881">
        <f t="shared" si="147"/>
        <v>4.5999999999999999E-3</v>
      </c>
      <c r="R41" s="2896"/>
      <c r="S41" s="2897">
        <f>B41/B42-1</f>
        <v>6.9183549807361189E-4</v>
      </c>
      <c r="T41" s="2898">
        <f>C41/C42-1</f>
        <v>0</v>
      </c>
      <c r="U41" s="2898">
        <f>E41/E42-1</f>
        <v>-9.0449527636460303E-4</v>
      </c>
      <c r="V41" s="2898">
        <f>F41/F42-1</f>
        <v>5.2825485432512753E-3</v>
      </c>
      <c r="X41" s="2881"/>
      <c r="Y41" s="2881"/>
      <c r="Z41" s="2881"/>
    </row>
    <row r="42" spans="1:34" ht="13.5" thickBot="1">
      <c r="A42" s="2892" t="s">
        <v>2571</v>
      </c>
      <c r="B42" s="2914">
        <v>275</v>
      </c>
      <c r="C42" s="2914">
        <v>232</v>
      </c>
      <c r="D42" s="2914">
        <f t="shared" si="145"/>
        <v>232</v>
      </c>
      <c r="E42" s="2914">
        <v>376</v>
      </c>
      <c r="F42" s="2915">
        <v>213</v>
      </c>
      <c r="G42" s="3854">
        <v>2011</v>
      </c>
      <c r="H42" s="2916">
        <v>4</v>
      </c>
      <c r="I42" s="2916">
        <v>-0.2</v>
      </c>
      <c r="J42" s="2916">
        <v>0.04</v>
      </c>
      <c r="K42" s="2916">
        <v>-0.34</v>
      </c>
      <c r="L42" s="2917">
        <v>0.46</v>
      </c>
      <c r="N42" s="2911">
        <f t="shared" si="147"/>
        <v>-2E-3</v>
      </c>
      <c r="O42" s="2912">
        <f t="shared" si="147"/>
        <v>4.0000000000000002E-4</v>
      </c>
      <c r="P42" s="2912">
        <f t="shared" si="147"/>
        <v>-3.4000000000000002E-3</v>
      </c>
      <c r="Q42" s="2912">
        <f t="shared" si="147"/>
        <v>4.5999999999999999E-3</v>
      </c>
      <c r="R42" s="2896"/>
      <c r="S42" s="2905"/>
      <c r="T42" s="2906"/>
      <c r="U42" s="2906"/>
      <c r="V42" s="2906"/>
      <c r="X42" s="2906"/>
      <c r="Y42" s="2906"/>
      <c r="Z42" s="2906"/>
    </row>
    <row r="43" spans="1:34">
      <c r="A43" s="2892" t="s">
        <v>2572</v>
      </c>
      <c r="B43" s="2893">
        <f t="shared" ref="B43:C45" si="156">B42/(1+N42)</f>
        <v>275.55110220440883</v>
      </c>
      <c r="C43" s="2893">
        <f t="shared" si="156"/>
        <v>231.90723710515795</v>
      </c>
      <c r="D43" s="2893">
        <f t="shared" si="145"/>
        <v>231.90723710515795</v>
      </c>
      <c r="E43" s="2893">
        <f t="shared" ref="E43:F45" si="157">E42/(1+P42)</f>
        <v>377.28276138872161</v>
      </c>
      <c r="F43" s="2893">
        <f t="shared" si="157"/>
        <v>212.02468644236512</v>
      </c>
      <c r="G43" s="3852">
        <v>2011</v>
      </c>
      <c r="H43" s="2919">
        <v>3</v>
      </c>
      <c r="I43" s="2919">
        <v>0.13</v>
      </c>
      <c r="J43" s="2919">
        <v>0.75</v>
      </c>
      <c r="K43" s="2919">
        <v>-0.08</v>
      </c>
      <c r="L43" s="2920">
        <v>0.53</v>
      </c>
      <c r="N43" s="2895">
        <f t="shared" si="147"/>
        <v>1.2999999999999999E-3</v>
      </c>
      <c r="O43" s="2913">
        <f t="shared" si="147"/>
        <v>7.4999999999999997E-3</v>
      </c>
      <c r="P43" s="2913">
        <f t="shared" si="147"/>
        <v>-8.0000000000000004E-4</v>
      </c>
      <c r="Q43" s="2913">
        <f t="shared" si="147"/>
        <v>5.3E-3</v>
      </c>
      <c r="R43" s="2896"/>
      <c r="S43" s="2895"/>
      <c r="T43" s="2881"/>
      <c r="U43" s="2881"/>
      <c r="V43" s="2881"/>
    </row>
    <row r="44" spans="1:34">
      <c r="A44" s="2892" t="s">
        <v>2573</v>
      </c>
      <c r="B44" s="2893">
        <f t="shared" si="156"/>
        <v>275.19335084830601</v>
      </c>
      <c r="C44" s="2893">
        <f t="shared" si="156"/>
        <v>230.18088050139744</v>
      </c>
      <c r="D44" s="2893">
        <f t="shared" si="145"/>
        <v>230.18088050139744</v>
      </c>
      <c r="E44" s="2893">
        <f t="shared" si="157"/>
        <v>377.58482925212331</v>
      </c>
      <c r="F44" s="2893">
        <f t="shared" si="157"/>
        <v>210.90687997847917</v>
      </c>
      <c r="G44" s="3852">
        <v>2011</v>
      </c>
      <c r="H44" s="2907">
        <v>2</v>
      </c>
      <c r="I44" s="2907">
        <v>-0.4</v>
      </c>
      <c r="J44" s="2907">
        <v>0.17</v>
      </c>
      <c r="K44" s="2907">
        <v>-0.57999999999999996</v>
      </c>
      <c r="L44" s="2908">
        <v>-0.2</v>
      </c>
      <c r="N44" s="2895">
        <f t="shared" si="147"/>
        <v>-4.0000000000000001E-3</v>
      </c>
      <c r="O44" s="2913">
        <f t="shared" si="147"/>
        <v>1.7000000000000001E-3</v>
      </c>
      <c r="P44" s="2913">
        <f t="shared" si="147"/>
        <v>-5.7999999999999996E-3</v>
      </c>
      <c r="Q44" s="2913">
        <f t="shared" si="147"/>
        <v>-2E-3</v>
      </c>
      <c r="R44" s="2896"/>
      <c r="S44" s="2895"/>
      <c r="T44" s="2881"/>
      <c r="U44" s="2881"/>
      <c r="V44" s="2881"/>
    </row>
    <row r="45" spans="1:34" ht="13.5" thickBot="1">
      <c r="A45" s="2892" t="s">
        <v>2574</v>
      </c>
      <c r="B45" s="2893">
        <f t="shared" si="156"/>
        <v>276.29854502841971</v>
      </c>
      <c r="C45" s="2893">
        <f t="shared" si="156"/>
        <v>229.79023709833027</v>
      </c>
      <c r="D45" s="2893">
        <f t="shared" si="145"/>
        <v>229.79023709833027</v>
      </c>
      <c r="E45" s="2893">
        <f t="shared" si="157"/>
        <v>379.78759731655936</v>
      </c>
      <c r="F45" s="2893">
        <f t="shared" si="157"/>
        <v>211.32953905659235</v>
      </c>
      <c r="G45" s="3855">
        <v>2011</v>
      </c>
      <c r="H45" s="2894">
        <v>1</v>
      </c>
      <c r="I45" s="2894">
        <v>2.65</v>
      </c>
      <c r="J45" s="2894">
        <v>3.76</v>
      </c>
      <c r="K45" s="2894">
        <v>1.89</v>
      </c>
      <c r="L45" s="2900">
        <v>7.95</v>
      </c>
      <c r="N45" s="2897">
        <f t="shared" si="147"/>
        <v>2.6499999999999999E-2</v>
      </c>
      <c r="O45" s="2898">
        <f t="shared" si="147"/>
        <v>3.7599999999999995E-2</v>
      </c>
      <c r="P45" s="2898">
        <f t="shared" si="147"/>
        <v>1.89E-2</v>
      </c>
      <c r="Q45" s="2898">
        <f t="shared" si="147"/>
        <v>7.9500000000000001E-2</v>
      </c>
      <c r="R45" s="2896"/>
      <c r="S45" s="2897">
        <f>B45/B46-1</f>
        <v>2.713213765211786E-2</v>
      </c>
      <c r="T45" s="2898">
        <f>C45/C46-1</f>
        <v>3.9774828499231862E-2</v>
      </c>
      <c r="U45" s="2898">
        <f>E45/E46-1</f>
        <v>1.8197311840641772E-2</v>
      </c>
      <c r="V45" s="2898">
        <f>F45/F46-1</f>
        <v>7.8211933962205826E-2</v>
      </c>
      <c r="X45" s="2881"/>
      <c r="Y45" s="2881"/>
      <c r="Z45" s="2881"/>
    </row>
    <row r="46" spans="1:34" ht="13.5" thickBot="1">
      <c r="A46" s="2892" t="s">
        <v>2575</v>
      </c>
      <c r="B46" s="2914">
        <v>269</v>
      </c>
      <c r="C46" s="2914">
        <v>221</v>
      </c>
      <c r="D46" s="2914">
        <f t="shared" si="145"/>
        <v>221</v>
      </c>
      <c r="E46" s="2914">
        <v>373</v>
      </c>
      <c r="F46" s="2915">
        <v>196</v>
      </c>
      <c r="G46" s="3854">
        <v>2010</v>
      </c>
      <c r="H46" s="2916">
        <v>4</v>
      </c>
      <c r="I46" s="2916">
        <v>5.72</v>
      </c>
      <c r="J46" s="2916">
        <v>6.57</v>
      </c>
      <c r="K46" s="2916">
        <v>5.72</v>
      </c>
      <c r="L46" s="2917">
        <v>2.72</v>
      </c>
      <c r="N46" s="2895">
        <f t="shared" si="147"/>
        <v>5.7200000000000001E-2</v>
      </c>
      <c r="O46" s="2881">
        <f t="shared" si="147"/>
        <v>6.5700000000000008E-2</v>
      </c>
      <c r="P46" s="2881">
        <f t="shared" si="147"/>
        <v>5.7200000000000001E-2</v>
      </c>
      <c r="Q46" s="2881">
        <f t="shared" si="147"/>
        <v>2.7200000000000002E-2</v>
      </c>
      <c r="R46" s="2896"/>
      <c r="S46" s="2905"/>
      <c r="T46" s="2906"/>
      <c r="U46" s="2906"/>
      <c r="V46" s="2906"/>
      <c r="X46" s="2906"/>
      <c r="Y46" s="2906"/>
      <c r="Z46" s="2906"/>
    </row>
    <row r="47" spans="1:34">
      <c r="A47" s="2892" t="s">
        <v>2576</v>
      </c>
      <c r="B47" s="2893">
        <f t="shared" ref="B47:C49" si="158">B46/(1+N46)</f>
        <v>254.44570563753314</v>
      </c>
      <c r="C47" s="2893">
        <f t="shared" si="158"/>
        <v>207.37543398705074</v>
      </c>
      <c r="D47" s="2893">
        <f t="shared" si="145"/>
        <v>207.37543398705074</v>
      </c>
      <c r="E47" s="2893">
        <f t="shared" ref="E47:F49" si="159">E46/(1+P46)</f>
        <v>352.81876655315932</v>
      </c>
      <c r="F47" s="2893">
        <f t="shared" si="159"/>
        <v>190.809968847352</v>
      </c>
      <c r="G47" s="3852">
        <v>2010</v>
      </c>
      <c r="H47" s="2919">
        <v>3</v>
      </c>
      <c r="I47" s="2919">
        <v>4.7300000000000004</v>
      </c>
      <c r="J47" s="2919">
        <v>3.9</v>
      </c>
      <c r="K47" s="2919">
        <v>5.03</v>
      </c>
      <c r="L47" s="2920">
        <v>4.21</v>
      </c>
      <c r="N47" s="2895">
        <f t="shared" si="147"/>
        <v>4.7300000000000002E-2</v>
      </c>
      <c r="O47" s="2881">
        <f t="shared" si="147"/>
        <v>3.9E-2</v>
      </c>
      <c r="P47" s="2881">
        <f t="shared" si="147"/>
        <v>5.0300000000000004E-2</v>
      </c>
      <c r="Q47" s="2881">
        <f t="shared" si="147"/>
        <v>4.2099999999999999E-2</v>
      </c>
      <c r="R47" s="2896"/>
      <c r="S47" s="2895"/>
      <c r="T47" s="2881"/>
      <c r="U47" s="2881"/>
      <c r="V47" s="2881"/>
    </row>
    <row r="48" spans="1:34">
      <c r="A48" s="2892" t="s">
        <v>2577</v>
      </c>
      <c r="B48" s="2893">
        <f t="shared" si="158"/>
        <v>242.95398227588385</v>
      </c>
      <c r="C48" s="2893">
        <f t="shared" si="158"/>
        <v>199.59137053614126</v>
      </c>
      <c r="D48" s="2893">
        <f t="shared" si="145"/>
        <v>199.59137053614126</v>
      </c>
      <c r="E48" s="2893">
        <f t="shared" si="159"/>
        <v>335.92189522342125</v>
      </c>
      <c r="F48" s="2893">
        <f t="shared" si="159"/>
        <v>183.10139991109489</v>
      </c>
      <c r="G48" s="3852">
        <v>2010</v>
      </c>
      <c r="H48" s="2907">
        <v>2</v>
      </c>
      <c r="I48" s="2907">
        <v>4.6900000000000004</v>
      </c>
      <c r="J48" s="2907">
        <v>3.55</v>
      </c>
      <c r="K48" s="2907">
        <v>5.07</v>
      </c>
      <c r="L48" s="2908">
        <v>4.2300000000000004</v>
      </c>
      <c r="N48" s="2895">
        <f t="shared" si="147"/>
        <v>4.6900000000000004E-2</v>
      </c>
      <c r="O48" s="2881">
        <f t="shared" si="147"/>
        <v>3.5499999999999997E-2</v>
      </c>
      <c r="P48" s="2881">
        <f t="shared" si="147"/>
        <v>5.0700000000000002E-2</v>
      </c>
      <c r="Q48" s="2881">
        <f t="shared" si="147"/>
        <v>4.2300000000000004E-2</v>
      </c>
      <c r="R48" s="2896"/>
      <c r="S48" s="2895"/>
      <c r="T48" s="2881"/>
      <c r="U48" s="2881"/>
      <c r="V48" s="2881"/>
    </row>
    <row r="49" spans="1:26" ht="13.5" thickBot="1">
      <c r="A49" s="2892" t="s">
        <v>2578</v>
      </c>
      <c r="B49" s="2893">
        <f t="shared" si="158"/>
        <v>232.06990378821649</v>
      </c>
      <c r="C49" s="2893">
        <f t="shared" si="158"/>
        <v>192.74878854286936</v>
      </c>
      <c r="D49" s="2893">
        <f t="shared" si="145"/>
        <v>192.74878854286936</v>
      </c>
      <c r="E49" s="2893">
        <f t="shared" si="159"/>
        <v>319.71247284992984</v>
      </c>
      <c r="F49" s="2893">
        <f t="shared" si="159"/>
        <v>175.67053622862409</v>
      </c>
      <c r="G49" s="3855">
        <v>2010</v>
      </c>
      <c r="H49" s="2894">
        <v>1</v>
      </c>
      <c r="I49" s="2894">
        <v>5.4</v>
      </c>
      <c r="J49" s="2894">
        <v>3.2</v>
      </c>
      <c r="K49" s="2894">
        <v>6.16</v>
      </c>
      <c r="L49" s="2900">
        <v>4.51</v>
      </c>
      <c r="N49" s="2895">
        <f t="shared" si="147"/>
        <v>5.4000000000000006E-2</v>
      </c>
      <c r="O49" s="2881">
        <f t="shared" si="147"/>
        <v>3.2000000000000001E-2</v>
      </c>
      <c r="P49" s="2881">
        <f t="shared" si="147"/>
        <v>6.1600000000000002E-2</v>
      </c>
      <c r="Q49" s="2881">
        <f t="shared" si="147"/>
        <v>4.5100000000000001E-2</v>
      </c>
      <c r="R49" s="2896"/>
      <c r="S49" s="2897">
        <f>B49/B50-1</f>
        <v>5.4863199037347599E-2</v>
      </c>
      <c r="T49" s="2898">
        <f>C49/C50-1</f>
        <v>3.0742184721226584E-2</v>
      </c>
      <c r="U49" s="2898">
        <f>E49/E50-1</f>
        <v>6.2167683886810154E-2</v>
      </c>
      <c r="V49" s="2898">
        <f>F49/F50-1</f>
        <v>4.5657953741810031E-2</v>
      </c>
      <c r="X49" s="2881"/>
      <c r="Y49" s="2881"/>
      <c r="Z49" s="2881"/>
    </row>
    <row r="50" spans="1:26" ht="13.5" thickBot="1">
      <c r="A50" s="2892" t="s">
        <v>2579</v>
      </c>
      <c r="B50" s="2914">
        <v>220</v>
      </c>
      <c r="C50" s="2914">
        <v>187</v>
      </c>
      <c r="D50" s="2914">
        <f t="shared" si="145"/>
        <v>187</v>
      </c>
      <c r="E50" s="2914">
        <v>301</v>
      </c>
      <c r="F50" s="2915">
        <v>168</v>
      </c>
      <c r="G50" s="3854">
        <v>2009</v>
      </c>
      <c r="H50" s="2916">
        <v>4</v>
      </c>
      <c r="I50" s="2916">
        <v>2.2999999999999998</v>
      </c>
      <c r="J50" s="2916">
        <v>1.04</v>
      </c>
      <c r="K50" s="2916">
        <v>2.84</v>
      </c>
      <c r="L50" s="2917">
        <v>0.67</v>
      </c>
      <c r="N50" s="2911">
        <f t="shared" si="147"/>
        <v>2.3E-2</v>
      </c>
      <c r="O50" s="2912">
        <f t="shared" si="147"/>
        <v>1.04E-2</v>
      </c>
      <c r="P50" s="2912">
        <f t="shared" si="147"/>
        <v>2.8399999999999998E-2</v>
      </c>
      <c r="Q50" s="2912">
        <f t="shared" si="147"/>
        <v>6.7000000000000002E-3</v>
      </c>
      <c r="R50" s="2896"/>
      <c r="S50" s="2905"/>
      <c r="T50" s="2906"/>
      <c r="U50" s="2906"/>
      <c r="V50" s="2906"/>
      <c r="X50" s="2906"/>
      <c r="Y50" s="2906"/>
      <c r="Z50" s="2906"/>
    </row>
    <row r="51" spans="1:26">
      <c r="A51" s="2892" t="s">
        <v>2580</v>
      </c>
      <c r="B51" s="2893">
        <f t="shared" ref="B51:C53" si="160">B50/(1+N50)</f>
        <v>215.05376344086022</v>
      </c>
      <c r="C51" s="2893">
        <f t="shared" si="160"/>
        <v>185.0752177355503</v>
      </c>
      <c r="D51" s="2893">
        <f t="shared" si="145"/>
        <v>185.0752177355503</v>
      </c>
      <c r="E51" s="2893">
        <f t="shared" ref="E51:F53" si="161">E50/(1+P50)</f>
        <v>292.68767016725008</v>
      </c>
      <c r="F51" s="2893">
        <f t="shared" si="161"/>
        <v>166.88189132810174</v>
      </c>
      <c r="G51" s="3852">
        <v>2009</v>
      </c>
      <c r="H51" s="2919">
        <v>3</v>
      </c>
      <c r="I51" s="2919">
        <v>2.1</v>
      </c>
      <c r="J51" s="2919">
        <v>1.86</v>
      </c>
      <c r="K51" s="2919">
        <v>2.29</v>
      </c>
      <c r="L51" s="2920">
        <v>0.85</v>
      </c>
      <c r="N51" s="2895">
        <f t="shared" si="147"/>
        <v>2.1000000000000001E-2</v>
      </c>
      <c r="O51" s="2913">
        <f t="shared" si="147"/>
        <v>1.8600000000000002E-2</v>
      </c>
      <c r="P51" s="2913">
        <f t="shared" si="147"/>
        <v>2.29E-2</v>
      </c>
      <c r="Q51" s="2913">
        <f t="shared" si="147"/>
        <v>8.5000000000000006E-3</v>
      </c>
      <c r="R51" s="2896"/>
      <c r="S51" s="2895"/>
      <c r="T51" s="2881"/>
      <c r="U51" s="2881"/>
      <c r="V51" s="2881"/>
    </row>
    <row r="52" spans="1:26">
      <c r="A52" s="2892" t="s">
        <v>2581</v>
      </c>
      <c r="B52" s="2893">
        <f t="shared" si="160"/>
        <v>210.630522469011</v>
      </c>
      <c r="C52" s="2893">
        <f t="shared" si="160"/>
        <v>181.69567812247232</v>
      </c>
      <c r="D52" s="2893">
        <f t="shared" si="145"/>
        <v>181.69567812247232</v>
      </c>
      <c r="E52" s="2893">
        <f t="shared" si="161"/>
        <v>286.13517466736738</v>
      </c>
      <c r="F52" s="2893">
        <f t="shared" si="161"/>
        <v>165.47535084591149</v>
      </c>
      <c r="G52" s="3852">
        <v>2009</v>
      </c>
      <c r="H52" s="2907">
        <v>2</v>
      </c>
      <c r="I52" s="2907">
        <v>0.86</v>
      </c>
      <c r="J52" s="2907">
        <v>-1.1299999999999999</v>
      </c>
      <c r="K52" s="2907">
        <v>1.79</v>
      </c>
      <c r="L52" s="2908">
        <v>-2.0699999999999998</v>
      </c>
      <c r="N52" s="2895">
        <f t="shared" si="147"/>
        <v>8.6E-3</v>
      </c>
      <c r="O52" s="2913">
        <f t="shared" si="147"/>
        <v>-1.1299999999999999E-2</v>
      </c>
      <c r="P52" s="2913">
        <f t="shared" si="147"/>
        <v>1.7899999999999999E-2</v>
      </c>
      <c r="Q52" s="2913">
        <f t="shared" si="147"/>
        <v>-2.07E-2</v>
      </c>
      <c r="R52" s="2896"/>
      <c r="S52" s="2895"/>
      <c r="T52" s="2881"/>
      <c r="U52" s="2881"/>
      <c r="V52" s="2881"/>
    </row>
    <row r="53" spans="1:26">
      <c r="A53" s="2892" t="s">
        <v>2582</v>
      </c>
      <c r="B53" s="2893">
        <f t="shared" si="160"/>
        <v>208.83454537875372</v>
      </c>
      <c r="C53" s="2893">
        <f t="shared" si="160"/>
        <v>183.77230517090351</v>
      </c>
      <c r="D53" s="2893">
        <f t="shared" si="145"/>
        <v>183.77230517090351</v>
      </c>
      <c r="E53" s="2893">
        <f t="shared" si="161"/>
        <v>281.10342338870947</v>
      </c>
      <c r="F53" s="2893">
        <f t="shared" si="161"/>
        <v>168.97309388942256</v>
      </c>
      <c r="G53" s="3855">
        <v>2009</v>
      </c>
      <c r="H53" s="2894">
        <v>1</v>
      </c>
      <c r="I53" s="2894">
        <v>-2.64</v>
      </c>
      <c r="J53" s="2894">
        <v>-2.5299999999999998</v>
      </c>
      <c r="K53" s="2894">
        <v>-3.02</v>
      </c>
      <c r="L53" s="2900">
        <v>1.52</v>
      </c>
      <c r="N53" s="2897">
        <f t="shared" si="147"/>
        <v>-2.64E-2</v>
      </c>
      <c r="O53" s="2898">
        <f t="shared" si="147"/>
        <v>-2.53E-2</v>
      </c>
      <c r="P53" s="2898">
        <f t="shared" si="147"/>
        <v>-3.0200000000000001E-2</v>
      </c>
      <c r="Q53" s="2898">
        <f t="shared" si="147"/>
        <v>1.52E-2</v>
      </c>
      <c r="R53" s="2896"/>
      <c r="S53" s="2897">
        <f>B53/B54-1</f>
        <v>-2.4137638417038754E-2</v>
      </c>
      <c r="T53" s="2898">
        <f>C53/C54-1</f>
        <v>-2.248773845264096E-2</v>
      </c>
      <c r="U53" s="2898">
        <f>E53/E54-1</f>
        <v>-2.7323794502735366E-2</v>
      </c>
      <c r="V53" s="2898">
        <f>F53/F54-1</f>
        <v>1.7910204153148035E-2</v>
      </c>
      <c r="X53" s="2881"/>
      <c r="Y53" s="2881"/>
      <c r="Z53" s="2881"/>
    </row>
    <row r="54" spans="1:26" ht="13.5" thickBot="1">
      <c r="A54" s="2892" t="s">
        <v>2583</v>
      </c>
      <c r="B54" s="2942">
        <v>214</v>
      </c>
      <c r="C54" s="2942">
        <v>188</v>
      </c>
      <c r="D54" s="2942">
        <f t="shared" si="145"/>
        <v>188</v>
      </c>
      <c r="E54" s="2942">
        <v>289</v>
      </c>
      <c r="F54" s="2943">
        <v>166</v>
      </c>
      <c r="G54" s="3854">
        <v>2008</v>
      </c>
      <c r="H54" s="2916">
        <v>4</v>
      </c>
      <c r="I54" s="2916">
        <v>1.73</v>
      </c>
      <c r="J54" s="2916">
        <v>0.03</v>
      </c>
      <c r="K54" s="2916">
        <v>2.59</v>
      </c>
      <c r="L54" s="2917">
        <v>-1.66</v>
      </c>
      <c r="N54" s="2895">
        <f t="shared" si="147"/>
        <v>1.7299999999999999E-2</v>
      </c>
      <c r="O54" s="2881">
        <f t="shared" si="147"/>
        <v>2.9999999999999997E-4</v>
      </c>
      <c r="P54" s="2881">
        <f t="shared" si="147"/>
        <v>2.5899999999999999E-2</v>
      </c>
      <c r="Q54" s="2881">
        <f t="shared" si="147"/>
        <v>-1.66E-2</v>
      </c>
      <c r="R54" s="2896"/>
      <c r="S54" s="2905"/>
      <c r="T54" s="2906"/>
      <c r="U54" s="2906"/>
      <c r="V54" s="2906"/>
      <c r="X54" s="2906"/>
      <c r="Y54" s="2906"/>
      <c r="Z54" s="2906"/>
    </row>
    <row r="55" spans="1:26">
      <c r="A55" s="2892" t="s">
        <v>2584</v>
      </c>
      <c r="B55" s="2893">
        <f t="shared" ref="B55:C57" si="162">B54/(1+N54)</f>
        <v>210.36075887152265</v>
      </c>
      <c r="C55" s="2893">
        <f t="shared" si="162"/>
        <v>187.94361691492554</v>
      </c>
      <c r="D55" s="2893">
        <f t="shared" si="145"/>
        <v>187.94361691492554</v>
      </c>
      <c r="E55" s="2893">
        <f t="shared" ref="E55:F57" si="163">E54/(1+P54)</f>
        <v>281.70386977288234</v>
      </c>
      <c r="F55" s="2893">
        <f t="shared" si="163"/>
        <v>168.80211511083994</v>
      </c>
      <c r="G55" s="3852">
        <v>2008</v>
      </c>
      <c r="H55" s="2919">
        <v>3</v>
      </c>
      <c r="I55" s="2919">
        <v>1.96</v>
      </c>
      <c r="J55" s="2919">
        <v>2.36</v>
      </c>
      <c r="K55" s="2919">
        <v>1.82</v>
      </c>
      <c r="L55" s="2920">
        <v>2.2200000000000002</v>
      </c>
      <c r="N55" s="2895">
        <f t="shared" si="147"/>
        <v>1.9599999999999999E-2</v>
      </c>
      <c r="O55" s="2881">
        <f t="shared" si="147"/>
        <v>2.3599999999999999E-2</v>
      </c>
      <c r="P55" s="2881">
        <f t="shared" si="147"/>
        <v>1.8200000000000001E-2</v>
      </c>
      <c r="Q55" s="2881">
        <f t="shared" si="147"/>
        <v>2.2200000000000001E-2</v>
      </c>
      <c r="R55" s="2896"/>
      <c r="S55" s="2895"/>
      <c r="T55" s="2881"/>
      <c r="U55" s="2881"/>
      <c r="V55" s="2881"/>
    </row>
    <row r="56" spans="1:26">
      <c r="A56" s="2892" t="s">
        <v>2585</v>
      </c>
      <c r="B56" s="2893">
        <f t="shared" si="162"/>
        <v>206.31694671589116</v>
      </c>
      <c r="C56" s="2893">
        <f t="shared" si="162"/>
        <v>183.61041121036101</v>
      </c>
      <c r="D56" s="2893">
        <f t="shared" si="145"/>
        <v>183.61041121036101</v>
      </c>
      <c r="E56" s="2893">
        <f t="shared" si="163"/>
        <v>276.66850301795557</v>
      </c>
      <c r="F56" s="2893">
        <f t="shared" si="163"/>
        <v>165.1360938278614</v>
      </c>
      <c r="G56" s="3852">
        <v>2008</v>
      </c>
      <c r="H56" s="2907">
        <v>2</v>
      </c>
      <c r="I56" s="2907">
        <v>4.93</v>
      </c>
      <c r="J56" s="2907">
        <v>7.38</v>
      </c>
      <c r="K56" s="2907">
        <v>3.98</v>
      </c>
      <c r="L56" s="2908">
        <v>6.86</v>
      </c>
      <c r="N56" s="2895">
        <f t="shared" si="147"/>
        <v>4.9299999999999997E-2</v>
      </c>
      <c r="O56" s="2881">
        <f t="shared" si="147"/>
        <v>7.3800000000000004E-2</v>
      </c>
      <c r="P56" s="2881">
        <f t="shared" si="147"/>
        <v>3.9800000000000002E-2</v>
      </c>
      <c r="Q56" s="2881">
        <f t="shared" si="147"/>
        <v>6.8600000000000008E-2</v>
      </c>
      <c r="R56" s="2896"/>
      <c r="S56" s="2895"/>
      <c r="T56" s="2881"/>
      <c r="U56" s="2881"/>
      <c r="V56" s="2881"/>
    </row>
    <row r="57" spans="1:26" s="2948" customFormat="1" ht="13.5" thickBot="1">
      <c r="A57" s="2892" t="s">
        <v>2586</v>
      </c>
      <c r="B57" s="2945">
        <f t="shared" si="162"/>
        <v>196.62341248059772</v>
      </c>
      <c r="C57" s="2945">
        <f t="shared" si="162"/>
        <v>170.99125648199012</v>
      </c>
      <c r="D57" s="2945">
        <f t="shared" si="145"/>
        <v>170.99125648199012</v>
      </c>
      <c r="E57" s="2945">
        <f t="shared" si="163"/>
        <v>266.07857570490052</v>
      </c>
      <c r="F57" s="2945">
        <f t="shared" si="163"/>
        <v>154.53499328828505</v>
      </c>
      <c r="G57" s="3855">
        <v>2008</v>
      </c>
      <c r="H57" s="2946">
        <v>1</v>
      </c>
      <c r="I57" s="2946">
        <v>4.1399999999999997</v>
      </c>
      <c r="J57" s="2946">
        <v>3.45</v>
      </c>
      <c r="K57" s="2946">
        <v>4.95</v>
      </c>
      <c r="L57" s="2947">
        <v>4.82</v>
      </c>
      <c r="N57" s="2949">
        <f t="shared" si="147"/>
        <v>4.1399999999999999E-2</v>
      </c>
      <c r="O57" s="2950">
        <f t="shared" si="147"/>
        <v>3.4500000000000003E-2</v>
      </c>
      <c r="P57" s="2950">
        <f t="shared" si="147"/>
        <v>4.9500000000000002E-2</v>
      </c>
      <c r="Q57" s="2950">
        <f t="shared" si="147"/>
        <v>4.82E-2</v>
      </c>
      <c r="R57" s="2951"/>
      <c r="S57" s="2949">
        <f>B57/B58-1</f>
        <v>4.5869215322328349E-2</v>
      </c>
      <c r="T57" s="2950">
        <f>C57/C58-1</f>
        <v>3.6310645345394743E-2</v>
      </c>
      <c r="U57" s="2950">
        <f>E57/E58-1</f>
        <v>4.7553447657088688E-2</v>
      </c>
      <c r="V57" s="2950">
        <f>F57/F58-1</f>
        <v>4.4155360055980086E-2</v>
      </c>
      <c r="X57" s="2950"/>
      <c r="Y57" s="2950"/>
      <c r="Z57" s="2950"/>
    </row>
    <row r="58" spans="1:26" ht="13.5" thickBot="1">
      <c r="A58" s="2892" t="s">
        <v>2587</v>
      </c>
      <c r="B58" s="2914">
        <v>188</v>
      </c>
      <c r="C58" s="2914">
        <v>165</v>
      </c>
      <c r="D58" s="2914">
        <f t="shared" si="145"/>
        <v>165</v>
      </c>
      <c r="E58" s="2914">
        <v>254</v>
      </c>
      <c r="F58" s="2915">
        <v>148</v>
      </c>
      <c r="G58" s="3854">
        <v>2007</v>
      </c>
      <c r="H58" s="2952">
        <v>4</v>
      </c>
      <c r="I58" s="2952">
        <v>5.51</v>
      </c>
      <c r="J58" s="2952">
        <v>4.8899999999999997</v>
      </c>
      <c r="K58" s="2952">
        <v>6.43</v>
      </c>
      <c r="L58" s="2953">
        <v>5.36</v>
      </c>
      <c r="N58" s="2954">
        <f t="shared" ref="N58:O61" si="164">B58/B59-1</f>
        <v>4.1339718365245526E-2</v>
      </c>
      <c r="O58" s="2955">
        <f t="shared" si="164"/>
        <v>4.0324492593776018E-2</v>
      </c>
      <c r="P58" s="2955">
        <f t="shared" ref="P58:Q61" si="165">E58/E59-1</f>
        <v>6.1625555347990968E-2</v>
      </c>
      <c r="Q58" s="2955">
        <f t="shared" si="165"/>
        <v>4.6757569250590603E-2</v>
      </c>
      <c r="R58" s="2896"/>
      <c r="S58" s="2905"/>
      <c r="T58" s="2906"/>
      <c r="U58" s="2906"/>
      <c r="V58" s="2906"/>
      <c r="X58" s="2906"/>
      <c r="Y58" s="2906"/>
      <c r="Z58" s="2906"/>
    </row>
    <row r="59" spans="1:26">
      <c r="A59" s="2892" t="s">
        <v>2588</v>
      </c>
      <c r="B59" s="2893">
        <f t="shared" ref="B59:C61" si="166">B60+(B$58-B$62)*I59/SUM(I$58:I$61)</f>
        <v>180.5366651097618</v>
      </c>
      <c r="C59" s="2893">
        <f t="shared" si="166"/>
        <v>158.60435967302453</v>
      </c>
      <c r="D59" s="2893">
        <f t="shared" si="145"/>
        <v>158.60435967302453</v>
      </c>
      <c r="E59" s="2893">
        <f t="shared" ref="E59:F61" si="167">E60+(E$58-E$62)*K59/SUM(K$58:K$61)</f>
        <v>239.25573260785075</v>
      </c>
      <c r="F59" s="2893">
        <f t="shared" si="167"/>
        <v>141.38899430740037</v>
      </c>
      <c r="G59" s="3852">
        <v>2007</v>
      </c>
      <c r="H59" s="2919">
        <v>3</v>
      </c>
      <c r="I59" s="2919">
        <v>8.65</v>
      </c>
      <c r="J59" s="2919">
        <v>8.06</v>
      </c>
      <c r="K59" s="2919">
        <v>9.94</v>
      </c>
      <c r="L59" s="2920">
        <v>5.8</v>
      </c>
      <c r="N59" s="2954">
        <f t="shared" si="164"/>
        <v>6.940217571740015E-2</v>
      </c>
      <c r="O59" s="2955">
        <f t="shared" si="164"/>
        <v>7.1197482471153428E-2</v>
      </c>
      <c r="P59" s="2955">
        <f t="shared" si="165"/>
        <v>0.10529679922579582</v>
      </c>
      <c r="Q59" s="2955">
        <f t="shared" si="165"/>
        <v>5.3292245059512133E-2</v>
      </c>
      <c r="R59" s="2896"/>
      <c r="S59" s="2895"/>
      <c r="T59" s="2881"/>
      <c r="U59" s="2881"/>
      <c r="V59" s="2881"/>
      <c r="X59" s="2956"/>
      <c r="Y59" s="2956"/>
      <c r="Z59" s="2956"/>
    </row>
    <row r="60" spans="1:26">
      <c r="A60" s="2892" t="s">
        <v>2589</v>
      </c>
      <c r="B60" s="2893">
        <f t="shared" si="166"/>
        <v>168.82017748715555</v>
      </c>
      <c r="C60" s="2893">
        <f t="shared" si="166"/>
        <v>148.06267029972753</v>
      </c>
      <c r="D60" s="2893">
        <f t="shared" si="145"/>
        <v>148.06267029972753</v>
      </c>
      <c r="E60" s="2893">
        <f t="shared" si="167"/>
        <v>216.46288379323747</v>
      </c>
      <c r="F60" s="2893">
        <f t="shared" si="167"/>
        <v>134.23529411764704</v>
      </c>
      <c r="G60" s="3852">
        <v>2007</v>
      </c>
      <c r="H60" s="2907">
        <v>2</v>
      </c>
      <c r="I60" s="2907">
        <v>3.67</v>
      </c>
      <c r="J60" s="2907">
        <v>2.3199999999999998</v>
      </c>
      <c r="K60" s="2907">
        <v>5.0199999999999996</v>
      </c>
      <c r="L60" s="2908">
        <v>6.71</v>
      </c>
      <c r="N60" s="2954">
        <f t="shared" si="164"/>
        <v>3.0339138143848032E-2</v>
      </c>
      <c r="O60" s="2955">
        <f t="shared" si="164"/>
        <v>2.0922341588790472E-2</v>
      </c>
      <c r="P60" s="2955">
        <f t="shared" si="165"/>
        <v>5.6164796592717003E-2</v>
      </c>
      <c r="Q60" s="2955">
        <f t="shared" si="165"/>
        <v>6.5704536723887319E-2</v>
      </c>
      <c r="R60" s="2896"/>
      <c r="S60" s="2895"/>
      <c r="T60" s="2881"/>
      <c r="U60" s="2881"/>
      <c r="V60" s="2881"/>
      <c r="X60" s="2956"/>
      <c r="Y60" s="2956"/>
      <c r="Z60" s="2956"/>
    </row>
    <row r="61" spans="1:26">
      <c r="A61" s="2892" t="s">
        <v>2590</v>
      </c>
      <c r="B61" s="2893">
        <f t="shared" si="166"/>
        <v>163.84913591779542</v>
      </c>
      <c r="C61" s="2893">
        <f t="shared" si="166"/>
        <v>145.0283378746594</v>
      </c>
      <c r="D61" s="2893">
        <f t="shared" si="145"/>
        <v>145.0283378746594</v>
      </c>
      <c r="E61" s="2893">
        <f t="shared" si="167"/>
        <v>204.95180722891567</v>
      </c>
      <c r="F61" s="2893">
        <f t="shared" si="167"/>
        <v>125.95920303605313</v>
      </c>
      <c r="G61" s="3855">
        <v>2007</v>
      </c>
      <c r="H61" s="2894">
        <v>1</v>
      </c>
      <c r="I61" s="2894">
        <v>3.58</v>
      </c>
      <c r="J61" s="2894">
        <v>3.08</v>
      </c>
      <c r="K61" s="2894">
        <v>4.34</v>
      </c>
      <c r="L61" s="2900">
        <v>3.21</v>
      </c>
      <c r="N61" s="2957">
        <f t="shared" si="164"/>
        <v>3.0497710174814063E-2</v>
      </c>
      <c r="O61" s="2958">
        <f t="shared" si="164"/>
        <v>2.8569772160704998E-2</v>
      </c>
      <c r="P61" s="2958">
        <f t="shared" si="165"/>
        <v>5.1034908866234296E-2</v>
      </c>
      <c r="Q61" s="2958">
        <f t="shared" si="165"/>
        <v>3.245248390207478E-2</v>
      </c>
      <c r="R61" s="2896"/>
      <c r="S61" s="2897">
        <f>B61/B62-1</f>
        <v>3.0497710174814063E-2</v>
      </c>
      <c r="T61" s="2898">
        <f>C61/C62-1</f>
        <v>2.8569772160704998E-2</v>
      </c>
      <c r="U61" s="2898">
        <f>E61/E62-1</f>
        <v>5.1034908866234296E-2</v>
      </c>
      <c r="V61" s="2898">
        <f>F61/F62-1</f>
        <v>3.245248390207478E-2</v>
      </c>
      <c r="X61" s="2956"/>
      <c r="Y61" s="2956"/>
      <c r="Z61" s="2956"/>
    </row>
    <row r="62" spans="1:26" ht="13.5" thickBot="1">
      <c r="A62" s="2892" t="s">
        <v>2591</v>
      </c>
      <c r="B62" s="2921">
        <v>159</v>
      </c>
      <c r="C62" s="2921">
        <v>141</v>
      </c>
      <c r="D62" s="2921">
        <f t="shared" si="145"/>
        <v>141</v>
      </c>
      <c r="E62" s="2921">
        <v>195</v>
      </c>
      <c r="F62" s="2922">
        <v>122</v>
      </c>
      <c r="G62" s="3854">
        <v>2006</v>
      </c>
      <c r="H62" s="2916">
        <v>4</v>
      </c>
      <c r="I62" s="2916">
        <v>3.79</v>
      </c>
      <c r="J62" s="2916">
        <v>2.21</v>
      </c>
      <c r="K62" s="2916">
        <v>5.65</v>
      </c>
      <c r="L62" s="2917">
        <v>5.41</v>
      </c>
      <c r="N62" s="2954">
        <f t="shared" ref="N62:O65" si="168">I62/SUM(I$62:I$65)*(B$62/B$66-1)</f>
        <v>7.245466462748526E-2</v>
      </c>
      <c r="O62" s="2955">
        <f t="shared" si="168"/>
        <v>2.3237230038062766E-2</v>
      </c>
      <c r="P62" s="2955">
        <f t="shared" ref="P62:Q65" si="169">K62/SUM(K$62:K$65)*(E$62/E$66-1)</f>
        <v>0.16146893866323722</v>
      </c>
      <c r="Q62" s="2955">
        <f t="shared" si="169"/>
        <v>5.0755230321793784E-2</v>
      </c>
      <c r="R62" s="2896"/>
      <c r="S62" s="2905"/>
      <c r="T62" s="2906"/>
      <c r="U62" s="2906"/>
      <c r="V62" s="2906"/>
      <c r="X62" s="2956"/>
      <c r="Y62" s="2956"/>
      <c r="Z62" s="2956"/>
    </row>
    <row r="63" spans="1:26">
      <c r="A63" s="2892" t="s">
        <v>2592</v>
      </c>
      <c r="B63" s="2893">
        <f t="shared" ref="B63:C65" si="170">B64+(B$62-B$66)*I63/SUM(I$62:I$65)</f>
        <v>149.00125628140702</v>
      </c>
      <c r="C63" s="2893">
        <f t="shared" si="170"/>
        <v>137.95592286501378</v>
      </c>
      <c r="D63" s="2893">
        <f t="shared" si="145"/>
        <v>137.95592286501378</v>
      </c>
      <c r="E63" s="2893">
        <f t="shared" ref="E63:F65" si="171">E64+(E$62-E$66)*K63/SUM(K$62:K$65)</f>
        <v>169.97231450719823</v>
      </c>
      <c r="F63" s="2893">
        <f t="shared" si="171"/>
        <v>116.21390374331551</v>
      </c>
      <c r="G63" s="3852">
        <v>2006</v>
      </c>
      <c r="H63" s="2919">
        <v>3</v>
      </c>
      <c r="I63" s="2919">
        <v>0.92</v>
      </c>
      <c r="J63" s="2919">
        <v>1.08</v>
      </c>
      <c r="K63" s="2919">
        <v>0.73</v>
      </c>
      <c r="L63" s="2920">
        <v>1.08</v>
      </c>
      <c r="N63" s="2954">
        <f t="shared" si="168"/>
        <v>1.7587939698492462E-2</v>
      </c>
      <c r="O63" s="2955">
        <f t="shared" si="168"/>
        <v>1.1355750425840628E-2</v>
      </c>
      <c r="P63" s="2955">
        <f t="shared" si="169"/>
        <v>2.0862358446754544E-2</v>
      </c>
      <c r="Q63" s="2955">
        <f t="shared" si="169"/>
        <v>1.0132282578103011E-2</v>
      </c>
      <c r="R63" s="2896"/>
      <c r="S63" s="2895"/>
      <c r="T63" s="2881"/>
      <c r="U63" s="2881"/>
      <c r="V63" s="2881"/>
      <c r="X63" s="2956"/>
      <c r="Y63" s="2956"/>
      <c r="Z63" s="2956"/>
    </row>
    <row r="64" spans="1:26">
      <c r="A64" s="2892" t="s">
        <v>2593</v>
      </c>
      <c r="B64" s="2893">
        <f t="shared" si="170"/>
        <v>146.57412060301507</v>
      </c>
      <c r="C64" s="2893">
        <f t="shared" si="170"/>
        <v>136.46831955922866</v>
      </c>
      <c r="D64" s="2893">
        <f t="shared" si="145"/>
        <v>136.46831955922866</v>
      </c>
      <c r="E64" s="2893">
        <f t="shared" si="171"/>
        <v>166.73864894795128</v>
      </c>
      <c r="F64" s="2893">
        <f t="shared" si="171"/>
        <v>115.05882352941177</v>
      </c>
      <c r="G64" s="3852">
        <v>2006</v>
      </c>
      <c r="H64" s="2907">
        <v>2</v>
      </c>
      <c r="I64" s="2907">
        <v>0.96</v>
      </c>
      <c r="J64" s="2907">
        <v>0.25</v>
      </c>
      <c r="K64" s="2907">
        <v>1.9</v>
      </c>
      <c r="L64" s="2908">
        <v>0.95</v>
      </c>
      <c r="N64" s="2954">
        <f t="shared" si="168"/>
        <v>1.8352632728861701E-2</v>
      </c>
      <c r="O64" s="2955">
        <f t="shared" si="168"/>
        <v>2.6286459319075526E-3</v>
      </c>
      <c r="P64" s="2955">
        <f t="shared" si="169"/>
        <v>5.4299289107991269E-2</v>
      </c>
      <c r="Q64" s="2955">
        <f t="shared" si="169"/>
        <v>8.9126559714794995E-3</v>
      </c>
      <c r="R64" s="2896"/>
      <c r="S64" s="2895"/>
      <c r="T64" s="2881"/>
      <c r="U64" s="2881"/>
      <c r="V64" s="2881"/>
      <c r="X64" s="2956"/>
      <c r="Y64" s="2956"/>
      <c r="Z64" s="2956"/>
    </row>
    <row r="65" spans="1:26">
      <c r="A65" s="2892" t="s">
        <v>2594</v>
      </c>
      <c r="B65" s="2893">
        <f t="shared" si="170"/>
        <v>144.04145728643215</v>
      </c>
      <c r="C65" s="2893">
        <f t="shared" si="170"/>
        <v>136.12396694214877</v>
      </c>
      <c r="D65" s="2893">
        <f t="shared" si="145"/>
        <v>136.12396694214877</v>
      </c>
      <c r="E65" s="2893">
        <f t="shared" si="171"/>
        <v>158.32225913621264</v>
      </c>
      <c r="F65" s="2893">
        <f t="shared" si="171"/>
        <v>114.04278074866311</v>
      </c>
      <c r="G65" s="3855">
        <v>2006</v>
      </c>
      <c r="H65" s="2894">
        <v>1</v>
      </c>
      <c r="I65" s="2894">
        <v>2.29</v>
      </c>
      <c r="J65" s="2894">
        <v>3.72</v>
      </c>
      <c r="K65" s="2894">
        <v>0.75</v>
      </c>
      <c r="L65" s="2900">
        <v>0.04</v>
      </c>
      <c r="N65" s="2957">
        <f t="shared" si="168"/>
        <v>4.3778675988638847E-2</v>
      </c>
      <c r="O65" s="2958">
        <f t="shared" si="168"/>
        <v>3.9114251466784385E-2</v>
      </c>
      <c r="P65" s="2958">
        <f t="shared" si="169"/>
        <v>2.1433929911049188E-2</v>
      </c>
      <c r="Q65" s="2958">
        <f t="shared" si="169"/>
        <v>3.7526972511492629E-4</v>
      </c>
      <c r="R65" s="2896"/>
      <c r="S65" s="2897">
        <f>B65/B66-1</f>
        <v>4.3778675988638716E-2</v>
      </c>
      <c r="T65" s="2898">
        <f>C65/C66-1</f>
        <v>3.91142514667846E-2</v>
      </c>
      <c r="U65" s="2898">
        <f>E65/E66-1</f>
        <v>2.143392991104931E-2</v>
      </c>
      <c r="V65" s="2898">
        <f>F65/F66-1</f>
        <v>3.7526972511492396E-4</v>
      </c>
      <c r="X65" s="2956"/>
      <c r="Y65" s="2956"/>
      <c r="Z65" s="2956"/>
    </row>
    <row r="66" spans="1:26" ht="13.5" thickBot="1">
      <c r="A66" s="2892" t="s">
        <v>2595</v>
      </c>
      <c r="B66" s="2921">
        <v>138</v>
      </c>
      <c r="C66" s="2921">
        <v>131</v>
      </c>
      <c r="D66" s="2921">
        <f t="shared" si="145"/>
        <v>131</v>
      </c>
      <c r="E66" s="2921">
        <v>155</v>
      </c>
      <c r="F66" s="2922">
        <v>114</v>
      </c>
      <c r="G66" s="3854">
        <v>2005</v>
      </c>
      <c r="H66" s="2916">
        <v>4</v>
      </c>
      <c r="I66" s="2916">
        <v>3.29</v>
      </c>
      <c r="J66" s="2916">
        <v>1.44</v>
      </c>
      <c r="K66" s="2916">
        <v>0.66</v>
      </c>
      <c r="L66" s="2917">
        <v>7.78</v>
      </c>
      <c r="N66" s="2954">
        <f t="shared" ref="N66:O69" si="172">I66/SUM(I$66:I$69)*(B$66/B$70-1)</f>
        <v>9.9404603216919935E-2</v>
      </c>
      <c r="O66" s="2955">
        <f t="shared" si="172"/>
        <v>4.7636550760861554E-2</v>
      </c>
      <c r="P66" s="2955">
        <f t="shared" ref="P66:Q69" si="173">K66/SUM(K$66:K$69)*(E$66/E$70-1)</f>
        <v>8.3756345177664976E-2</v>
      </c>
      <c r="Q66" s="2955">
        <f t="shared" si="173"/>
        <v>5.2148766661559584E-2</v>
      </c>
      <c r="R66" s="2896"/>
      <c r="S66" s="2905"/>
      <c r="T66" s="2906"/>
      <c r="U66" s="2906"/>
      <c r="V66" s="2906"/>
      <c r="X66" s="2956"/>
      <c r="Y66" s="2956"/>
      <c r="Z66" s="2956"/>
    </row>
    <row r="67" spans="1:26">
      <c r="A67" s="2892" t="s">
        <v>2596</v>
      </c>
      <c r="B67" s="2893">
        <f t="shared" ref="B67:C69" si="174">B68+(B$66-B$70)*I67/SUM(I$66:I$69)</f>
        <v>125.9720430107527</v>
      </c>
      <c r="C67" s="2893">
        <f t="shared" si="174"/>
        <v>125.1883408071749</v>
      </c>
      <c r="D67" s="2893">
        <f t="shared" si="145"/>
        <v>125.1883408071749</v>
      </c>
      <c r="E67" s="2893">
        <f t="shared" ref="E67:F69" si="175">E68+(E$66-E$70)*K67/SUM(K$66:K$69)</f>
        <v>144.61421319796952</v>
      </c>
      <c r="F67" s="2893">
        <f t="shared" si="175"/>
        <v>108.42008196721311</v>
      </c>
      <c r="G67" s="3852">
        <v>2005</v>
      </c>
      <c r="H67" s="2919">
        <v>3</v>
      </c>
      <c r="I67" s="2919">
        <v>0.46</v>
      </c>
      <c r="J67" s="2919">
        <v>0.32</v>
      </c>
      <c r="K67" s="2919">
        <v>0.42</v>
      </c>
      <c r="L67" s="2920">
        <v>0.64</v>
      </c>
      <c r="N67" s="2954">
        <f t="shared" si="172"/>
        <v>1.3898515951301874E-2</v>
      </c>
      <c r="O67" s="2955">
        <f t="shared" si="172"/>
        <v>1.0585900169080346E-2</v>
      </c>
      <c r="P67" s="2955">
        <f t="shared" si="173"/>
        <v>5.3299492385786795E-2</v>
      </c>
      <c r="Q67" s="2955">
        <f t="shared" si="173"/>
        <v>4.2898728359123568E-3</v>
      </c>
      <c r="R67" s="2896"/>
      <c r="S67" s="2895"/>
      <c r="T67" s="2881"/>
      <c r="U67" s="2881"/>
      <c r="V67" s="2881"/>
      <c r="X67" s="2956"/>
      <c r="Y67" s="2956"/>
      <c r="Z67" s="2956"/>
    </row>
    <row r="68" spans="1:26">
      <c r="A68" s="2892" t="s">
        <v>2597</v>
      </c>
      <c r="B68" s="2893">
        <f t="shared" si="174"/>
        <v>124.29032258064517</v>
      </c>
      <c r="C68" s="2893">
        <f t="shared" si="174"/>
        <v>123.8968609865471</v>
      </c>
      <c r="D68" s="2893">
        <f t="shared" si="145"/>
        <v>123.8968609865471</v>
      </c>
      <c r="E68" s="2893">
        <f t="shared" si="175"/>
        <v>138.00507614213197</v>
      </c>
      <c r="F68" s="2893">
        <f t="shared" si="175"/>
        <v>107.96106557377048</v>
      </c>
      <c r="G68" s="3852">
        <v>2005</v>
      </c>
      <c r="H68" s="2907">
        <v>2</v>
      </c>
      <c r="I68" s="2907">
        <v>0.47</v>
      </c>
      <c r="J68" s="2907">
        <v>0.1</v>
      </c>
      <c r="K68" s="2907">
        <v>0.52</v>
      </c>
      <c r="L68" s="2908">
        <v>0.79</v>
      </c>
      <c r="N68" s="2954">
        <f t="shared" si="172"/>
        <v>1.420065760241713E-2</v>
      </c>
      <c r="O68" s="2955">
        <f t="shared" si="172"/>
        <v>3.3080938028376083E-3</v>
      </c>
      <c r="P68" s="2955">
        <f t="shared" si="173"/>
        <v>6.598984771573603E-2</v>
      </c>
      <c r="Q68" s="2955">
        <f t="shared" si="173"/>
        <v>5.2953117818293153E-3</v>
      </c>
      <c r="R68" s="2896"/>
      <c r="S68" s="2895"/>
      <c r="T68" s="2881"/>
      <c r="U68" s="2881"/>
      <c r="V68" s="2881"/>
      <c r="X68" s="2956"/>
      <c r="Y68" s="2956"/>
      <c r="Z68" s="2956"/>
    </row>
    <row r="69" spans="1:26">
      <c r="A69" s="2892" t="s">
        <v>2598</v>
      </c>
      <c r="B69" s="2893">
        <f t="shared" si="174"/>
        <v>122.57204301075269</v>
      </c>
      <c r="C69" s="2893">
        <f t="shared" si="174"/>
        <v>123.4932735426009</v>
      </c>
      <c r="D69" s="2893">
        <f t="shared" si="145"/>
        <v>123.4932735426009</v>
      </c>
      <c r="E69" s="2893">
        <f t="shared" si="175"/>
        <v>129.82233502538071</v>
      </c>
      <c r="F69" s="2893">
        <f t="shared" si="175"/>
        <v>107.39446721311475</v>
      </c>
      <c r="G69" s="3855">
        <v>2005</v>
      </c>
      <c r="H69" s="2894">
        <v>1</v>
      </c>
      <c r="I69" s="2894">
        <v>0.43</v>
      </c>
      <c r="J69" s="2894">
        <v>0.37</v>
      </c>
      <c r="K69" s="2894">
        <v>0.37</v>
      </c>
      <c r="L69" s="2900">
        <v>0.55000000000000004</v>
      </c>
      <c r="N69" s="2957">
        <f t="shared" si="172"/>
        <v>1.2992090997956099E-2</v>
      </c>
      <c r="O69" s="2958">
        <f t="shared" si="172"/>
        <v>1.2239947070499151E-2</v>
      </c>
      <c r="P69" s="2958">
        <f t="shared" si="173"/>
        <v>4.6954314720812178E-2</v>
      </c>
      <c r="Q69" s="2958">
        <f t="shared" si="173"/>
        <v>3.6866094683621815E-3</v>
      </c>
      <c r="R69" s="2896"/>
      <c r="S69" s="2897">
        <f>B69/B70-1</f>
        <v>1.2992090997956174E-2</v>
      </c>
      <c r="T69" s="2898">
        <f>C69/C70-1</f>
        <v>1.2239947070499246E-2</v>
      </c>
      <c r="U69" s="2898">
        <f>E69/E70-1</f>
        <v>4.695431472081224E-2</v>
      </c>
      <c r="V69" s="2898">
        <f>F69/F70-1</f>
        <v>3.6866094683620787E-3</v>
      </c>
      <c r="X69" s="2956"/>
      <c r="Y69" s="2956"/>
      <c r="Z69" s="2956"/>
    </row>
    <row r="70" spans="1:26" ht="13.5" thickBot="1">
      <c r="A70" s="2892" t="s">
        <v>2599</v>
      </c>
      <c r="B70" s="2942">
        <v>121</v>
      </c>
      <c r="C70" s="2942">
        <v>122</v>
      </c>
      <c r="D70" s="2942">
        <f t="shared" si="145"/>
        <v>122</v>
      </c>
      <c r="E70" s="2942">
        <v>124</v>
      </c>
      <c r="F70" s="2943">
        <v>107</v>
      </c>
      <c r="G70" s="3854">
        <v>2004</v>
      </c>
      <c r="H70" s="2916">
        <v>4</v>
      </c>
      <c r="I70" s="2916">
        <v>0.33</v>
      </c>
      <c r="J70" s="2916">
        <v>0.5</v>
      </c>
      <c r="K70" s="2916">
        <v>0.5</v>
      </c>
      <c r="L70" s="2917">
        <v>0</v>
      </c>
      <c r="N70" s="2954">
        <f t="shared" ref="N70:O73" si="176">I70/SUM(I$70:I$73)*(B$70/B$74-1)</f>
        <v>1.3391770148526898E-2</v>
      </c>
      <c r="O70" s="2955">
        <f t="shared" si="176"/>
        <v>1.063264221158958E-2</v>
      </c>
      <c r="P70" s="2955">
        <f t="shared" ref="P70:Q73" si="177">K70/SUM(K$70:K$73)*(E$70/E$74-1)</f>
        <v>2.2244466688911134E-2</v>
      </c>
      <c r="Q70" s="2955">
        <f t="shared" si="177"/>
        <v>0</v>
      </c>
      <c r="R70" s="2896"/>
      <c r="S70" s="2905"/>
      <c r="T70" s="2906"/>
      <c r="U70" s="2906"/>
      <c r="V70" s="2906"/>
      <c r="X70" s="2956"/>
      <c r="Y70" s="2956"/>
      <c r="Z70" s="2956"/>
    </row>
    <row r="71" spans="1:26">
      <c r="A71" s="2892" t="s">
        <v>2600</v>
      </c>
      <c r="B71" s="2893">
        <f t="shared" ref="B71:C73" si="178">B72+(B$70-B$74)*I71/SUM(I$70:I$73)</f>
        <v>119.51351351351352</v>
      </c>
      <c r="C71" s="2893">
        <f t="shared" si="178"/>
        <v>120.7878787878788</v>
      </c>
      <c r="D71" s="2893">
        <f t="shared" si="145"/>
        <v>120.7878787878788</v>
      </c>
      <c r="E71" s="2893">
        <f t="shared" ref="E71:F73" si="179">E72+(E$70-E$74)*K71/SUM(K$70:K$73)</f>
        <v>121.5975975975976</v>
      </c>
      <c r="F71" s="2893">
        <f t="shared" si="179"/>
        <v>107</v>
      </c>
      <c r="G71" s="3852">
        <v>2004</v>
      </c>
      <c r="H71" s="2919">
        <v>3</v>
      </c>
      <c r="I71" s="2919">
        <v>0.56000000000000005</v>
      </c>
      <c r="J71" s="2919">
        <v>0.8</v>
      </c>
      <c r="K71" s="2919">
        <v>0.83</v>
      </c>
      <c r="L71" s="2920">
        <v>0.06</v>
      </c>
      <c r="N71" s="2954">
        <f t="shared" si="176"/>
        <v>2.2725428130833527E-2</v>
      </c>
      <c r="O71" s="2955">
        <f t="shared" si="176"/>
        <v>1.7012227538543329E-2</v>
      </c>
      <c r="P71" s="2955">
        <f t="shared" si="177"/>
        <v>3.6925814703592477E-2</v>
      </c>
      <c r="Q71" s="2955">
        <f t="shared" si="177"/>
        <v>2.8846153846153744E-2</v>
      </c>
      <c r="R71" s="2896"/>
      <c r="S71" s="2895"/>
      <c r="T71" s="2881"/>
      <c r="U71" s="2881"/>
      <c r="V71" s="2881"/>
      <c r="X71" s="2956"/>
      <c r="Y71" s="2956"/>
      <c r="Z71" s="2956"/>
    </row>
    <row r="72" spans="1:26">
      <c r="A72" s="2892" t="s">
        <v>2601</v>
      </c>
      <c r="B72" s="2893">
        <f t="shared" si="178"/>
        <v>116.99099099099099</v>
      </c>
      <c r="C72" s="2893">
        <f t="shared" si="178"/>
        <v>118.84848484848486</v>
      </c>
      <c r="D72" s="2893">
        <f t="shared" si="145"/>
        <v>118.84848484848486</v>
      </c>
      <c r="E72" s="2893">
        <f t="shared" si="179"/>
        <v>117.60960960960961</v>
      </c>
      <c r="F72" s="2893">
        <f t="shared" si="179"/>
        <v>104</v>
      </c>
      <c r="G72" s="3852">
        <v>2004</v>
      </c>
      <c r="H72" s="2907">
        <v>2</v>
      </c>
      <c r="I72" s="2907">
        <v>1</v>
      </c>
      <c r="J72" s="2907">
        <v>1.5</v>
      </c>
      <c r="K72" s="2907">
        <v>1.5</v>
      </c>
      <c r="L72" s="2908">
        <v>0</v>
      </c>
      <c r="N72" s="2954">
        <f t="shared" si="176"/>
        <v>4.0581121662202721E-2</v>
      </c>
      <c r="O72" s="2955">
        <f t="shared" si="176"/>
        <v>3.1897926634768738E-2</v>
      </c>
      <c r="P72" s="2955">
        <f t="shared" si="177"/>
        <v>6.6733400066733395E-2</v>
      </c>
      <c r="Q72" s="2955">
        <f t="shared" si="177"/>
        <v>0</v>
      </c>
      <c r="R72" s="2896"/>
      <c r="S72" s="2895"/>
      <c r="T72" s="2881"/>
      <c r="U72" s="2881"/>
      <c r="V72" s="2881"/>
      <c r="X72" s="2956"/>
      <c r="Y72" s="2956"/>
      <c r="Z72" s="2956"/>
    </row>
    <row r="73" spans="1:26" s="2948" customFormat="1" ht="13.5" thickBot="1">
      <c r="A73" s="2892" t="s">
        <v>2602</v>
      </c>
      <c r="B73" s="2945">
        <f t="shared" si="178"/>
        <v>112.48648648648648</v>
      </c>
      <c r="C73" s="2945">
        <f t="shared" si="178"/>
        <v>115.21212121212122</v>
      </c>
      <c r="D73" s="2945">
        <f t="shared" si="145"/>
        <v>115.21212121212122</v>
      </c>
      <c r="E73" s="2945">
        <f t="shared" si="179"/>
        <v>110.4024024024024</v>
      </c>
      <c r="F73" s="2945">
        <f t="shared" si="179"/>
        <v>104</v>
      </c>
      <c r="G73" s="3855">
        <v>2004</v>
      </c>
      <c r="H73" s="2946">
        <v>1</v>
      </c>
      <c r="I73" s="2946">
        <v>0.33</v>
      </c>
      <c r="J73" s="2946">
        <v>0.5</v>
      </c>
      <c r="K73" s="2946">
        <v>0.5</v>
      </c>
      <c r="L73" s="2947">
        <v>0</v>
      </c>
      <c r="N73" s="2959">
        <f t="shared" si="176"/>
        <v>1.3391770148526898E-2</v>
      </c>
      <c r="O73" s="2960">
        <f t="shared" si="176"/>
        <v>1.063264221158958E-2</v>
      </c>
      <c r="P73" s="2960">
        <f t="shared" si="177"/>
        <v>2.2244466688911134E-2</v>
      </c>
      <c r="Q73" s="2960">
        <f t="shared" si="177"/>
        <v>0</v>
      </c>
      <c r="R73" s="2951"/>
      <c r="S73" s="2949">
        <f>B73/B74-1</f>
        <v>1.3391770148526883E-2</v>
      </c>
      <c r="T73" s="2950">
        <f>C73/C74-1</f>
        <v>1.063264221158966E-2</v>
      </c>
      <c r="U73" s="2950">
        <f>E73/E74-1</f>
        <v>2.2244466688911224E-2</v>
      </c>
      <c r="V73" s="2950">
        <f>F73/F74-1</f>
        <v>0</v>
      </c>
      <c r="X73" s="2961"/>
      <c r="Y73" s="2961"/>
      <c r="Z73" s="2961"/>
    </row>
    <row r="74" spans="1:26" ht="13.5" thickBot="1">
      <c r="A74" s="2892" t="s">
        <v>2603</v>
      </c>
      <c r="B74" s="2962">
        <v>111</v>
      </c>
      <c r="C74" s="2962">
        <v>114</v>
      </c>
      <c r="D74" s="2962">
        <f t="shared" si="145"/>
        <v>114</v>
      </c>
      <c r="E74" s="2962">
        <v>108</v>
      </c>
      <c r="F74" s="2963">
        <v>104</v>
      </c>
      <c r="G74" s="3854">
        <v>2003</v>
      </c>
      <c r="H74" s="2952">
        <v>4</v>
      </c>
      <c r="I74" s="2964"/>
      <c r="J74" s="2964"/>
      <c r="K74" s="2964"/>
      <c r="L74" s="2964"/>
      <c r="N74" s="2965"/>
      <c r="O74" s="2964"/>
      <c r="P74" s="2964"/>
      <c r="Q74" s="2964"/>
      <c r="S74" s="2965"/>
      <c r="T74" s="2964"/>
      <c r="U74" s="2964"/>
      <c r="V74" s="2964"/>
      <c r="X74" s="2956"/>
      <c r="Y74" s="2956"/>
      <c r="Z74" s="2956"/>
    </row>
    <row r="75" spans="1:26">
      <c r="A75" s="2892" t="s">
        <v>2604</v>
      </c>
      <c r="B75" s="2966">
        <f t="shared" ref="B75:C77" si="180">B76+(B$74-B$78)/4</f>
        <v>109.75</v>
      </c>
      <c r="C75" s="2966">
        <f t="shared" si="180"/>
        <v>112.25</v>
      </c>
      <c r="D75" s="2966">
        <f t="shared" si="145"/>
        <v>112.25</v>
      </c>
      <c r="E75" s="2966">
        <f t="shared" ref="E75:F77" si="181">E76+(E$74-E$78)/4</f>
        <v>107.25</v>
      </c>
      <c r="F75" s="2966">
        <f t="shared" si="181"/>
        <v>103.5</v>
      </c>
      <c r="G75" s="3852">
        <v>2003</v>
      </c>
      <c r="H75" s="2919">
        <v>3</v>
      </c>
      <c r="I75" s="2964"/>
      <c r="J75" s="2964"/>
      <c r="K75" s="2964"/>
      <c r="L75" s="2964"/>
      <c r="X75" s="2956"/>
      <c r="Y75" s="2956"/>
      <c r="Z75" s="2956"/>
    </row>
    <row r="76" spans="1:26">
      <c r="A76" s="2892" t="s">
        <v>2605</v>
      </c>
      <c r="B76" s="2966">
        <f t="shared" si="180"/>
        <v>108.5</v>
      </c>
      <c r="C76" s="2966">
        <f t="shared" si="180"/>
        <v>110.5</v>
      </c>
      <c r="D76" s="2966">
        <f t="shared" si="145"/>
        <v>110.5</v>
      </c>
      <c r="E76" s="2966">
        <f t="shared" si="181"/>
        <v>106.5</v>
      </c>
      <c r="F76" s="2966">
        <f t="shared" si="181"/>
        <v>103</v>
      </c>
      <c r="G76" s="3852">
        <v>2003</v>
      </c>
      <c r="H76" s="2907">
        <v>2</v>
      </c>
      <c r="I76" s="2964"/>
      <c r="J76" s="2964"/>
      <c r="K76" s="2964"/>
      <c r="L76" s="2964"/>
      <c r="X76" s="2956"/>
      <c r="Y76" s="2956"/>
      <c r="Z76" s="2956"/>
    </row>
    <row r="77" spans="1:26" ht="13.5" thickBot="1">
      <c r="A77" s="2892" t="s">
        <v>2606</v>
      </c>
      <c r="B77" s="2966">
        <f t="shared" si="180"/>
        <v>107.25</v>
      </c>
      <c r="C77" s="2966">
        <f t="shared" si="180"/>
        <v>108.75</v>
      </c>
      <c r="D77" s="2966">
        <f t="shared" si="145"/>
        <v>108.75</v>
      </c>
      <c r="E77" s="2966">
        <f t="shared" si="181"/>
        <v>105.75</v>
      </c>
      <c r="F77" s="2966">
        <f t="shared" si="181"/>
        <v>102.5</v>
      </c>
      <c r="G77" s="3855">
        <v>2003</v>
      </c>
      <c r="H77" s="2967">
        <v>1</v>
      </c>
      <c r="I77" s="2964"/>
      <c r="J77" s="2964"/>
      <c r="K77" s="2964"/>
      <c r="L77" s="2964"/>
      <c r="S77" s="2895"/>
      <c r="T77" s="2881"/>
      <c r="U77" s="2881"/>
      <c r="X77" s="2956"/>
      <c r="Y77" s="2956"/>
      <c r="Z77" s="2956"/>
    </row>
    <row r="78" spans="1:26" ht="13.5" thickBot="1">
      <c r="A78" s="2892" t="s">
        <v>2607</v>
      </c>
      <c r="B78" s="2968">
        <v>106</v>
      </c>
      <c r="C78" s="2968">
        <v>107</v>
      </c>
      <c r="D78" s="2968">
        <f t="shared" si="145"/>
        <v>107</v>
      </c>
      <c r="E78" s="2968">
        <v>105</v>
      </c>
      <c r="F78" s="2969">
        <v>102</v>
      </c>
      <c r="G78" s="3854">
        <v>2002</v>
      </c>
      <c r="H78" s="2916">
        <v>4</v>
      </c>
      <c r="I78" s="2964"/>
      <c r="J78" s="2964"/>
      <c r="K78" s="2964"/>
      <c r="L78" s="2964"/>
      <c r="N78" s="2965"/>
      <c r="O78" s="2964"/>
      <c r="P78" s="2964"/>
      <c r="Q78" s="2964"/>
      <c r="S78" s="2965"/>
      <c r="T78" s="2964"/>
      <c r="U78" s="2964"/>
      <c r="V78" s="2964"/>
      <c r="X78" s="2956"/>
      <c r="Y78" s="2956"/>
      <c r="Z78" s="2956"/>
    </row>
    <row r="79" spans="1:26">
      <c r="A79" s="2892" t="s">
        <v>2608</v>
      </c>
      <c r="B79" s="2966">
        <f t="shared" ref="B79:C81" si="182">B80+(B$78-B$82)/4</f>
        <v>105</v>
      </c>
      <c r="C79" s="2966">
        <f t="shared" si="182"/>
        <v>106</v>
      </c>
      <c r="D79" s="2966">
        <f t="shared" si="145"/>
        <v>106</v>
      </c>
      <c r="E79" s="2966">
        <f t="shared" ref="E79:F81" si="183">E80+(E$78-E$82)/4</f>
        <v>104.5</v>
      </c>
      <c r="F79" s="2966">
        <f t="shared" si="183"/>
        <v>101.5</v>
      </c>
      <c r="G79" s="3852">
        <v>2002</v>
      </c>
      <c r="H79" s="2919">
        <v>3</v>
      </c>
      <c r="I79" s="2964"/>
      <c r="J79" s="2964"/>
      <c r="K79" s="2964"/>
      <c r="L79" s="2964"/>
      <c r="X79" s="2956"/>
      <c r="Y79" s="2956"/>
      <c r="Z79" s="2956"/>
    </row>
    <row r="80" spans="1:26">
      <c r="A80" s="2892" t="s">
        <v>2609</v>
      </c>
      <c r="B80" s="2966">
        <f t="shared" si="182"/>
        <v>104</v>
      </c>
      <c r="C80" s="2966">
        <f t="shared" si="182"/>
        <v>105</v>
      </c>
      <c r="D80" s="2966">
        <f t="shared" si="145"/>
        <v>105</v>
      </c>
      <c r="E80" s="2966">
        <f t="shared" si="183"/>
        <v>104</v>
      </c>
      <c r="F80" s="2966">
        <f t="shared" si="183"/>
        <v>101</v>
      </c>
      <c r="G80" s="3852">
        <v>2002</v>
      </c>
      <c r="H80" s="2907">
        <v>2</v>
      </c>
      <c r="I80" s="2964"/>
      <c r="J80" s="2964"/>
      <c r="K80" s="2964"/>
      <c r="L80" s="2964"/>
      <c r="X80" s="2956"/>
      <c r="Y80" s="2956"/>
      <c r="Z80" s="2956"/>
    </row>
    <row r="81" spans="1:26" s="2929" customFormat="1" ht="13.5" thickBot="1">
      <c r="A81" s="2925" t="s">
        <v>2610</v>
      </c>
      <c r="B81" s="2932">
        <f t="shared" si="182"/>
        <v>103</v>
      </c>
      <c r="C81" s="2932">
        <f t="shared" si="182"/>
        <v>104</v>
      </c>
      <c r="D81" s="2932">
        <f t="shared" si="145"/>
        <v>104</v>
      </c>
      <c r="E81" s="2932">
        <f t="shared" si="183"/>
        <v>103.5</v>
      </c>
      <c r="F81" s="2932">
        <f t="shared" si="183"/>
        <v>100.5</v>
      </c>
      <c r="G81" s="3855">
        <v>2002</v>
      </c>
      <c r="H81" s="2970">
        <v>1</v>
      </c>
      <c r="I81" s="2971"/>
      <c r="J81" s="2971"/>
      <c r="K81" s="2971"/>
      <c r="L81" s="2971"/>
      <c r="N81" s="2972"/>
      <c r="S81" s="2972"/>
      <c r="X81" s="2973"/>
      <c r="Y81" s="2973"/>
      <c r="Z81" s="2973"/>
    </row>
    <row r="82" spans="1:26" ht="13.5" thickBot="1">
      <c r="B82" s="2974">
        <v>102</v>
      </c>
      <c r="C82" s="2975">
        <v>103</v>
      </c>
      <c r="D82" s="2975">
        <f t="shared" si="145"/>
        <v>103</v>
      </c>
      <c r="E82" s="2975">
        <v>103</v>
      </c>
      <c r="F82" s="2976">
        <v>100</v>
      </c>
      <c r="I82" s="2964"/>
      <c r="J82" s="2964"/>
      <c r="K82" s="2964"/>
      <c r="L82" s="2964"/>
      <c r="N82" s="2965"/>
      <c r="O82" s="2964"/>
      <c r="P82" s="2964"/>
      <c r="Q82" s="2964"/>
      <c r="S82" s="2965"/>
      <c r="T82" s="2964"/>
      <c r="U82" s="2964"/>
      <c r="V82" s="2964"/>
      <c r="X82" s="2906"/>
      <c r="Y82" s="2906"/>
      <c r="Z82" s="2906"/>
    </row>
    <row r="84" spans="1:26" s="2978" customFormat="1">
      <c r="A84" s="2977" t="s">
        <v>2611</v>
      </c>
      <c r="G84" s="2979"/>
      <c r="N84" s="2979"/>
      <c r="S84" s="2979"/>
    </row>
    <row r="85" spans="1:26" s="2978" customFormat="1">
      <c r="A85" s="2978" t="s">
        <v>2612</v>
      </c>
      <c r="G85" s="2979"/>
      <c r="N85" s="2979"/>
      <c r="S85" s="2979"/>
    </row>
    <row r="86" spans="1:26" s="2978" customFormat="1">
      <c r="A86" s="2978" t="s">
        <v>2613</v>
      </c>
      <c r="G86" s="2979"/>
      <c r="I86" s="2980"/>
      <c r="J86" s="2980"/>
      <c r="K86" s="2980"/>
      <c r="L86" s="2980"/>
      <c r="N86" s="2981"/>
      <c r="O86" s="2980"/>
      <c r="P86" s="2980"/>
      <c r="Q86" s="2980"/>
      <c r="S86" s="2981"/>
      <c r="T86" s="2980"/>
      <c r="U86" s="2980"/>
      <c r="V86" s="2980"/>
    </row>
    <row r="87" spans="1:26" s="2978" customFormat="1">
      <c r="A87" s="2978" t="s">
        <v>2614</v>
      </c>
      <c r="G87" s="2979"/>
      <c r="N87" s="2979"/>
      <c r="S87" s="2979"/>
    </row>
    <row r="94" spans="1:26" ht="13.5" thickBot="1"/>
    <row r="95" spans="1:26">
      <c r="G95" s="2880"/>
      <c r="S95" s="2982" t="s">
        <v>2615</v>
      </c>
      <c r="T95" s="2983" t="s">
        <v>2616</v>
      </c>
      <c r="U95" s="2983" t="s">
        <v>2617</v>
      </c>
      <c r="V95" s="2983" t="s">
        <v>2618</v>
      </c>
    </row>
    <row r="96" spans="1:26">
      <c r="G96" s="2880"/>
      <c r="N96" s="2905"/>
      <c r="O96" s="2906"/>
      <c r="P96" s="2906"/>
      <c r="Q96" s="2906"/>
      <c r="S96" s="2984">
        <v>2006</v>
      </c>
      <c r="T96" s="2985">
        <v>15.1</v>
      </c>
      <c r="U96" s="2985">
        <v>7.43</v>
      </c>
      <c r="V96" s="2985">
        <v>26.26</v>
      </c>
    </row>
    <row r="97" spans="7:22">
      <c r="G97" s="2880"/>
      <c r="N97" s="2905"/>
      <c r="O97" s="2906"/>
      <c r="P97" s="2906"/>
      <c r="Q97" s="2906"/>
      <c r="S97" s="2986">
        <v>2005</v>
      </c>
      <c r="T97" s="2987">
        <v>13.9</v>
      </c>
      <c r="U97" s="2987">
        <v>7.49</v>
      </c>
      <c r="V97" s="2987">
        <v>24.92</v>
      </c>
    </row>
    <row r="98" spans="7:22">
      <c r="G98" s="2880"/>
      <c r="N98" s="2905"/>
      <c r="O98" s="2906"/>
      <c r="P98" s="2906"/>
      <c r="Q98" s="2906"/>
      <c r="S98" s="2984">
        <v>2004</v>
      </c>
      <c r="T98" s="2985">
        <v>9.48</v>
      </c>
      <c r="U98" s="2985">
        <v>7.2</v>
      </c>
      <c r="V98" s="2985">
        <v>14.68</v>
      </c>
    </row>
    <row r="99" spans="7:22">
      <c r="G99" s="2880"/>
      <c r="N99" s="2905"/>
      <c r="O99" s="2906"/>
      <c r="P99" s="2906"/>
      <c r="Q99" s="2906"/>
      <c r="S99" s="2986">
        <v>2003</v>
      </c>
      <c r="T99" s="2987">
        <v>4.5</v>
      </c>
      <c r="U99" s="2987">
        <v>6.12</v>
      </c>
      <c r="V99" s="2987">
        <v>2.34</v>
      </c>
    </row>
    <row r="100" spans="7:22" ht="13.5" thickBot="1">
      <c r="G100" s="2880"/>
      <c r="N100" s="2905"/>
      <c r="O100" s="2906"/>
      <c r="P100" s="2906"/>
      <c r="Q100" s="2906"/>
      <c r="S100" s="2988">
        <v>2002</v>
      </c>
      <c r="T100" s="2989">
        <v>3.59</v>
      </c>
      <c r="U100" s="2989">
        <v>4.54</v>
      </c>
      <c r="V100" s="2989">
        <v>2.5499999999999998</v>
      </c>
    </row>
    <row r="101" spans="7:22">
      <c r="G101" s="2880"/>
      <c r="N101" s="2905"/>
      <c r="O101" s="2906"/>
      <c r="P101" s="2906"/>
      <c r="Q101" s="2906"/>
    </row>
    <row r="102" spans="7:22">
      <c r="G102" s="2880"/>
      <c r="N102" s="2905"/>
      <c r="O102" s="2906"/>
      <c r="P102" s="2906"/>
      <c r="Q102" s="2906"/>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row>
    <row r="110" spans="7:22">
      <c r="G110" s="2880"/>
      <c r="N110" s="2905"/>
      <c r="O110" s="2906"/>
      <c r="P110" s="2906"/>
      <c r="Q110" s="2906"/>
    </row>
    <row r="111" spans="7:22">
      <c r="G111" s="2880"/>
      <c r="N111" s="2905"/>
      <c r="O111" s="2906"/>
      <c r="P111" s="2906"/>
      <c r="Q111" s="2906"/>
      <c r="S111" s="2880"/>
    </row>
    <row r="112" spans="7:22">
      <c r="G112" s="2880"/>
      <c r="N112" s="2905"/>
      <c r="O112" s="2906"/>
      <c r="P112" s="2906"/>
      <c r="Q112" s="2906"/>
      <c r="S112" s="2880"/>
    </row>
    <row r="113" spans="7:19">
      <c r="G113" s="2880"/>
      <c r="N113" s="2905"/>
      <c r="O113" s="2906"/>
      <c r="P113" s="2906"/>
      <c r="Q113" s="2906"/>
      <c r="S113" s="2880"/>
    </row>
    <row r="114" spans="7:19">
      <c r="G114" s="2880"/>
      <c r="N114" s="2905"/>
      <c r="O114" s="2906"/>
      <c r="P114" s="2906"/>
      <c r="Q114" s="2906"/>
      <c r="S114" s="2880"/>
    </row>
    <row r="115" spans="7:19">
      <c r="G115" s="2880"/>
      <c r="N115" s="2905"/>
      <c r="O115" s="2906"/>
      <c r="P115" s="2906"/>
      <c r="Q115" s="2906"/>
      <c r="S115" s="2880"/>
    </row>
    <row r="116" spans="7:19">
      <c r="G116" s="2880"/>
      <c r="N116" s="2905"/>
      <c r="O116" s="2906"/>
      <c r="P116" s="2906"/>
      <c r="Q116" s="2906"/>
      <c r="S116" s="2880"/>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51.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3241" customWidth="1"/>
    <col min="2" max="2" width="12.5" style="3241" customWidth="1"/>
    <col min="3" max="3" width="12.125" style="3241" customWidth="1"/>
    <col min="4" max="4" width="16.625" style="3241" customWidth="1"/>
    <col min="5" max="5" width="12.5" style="3241" customWidth="1"/>
    <col min="6" max="6" width="12.875" style="3241" customWidth="1"/>
    <col min="7" max="16384" width="8.875" style="3241"/>
  </cols>
  <sheetData>
    <row r="1" spans="1:14" ht="20.25">
      <c r="A1" s="3244" t="s">
        <v>2912</v>
      </c>
      <c r="B1" s="3239"/>
      <c r="C1" s="3239"/>
      <c r="D1" s="3239"/>
      <c r="E1" s="3239"/>
      <c r="F1" s="3239"/>
      <c r="G1" s="3240"/>
      <c r="H1" s="3240"/>
      <c r="I1" s="3240"/>
      <c r="J1" s="3240"/>
      <c r="K1" s="3240"/>
      <c r="L1" s="3240"/>
      <c r="M1" s="3240"/>
      <c r="N1" s="3240"/>
    </row>
    <row r="2" spans="1:14" ht="14.25">
      <c r="A2" s="3245" t="s">
        <v>2907</v>
      </c>
      <c r="B2" s="3250">
        <f ca="1">SUMIF(B7:B14,"&lt;&gt;#ref!",B7:B14)</f>
        <v>0</v>
      </c>
      <c r="C2" s="3245" t="s">
        <v>2908</v>
      </c>
      <c r="D2" s="3242"/>
      <c r="E2" s="3242"/>
      <c r="F2" s="3242"/>
      <c r="G2" s="3240"/>
      <c r="H2" s="3240"/>
      <c r="I2" s="3240"/>
      <c r="J2" s="3240"/>
      <c r="K2" s="3240"/>
      <c r="L2" s="3240"/>
      <c r="M2" s="3240"/>
      <c r="N2" s="3240"/>
    </row>
    <row r="3" spans="1:14" ht="14.25">
      <c r="A3" s="3245" t="s">
        <v>2937</v>
      </c>
      <c r="B3" s="3250" t="e">
        <f ca="1">ROUND(B2*10000/E3,0)</f>
        <v>#DIV/0!</v>
      </c>
      <c r="C3" s="3245" t="s">
        <v>2066</v>
      </c>
      <c r="D3" s="3245" t="s">
        <v>2909</v>
      </c>
      <c r="E3" s="3243">
        <f ca="1">SUMIF(E7:E14,"&lt;&gt;#ref!",E7:E14)</f>
        <v>0</v>
      </c>
      <c r="F3" s="3242"/>
      <c r="G3" s="3240"/>
      <c r="H3" s="3240"/>
      <c r="I3" s="3240"/>
      <c r="J3" s="3240"/>
      <c r="K3" s="3240"/>
      <c r="L3" s="3240"/>
      <c r="M3" s="3240"/>
      <c r="N3" s="3240"/>
    </row>
    <row r="4" spans="1:14" ht="14.25">
      <c r="A4" s="3245" t="s">
        <v>2915</v>
      </c>
      <c r="B4" s="3250" t="e">
        <f ca="1">ROUND(B2*10000/E4,0)</f>
        <v>#DIV/0!</v>
      </c>
      <c r="C4" s="3245" t="s">
        <v>2066</v>
      </c>
      <c r="D4" s="3245" t="s">
        <v>2916</v>
      </c>
      <c r="E4" s="3243">
        <f ca="1">SUMIF(F7:F14,"&lt;&gt;#ref!",F7:F14)</f>
        <v>0</v>
      </c>
      <c r="F4" s="3242"/>
      <c r="G4" s="3240"/>
      <c r="H4" s="3240"/>
      <c r="I4" s="3240"/>
      <c r="J4" s="3240"/>
      <c r="K4" s="3240"/>
      <c r="L4" s="3240"/>
      <c r="M4" s="3240"/>
      <c r="N4" s="3240"/>
    </row>
    <row r="5" spans="1:14" ht="14.25">
      <c r="A5" s="3246"/>
      <c r="B5" s="3242"/>
      <c r="C5" s="3242"/>
      <c r="D5" s="3242"/>
      <c r="E5" s="3242"/>
      <c r="F5" s="3242"/>
      <c r="G5" s="3240"/>
      <c r="H5" s="3240"/>
      <c r="I5" s="3240"/>
      <c r="J5" s="3240"/>
      <c r="K5" s="3240"/>
      <c r="L5" s="3240"/>
      <c r="M5" s="3240"/>
      <c r="N5" s="3240"/>
    </row>
    <row r="6" spans="1:14" ht="28.5">
      <c r="A6" s="3247" t="s">
        <v>2913</v>
      </c>
      <c r="B6" s="3245" t="s">
        <v>2910</v>
      </c>
      <c r="C6" s="2784"/>
      <c r="D6" s="3242"/>
      <c r="E6" s="3245" t="s">
        <v>2911</v>
      </c>
      <c r="F6" s="3245" t="s">
        <v>2914</v>
      </c>
      <c r="G6" s="3240"/>
      <c r="H6" s="3240"/>
      <c r="I6" s="3240"/>
      <c r="J6" s="3240"/>
      <c r="K6" s="3240"/>
      <c r="L6" s="3240"/>
      <c r="M6" s="3240"/>
      <c r="N6" s="3240"/>
    </row>
    <row r="7" spans="1:14" ht="14.25">
      <c r="A7" s="3248"/>
      <c r="B7" s="3250" t="e">
        <f ca="1">SUMIF(INDIRECT("'"&amp;A7&amp;"'"&amp;"!A:A"),"总价",INDIRECT("'"&amp;A7&amp;"'"&amp;"!B:B"))</f>
        <v>#REF!</v>
      </c>
      <c r="C7" s="3245" t="s">
        <v>2908</v>
      </c>
      <c r="D7" s="3242"/>
      <c r="E7" s="3243" t="e">
        <f ca="1">SUMIF(INDIRECT("'"&amp;A7&amp;"'"&amp;"!C:C"),"建筑面积",INDIRECT("'"&amp;A7&amp;"'"&amp;"!D:D"))</f>
        <v>#REF!</v>
      </c>
      <c r="F7" s="3243" t="e">
        <f ca="1">SUMIF(INDIRECT("'"&amp;A7&amp;"'"&amp;"!E:E"),"土地面积",INDIRECT("'"&amp;A7&amp;"'"&amp;"!F:F"))</f>
        <v>#REF!</v>
      </c>
      <c r="G7" s="3240"/>
      <c r="H7" s="3240"/>
      <c r="I7" s="3240"/>
      <c r="J7" s="3240"/>
      <c r="K7" s="3240"/>
      <c r="L7" s="3240"/>
      <c r="M7" s="3240"/>
      <c r="N7" s="3240"/>
    </row>
    <row r="8" spans="1:14" ht="14.25">
      <c r="A8" s="3248"/>
      <c r="B8" s="3250" t="e">
        <f t="shared" ref="B8:B14" ca="1" si="0">SUMIF(INDIRECT("'"&amp;A8&amp;"'"&amp;"!A:A"),"总价",INDIRECT("'"&amp;A8&amp;"'"&amp;"!B:B"))</f>
        <v>#REF!</v>
      </c>
      <c r="C8" s="3245" t="s">
        <v>2908</v>
      </c>
      <c r="D8" s="3242"/>
      <c r="E8" s="3243" t="e">
        <f t="shared" ref="E8:E14" ca="1" si="1">SUMIF(INDIRECT("'"&amp;A8&amp;"'"&amp;"!C:C"),"建筑面积",INDIRECT("'"&amp;A8&amp;"'"&amp;"!D:D"))</f>
        <v>#REF!</v>
      </c>
      <c r="F8" s="3243" t="e">
        <f t="shared" ref="F8:F14" ca="1" si="2">SUMIF(INDIRECT("'"&amp;A8&amp;"'"&amp;"!E:E"),"土地面积",INDIRECT("'"&amp;A8&amp;"'"&amp;"!F:F"))</f>
        <v>#REF!</v>
      </c>
      <c r="G8" s="3240"/>
      <c r="H8" s="3240"/>
      <c r="I8" s="3240"/>
      <c r="J8" s="3240"/>
      <c r="K8" s="3240"/>
      <c r="L8" s="3240"/>
      <c r="M8" s="3240"/>
      <c r="N8" s="3240"/>
    </row>
    <row r="9" spans="1:14" ht="14.25">
      <c r="A9" s="3248"/>
      <c r="B9" s="3250" t="e">
        <f t="shared" ca="1" si="0"/>
        <v>#REF!</v>
      </c>
      <c r="C9" s="3245" t="s">
        <v>2908</v>
      </c>
      <c r="D9" s="3242"/>
      <c r="E9" s="3243" t="e">
        <f t="shared" ca="1" si="1"/>
        <v>#REF!</v>
      </c>
      <c r="F9" s="3243" t="e">
        <f t="shared" ca="1" si="2"/>
        <v>#REF!</v>
      </c>
      <c r="G9" s="3240"/>
      <c r="H9" s="3240"/>
      <c r="I9" s="3240"/>
      <c r="J9" s="3240"/>
      <c r="K9" s="3240"/>
      <c r="L9" s="3240"/>
      <c r="M9" s="3240"/>
      <c r="N9" s="3240"/>
    </row>
    <row r="10" spans="1:14" ht="14.25">
      <c r="A10" s="3248"/>
      <c r="B10" s="3250" t="e">
        <f t="shared" ca="1" si="0"/>
        <v>#REF!</v>
      </c>
      <c r="C10" s="3245" t="s">
        <v>2908</v>
      </c>
      <c r="D10" s="3242"/>
      <c r="E10" s="3243" t="e">
        <f t="shared" ca="1" si="1"/>
        <v>#REF!</v>
      </c>
      <c r="F10" s="3243" t="e">
        <f t="shared" ca="1" si="2"/>
        <v>#REF!</v>
      </c>
      <c r="G10" s="3240"/>
      <c r="H10" s="3240"/>
      <c r="I10" s="3240"/>
      <c r="J10" s="3240"/>
      <c r="K10" s="3240"/>
      <c r="L10" s="3240"/>
      <c r="M10" s="3240"/>
      <c r="N10" s="3240"/>
    </row>
    <row r="11" spans="1:14" ht="14.25">
      <c r="A11" s="3248"/>
      <c r="B11" s="3250" t="e">
        <f t="shared" ca="1" si="0"/>
        <v>#REF!</v>
      </c>
      <c r="C11" s="3245" t="s">
        <v>2908</v>
      </c>
      <c r="D11" s="3242"/>
      <c r="E11" s="3243" t="e">
        <f t="shared" ca="1" si="1"/>
        <v>#REF!</v>
      </c>
      <c r="F11" s="3243" t="e">
        <f t="shared" ca="1" si="2"/>
        <v>#REF!</v>
      </c>
      <c r="G11" s="3240"/>
      <c r="H11" s="3240"/>
      <c r="I11" s="3240"/>
      <c r="J11" s="3240"/>
      <c r="K11" s="3240"/>
      <c r="L11" s="3240"/>
      <c r="M11" s="3240"/>
      <c r="N11" s="3240"/>
    </row>
    <row r="12" spans="1:14" ht="14.25">
      <c r="A12" s="3248"/>
      <c r="B12" s="3250" t="e">
        <f t="shared" ca="1" si="0"/>
        <v>#REF!</v>
      </c>
      <c r="C12" s="3245" t="s">
        <v>2908</v>
      </c>
      <c r="D12" s="3242"/>
      <c r="E12" s="3243" t="e">
        <f t="shared" ca="1" si="1"/>
        <v>#REF!</v>
      </c>
      <c r="F12" s="3243" t="e">
        <f t="shared" ca="1" si="2"/>
        <v>#REF!</v>
      </c>
      <c r="G12" s="3240"/>
      <c r="H12" s="3240"/>
      <c r="I12" s="3240"/>
      <c r="J12" s="3240"/>
      <c r="K12" s="3240"/>
      <c r="L12" s="3240"/>
      <c r="M12" s="3240"/>
      <c r="N12" s="3240"/>
    </row>
    <row r="13" spans="1:14" ht="14.25">
      <c r="A13" s="3248"/>
      <c r="B13" s="3250" t="e">
        <f t="shared" ca="1" si="0"/>
        <v>#REF!</v>
      </c>
      <c r="C13" s="3245" t="s">
        <v>2908</v>
      </c>
      <c r="D13" s="3242"/>
      <c r="E13" s="3243" t="e">
        <f t="shared" ca="1" si="1"/>
        <v>#REF!</v>
      </c>
      <c r="F13" s="3243" t="e">
        <f t="shared" ca="1" si="2"/>
        <v>#REF!</v>
      </c>
      <c r="G13" s="3240"/>
      <c r="H13" s="3240"/>
      <c r="I13" s="3240"/>
      <c r="J13" s="3240"/>
      <c r="K13" s="3240"/>
      <c r="L13" s="3240"/>
      <c r="M13" s="3240"/>
      <c r="N13" s="3240"/>
    </row>
    <row r="14" spans="1:14" ht="14.25">
      <c r="A14" s="3249"/>
      <c r="B14" s="3250" t="e">
        <f t="shared" ca="1" si="0"/>
        <v>#REF!</v>
      </c>
      <c r="C14" s="3245" t="s">
        <v>2908</v>
      </c>
      <c r="D14" s="3242"/>
      <c r="E14" s="3243" t="e">
        <f t="shared" ca="1" si="1"/>
        <v>#REF!</v>
      </c>
      <c r="F14" s="3243" t="e">
        <f t="shared" ca="1" si="2"/>
        <v>#REF!</v>
      </c>
      <c r="G14" s="3240"/>
      <c r="H14" s="3240"/>
      <c r="I14" s="3240"/>
      <c r="J14" s="3240"/>
      <c r="K14" s="3240"/>
      <c r="L14" s="3240"/>
      <c r="M14" s="3240"/>
      <c r="N14" s="3240"/>
    </row>
    <row r="15" spans="1:14">
      <c r="A15" s="3240"/>
      <c r="B15" s="3240"/>
      <c r="C15" s="3240"/>
      <c r="D15" s="3240"/>
      <c r="E15" s="3240"/>
      <c r="F15" s="3240"/>
      <c r="G15" s="3240"/>
      <c r="H15" s="3240"/>
      <c r="I15" s="3240"/>
      <c r="J15" s="3240"/>
      <c r="K15" s="3240"/>
      <c r="L15" s="3240"/>
      <c r="M15" s="3240"/>
      <c r="N15" s="3240"/>
    </row>
    <row r="16" spans="1:14">
      <c r="A16" s="3240"/>
      <c r="B16" s="3240"/>
      <c r="C16" s="3240"/>
      <c r="D16" s="3240"/>
      <c r="E16" s="3240"/>
      <c r="F16" s="3240"/>
      <c r="G16" s="3240"/>
      <c r="H16" s="3240"/>
      <c r="I16" s="3240"/>
      <c r="J16" s="3240"/>
      <c r="K16" s="3240"/>
      <c r="L16" s="3240"/>
      <c r="M16" s="3240"/>
      <c r="N16" s="3240"/>
    </row>
    <row r="17" spans="1:14">
      <c r="A17" s="3240"/>
      <c r="B17" s="3240"/>
      <c r="C17" s="3240"/>
      <c r="D17" s="3240"/>
      <c r="E17" s="3240"/>
      <c r="F17" s="3240"/>
      <c r="G17" s="3240"/>
      <c r="H17" s="3240"/>
      <c r="I17" s="3240"/>
      <c r="J17" s="3240"/>
      <c r="K17" s="3240"/>
      <c r="L17" s="3240"/>
      <c r="M17" s="3240"/>
      <c r="N17" s="3240"/>
    </row>
    <row r="18" spans="1:14">
      <c r="A18" s="3240"/>
      <c r="B18" s="3240"/>
      <c r="C18" s="3240"/>
      <c r="D18" s="3240"/>
      <c r="E18" s="3240"/>
      <c r="F18" s="3240"/>
      <c r="G18" s="3240"/>
      <c r="H18" s="3240"/>
      <c r="I18" s="3240"/>
      <c r="J18" s="3240"/>
      <c r="K18" s="3240"/>
      <c r="L18" s="3240"/>
      <c r="M18" s="3240"/>
      <c r="N18" s="3240"/>
    </row>
    <row r="19" spans="1:14">
      <c r="A19" s="3240"/>
      <c r="B19" s="3240"/>
      <c r="C19" s="3240"/>
      <c r="D19" s="3240"/>
      <c r="E19" s="3240"/>
      <c r="F19" s="3240"/>
      <c r="G19" s="3240"/>
      <c r="H19" s="3240"/>
      <c r="I19" s="3240"/>
      <c r="J19" s="3240"/>
      <c r="K19" s="3240"/>
      <c r="L19" s="3240"/>
      <c r="M19" s="3240"/>
      <c r="N19" s="3240"/>
    </row>
    <row r="20" spans="1:14">
      <c r="A20" s="3240"/>
      <c r="B20" s="3240"/>
      <c r="C20" s="3240"/>
      <c r="D20" s="3240"/>
      <c r="E20" s="3240"/>
      <c r="F20" s="3240"/>
      <c r="G20" s="3240"/>
      <c r="H20" s="3240"/>
      <c r="I20" s="3240"/>
      <c r="J20" s="3240"/>
      <c r="K20" s="3240"/>
      <c r="L20" s="3240"/>
      <c r="M20" s="3240"/>
      <c r="N20" s="3240"/>
    </row>
    <row r="21" spans="1:14">
      <c r="A21" s="3240"/>
      <c r="B21" s="3240"/>
      <c r="C21" s="3240"/>
      <c r="D21" s="3240"/>
      <c r="E21" s="3240"/>
      <c r="F21" s="3240"/>
      <c r="G21" s="3240"/>
      <c r="H21" s="3240"/>
      <c r="I21" s="3240"/>
      <c r="J21" s="3240"/>
      <c r="K21" s="3240"/>
      <c r="L21" s="3240"/>
      <c r="M21" s="3240"/>
      <c r="N21" s="3240"/>
    </row>
    <row r="22" spans="1:14">
      <c r="A22" s="3240"/>
      <c r="B22" s="3240"/>
      <c r="C22" s="3240"/>
      <c r="D22" s="3240"/>
      <c r="E22" s="3240"/>
      <c r="F22" s="3240"/>
      <c r="G22" s="3240"/>
      <c r="H22" s="3240"/>
      <c r="I22" s="3240"/>
      <c r="J22" s="3240"/>
      <c r="K22" s="3240"/>
      <c r="L22" s="3240"/>
      <c r="M22" s="3240"/>
      <c r="N22" s="3240"/>
    </row>
    <row r="23" spans="1:14">
      <c r="A23" s="3240"/>
      <c r="B23" s="3240"/>
      <c r="C23" s="3240"/>
      <c r="D23" s="3240"/>
      <c r="E23" s="3240"/>
      <c r="F23" s="3240"/>
      <c r="G23" s="3240"/>
      <c r="H23" s="3240"/>
      <c r="I23" s="3240"/>
      <c r="J23" s="3240"/>
      <c r="K23" s="3240"/>
      <c r="L23" s="3240"/>
      <c r="M23" s="3240"/>
      <c r="N23" s="3240"/>
    </row>
    <row r="24" spans="1:14">
      <c r="A24" s="3240"/>
      <c r="B24" s="3240"/>
      <c r="C24" s="3240"/>
      <c r="D24" s="3240"/>
      <c r="E24" s="3240"/>
      <c r="F24" s="3240"/>
      <c r="G24" s="3240"/>
      <c r="H24" s="3240"/>
      <c r="I24" s="3240"/>
      <c r="J24" s="3240"/>
      <c r="K24" s="3240"/>
      <c r="L24" s="3240"/>
      <c r="M24" s="3240"/>
      <c r="N24" s="3240"/>
    </row>
    <row r="25" spans="1:14">
      <c r="A25" s="3240"/>
      <c r="B25" s="3240"/>
      <c r="C25" s="3240"/>
      <c r="D25" s="3240"/>
      <c r="E25" s="3240"/>
      <c r="F25" s="3240"/>
      <c r="G25" s="3240"/>
      <c r="H25" s="3240"/>
      <c r="I25" s="3240"/>
      <c r="J25" s="3240"/>
      <c r="K25" s="3240"/>
      <c r="L25" s="3240"/>
      <c r="M25" s="3240"/>
      <c r="N25" s="3240"/>
    </row>
    <row r="26" spans="1:14">
      <c r="A26" s="3240"/>
      <c r="B26" s="3240"/>
      <c r="C26" s="3240"/>
      <c r="D26" s="3240"/>
      <c r="E26" s="3240"/>
      <c r="F26" s="3240"/>
      <c r="G26" s="3240"/>
      <c r="H26" s="3240"/>
      <c r="I26" s="3240"/>
      <c r="J26" s="3240"/>
      <c r="K26" s="3240"/>
      <c r="L26" s="3240"/>
      <c r="M26" s="3240"/>
      <c r="N26" s="3240"/>
    </row>
    <row r="27" spans="1:14">
      <c r="A27" s="3240"/>
      <c r="B27" s="3240"/>
      <c r="C27" s="3240"/>
      <c r="D27" s="3240"/>
      <c r="E27" s="3240"/>
      <c r="F27" s="3240"/>
      <c r="G27" s="3240"/>
      <c r="H27" s="3240"/>
      <c r="I27" s="3240"/>
      <c r="J27" s="3240"/>
      <c r="K27" s="3240"/>
      <c r="L27" s="3240"/>
      <c r="M27" s="3240"/>
      <c r="N27" s="3240"/>
    </row>
    <row r="28" spans="1:14">
      <c r="A28" s="3240"/>
      <c r="B28" s="3240"/>
      <c r="C28" s="3240"/>
      <c r="D28" s="3240"/>
      <c r="E28" s="3240"/>
      <c r="F28" s="3240"/>
      <c r="G28" s="3240"/>
      <c r="H28" s="3240"/>
      <c r="I28" s="3240"/>
      <c r="J28" s="3240"/>
      <c r="K28" s="3240"/>
      <c r="L28" s="3240"/>
      <c r="M28" s="3240"/>
      <c r="N28" s="3240"/>
    </row>
    <row r="29" spans="1:14">
      <c r="A29" s="3240"/>
      <c r="B29" s="3240"/>
      <c r="C29" s="3240"/>
      <c r="D29" s="3240"/>
      <c r="E29" s="3240"/>
      <c r="F29" s="3240"/>
      <c r="G29" s="3240"/>
      <c r="H29" s="3240"/>
      <c r="I29" s="3240"/>
      <c r="J29" s="3240"/>
      <c r="K29" s="3240"/>
      <c r="L29" s="3240"/>
      <c r="M29" s="3240"/>
      <c r="N29" s="3240"/>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zoomScaleNormal="60" zoomScaleSheetLayoutView="100" workbookViewId="0">
      <selection activeCell="K37" sqref="K3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875" style="1939" customWidth="1"/>
    <col min="6" max="6" width="10.625" style="1939" customWidth="1"/>
    <col min="7" max="7" width="4.875" style="1939" customWidth="1"/>
    <col min="8" max="8" width="8.5" style="1939" customWidth="1"/>
    <col min="9" max="9" width="21.125" style="1939" customWidth="1"/>
    <col min="10" max="10" width="12.1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125" style="1938" customWidth="1"/>
    <col min="17" max="17" width="13.875" style="1938" customWidth="1"/>
    <col min="18" max="18" width="22.125" style="1938" customWidth="1"/>
    <col min="19" max="19" width="1.5" style="1938" customWidth="1"/>
    <col min="20" max="25" width="9" style="1938"/>
    <col min="26" max="16384" width="9" style="1939"/>
  </cols>
  <sheetData>
    <row r="1" spans="1:25" s="1933" customFormat="1" ht="21">
      <c r="A1" s="760" t="s">
        <v>622</v>
      </c>
      <c r="B1" s="728"/>
      <c r="C1" s="761"/>
      <c r="D1" s="1929"/>
      <c r="E1" s="2238" t="s">
        <v>2358</v>
      </c>
      <c r="F1" s="2239" t="e">
        <f ca="1">J54</f>
        <v>#N/A</v>
      </c>
      <c r="G1" s="762" t="e">
        <f>MATCH(C1,'数据-取费表'!A6:A16,0)+5</f>
        <v>#N/A</v>
      </c>
      <c r="H1" s="1301"/>
      <c r="I1" s="1930"/>
      <c r="J1" s="1930"/>
      <c r="K1" s="1931"/>
      <c r="L1" s="1930"/>
      <c r="M1" s="1930"/>
      <c r="N1" s="1932"/>
      <c r="O1" s="1932"/>
      <c r="P1" s="1932"/>
      <c r="Q1" s="1932"/>
      <c r="R1" s="1932"/>
      <c r="S1" s="1932"/>
      <c r="T1" s="1932"/>
      <c r="U1" s="1932"/>
      <c r="V1" s="1932"/>
      <c r="W1" s="1932"/>
      <c r="X1" s="1932"/>
      <c r="Y1" s="1932"/>
    </row>
    <row r="2" spans="1:25" ht="18" customHeight="1">
      <c r="A2" s="1569" t="s">
        <v>623</v>
      </c>
      <c r="B2" s="763">
        <f ca="1">IF(ISERROR(C45+J31),0,C45+J31)</f>
        <v>0</v>
      </c>
      <c r="C2" s="1302"/>
      <c r="D2" s="1934"/>
      <c r="E2" s="1935"/>
      <c r="F2" s="1935"/>
      <c r="G2" s="1521"/>
      <c r="H2" s="1314"/>
      <c r="I2" s="1936"/>
      <c r="J2" s="1936"/>
      <c r="K2" s="1937"/>
      <c r="L2" s="1936"/>
      <c r="M2" s="1936"/>
    </row>
    <row r="3" spans="1:25" ht="18" customHeight="1">
      <c r="A3" s="1570" t="s">
        <v>1676</v>
      </c>
      <c r="B3" s="1337">
        <f ca="1">ROUND(B2*10000/'数据-汇总表'!E3,0)</f>
        <v>0</v>
      </c>
      <c r="C3" s="1302"/>
      <c r="D3" s="1934"/>
      <c r="E3" s="1935"/>
      <c r="F3" s="1935"/>
      <c r="G3" s="1521"/>
      <c r="H3" s="764" t="s">
        <v>689</v>
      </c>
      <c r="I3" s="1936"/>
      <c r="J3" s="1936"/>
      <c r="K3" s="1937"/>
      <c r="L3" s="1936"/>
      <c r="M3" s="1936"/>
    </row>
    <row r="4" spans="1:25" ht="18" customHeight="1">
      <c r="A4" s="1571" t="s">
        <v>690</v>
      </c>
      <c r="B4" s="1303">
        <f ca="1">ROUND(B2*10000/'数据-汇总表'!D3,0)</f>
        <v>0</v>
      </c>
      <c r="C4" s="420"/>
      <c r="D4" s="1934"/>
      <c r="E4" s="1935"/>
      <c r="F4" s="1935"/>
      <c r="G4" s="1521"/>
      <c r="H4" s="764"/>
      <c r="I4" s="1936"/>
      <c r="J4" s="1936"/>
      <c r="K4" s="1937"/>
      <c r="L4" s="1936"/>
      <c r="M4" s="1936"/>
    </row>
    <row r="5" spans="1:25" ht="18" customHeight="1" thickBot="1">
      <c r="A5" s="1572"/>
      <c r="B5" s="422">
        <f ca="1">ROUND(B2/('数据-汇总表'!D3/666.67),0)</f>
        <v>0</v>
      </c>
      <c r="C5" s="423" t="s">
        <v>691</v>
      </c>
      <c r="D5" s="1934"/>
      <c r="E5" s="1935"/>
      <c r="F5" s="1935"/>
      <c r="G5" s="1521"/>
      <c r="H5" s="764"/>
      <c r="I5" s="1936"/>
      <c r="J5" s="1936"/>
      <c r="K5" s="1937"/>
      <c r="L5" s="1936"/>
      <c r="M5" s="1936"/>
    </row>
    <row r="6" spans="1:25" ht="18" customHeight="1">
      <c r="A6" s="1739" t="s">
        <v>692</v>
      </c>
      <c r="B6" s="1731" t="s">
        <v>693</v>
      </c>
      <c r="C6" s="1731" t="s">
        <v>626</v>
      </c>
      <c r="D6" s="1731" t="s">
        <v>627</v>
      </c>
      <c r="E6" s="767" t="s">
        <v>628</v>
      </c>
      <c r="F6" s="768"/>
      <c r="G6" s="1523"/>
      <c r="H6" s="1739" t="s">
        <v>624</v>
      </c>
      <c r="I6" s="1731" t="s">
        <v>625</v>
      </c>
      <c r="J6" s="1731" t="s">
        <v>626</v>
      </c>
      <c r="K6" s="1731" t="s">
        <v>627</v>
      </c>
      <c r="L6" s="767" t="s">
        <v>628</v>
      </c>
      <c r="M6" s="768"/>
    </row>
    <row r="7" spans="1:25" ht="18" customHeight="1">
      <c r="A7" s="769">
        <v>1</v>
      </c>
      <c r="B7" s="770" t="s">
        <v>2439</v>
      </c>
      <c r="C7" s="53" t="e">
        <f ca="1">C8+C12+C14</f>
        <v>#N/A</v>
      </c>
      <c r="D7" s="2345" t="s">
        <v>2442</v>
      </c>
      <c r="E7" s="2339"/>
      <c r="F7" s="2340"/>
      <c r="G7" s="1523"/>
      <c r="H7" s="769">
        <v>1</v>
      </c>
      <c r="I7" s="770" t="s">
        <v>2439</v>
      </c>
      <c r="J7" s="53" t="e">
        <f ca="1">J8+J12+J14</f>
        <v>#N/A</v>
      </c>
      <c r="K7" s="2345" t="s">
        <v>2442</v>
      </c>
      <c r="L7" s="2339"/>
      <c r="M7" s="2340"/>
    </row>
    <row r="8" spans="1:25" ht="18" customHeight="1">
      <c r="A8" s="1741" t="s">
        <v>1814</v>
      </c>
      <c r="B8" s="3863" t="s">
        <v>2444</v>
      </c>
      <c r="C8" s="1736" t="e">
        <f ca="1">ROUND(F8*F10*F9*(1-F11)/10000,0)</f>
        <v>#N/A</v>
      </c>
      <c r="D8" s="1733" t="s">
        <v>2515</v>
      </c>
      <c r="E8" s="61" t="s">
        <v>631</v>
      </c>
      <c r="F8" s="773" t="e">
        <f ca="1">INDIRECT("'数据-取费表'!u"&amp;$G$1)</f>
        <v>#N/A</v>
      </c>
      <c r="G8" s="1523"/>
      <c r="H8" s="2353" t="s">
        <v>1814</v>
      </c>
      <c r="I8" s="3863" t="s">
        <v>2444</v>
      </c>
      <c r="J8" s="771" t="e">
        <f ca="1">ROUND(M8*M10*M9*(1-M11)/10000,0)</f>
        <v>#N/A</v>
      </c>
      <c r="K8" s="337" t="s">
        <v>2515</v>
      </c>
      <c r="L8" s="772" t="s">
        <v>1728</v>
      </c>
      <c r="M8" s="773" t="e">
        <f ca="1">INDIRECT("'数据-取费表'!z"&amp;$G$1)</f>
        <v>#N/A</v>
      </c>
    </row>
    <row r="9" spans="1:25" ht="18" customHeight="1">
      <c r="A9" s="2349"/>
      <c r="B9" s="3864"/>
      <c r="C9" s="1737"/>
      <c r="D9" s="1734"/>
      <c r="E9" s="61" t="s">
        <v>632</v>
      </c>
      <c r="F9" s="773" t="e">
        <f ca="1">IF(INDIRECT("'数据-取费表'!ah"&amp;$G$1)="",INDIRECT("'数据-取费表'!k"&amp;$G$1),INDIRECT("'数据-取费表'!ah"&amp;$G$1))</f>
        <v>#N/A</v>
      </c>
      <c r="G9" s="1523"/>
      <c r="H9" s="2338"/>
      <c r="I9" s="3864"/>
      <c r="J9" s="776"/>
      <c r="K9" s="777"/>
      <c r="L9" s="772" t="s">
        <v>1729</v>
      </c>
      <c r="M9" s="773" t="e">
        <f ca="1">F9</f>
        <v>#N/A</v>
      </c>
    </row>
    <row r="10" spans="1:25" ht="18" customHeight="1">
      <c r="A10" s="2342"/>
      <c r="B10" s="3865"/>
      <c r="C10" s="1737"/>
      <c r="D10" s="1734"/>
      <c r="E10" s="61" t="s">
        <v>633</v>
      </c>
      <c r="F10" s="773" t="e">
        <f ca="1">INDIRECT("'数据-取费表'!ai"&amp;$G$1)</f>
        <v>#N/A</v>
      </c>
      <c r="G10" s="1523"/>
      <c r="H10" s="2338"/>
      <c r="I10" s="3865"/>
      <c r="J10" s="776"/>
      <c r="K10" s="777"/>
      <c r="L10" s="772" t="s">
        <v>1730</v>
      </c>
      <c r="M10" s="773" t="e">
        <f ca="1">INDIRECT("'数据-取费表'!ai"&amp;$G$1)</f>
        <v>#N/A</v>
      </c>
    </row>
    <row r="11" spans="1:25" ht="18" customHeight="1">
      <c r="A11" s="774"/>
      <c r="B11" s="3866"/>
      <c r="C11" s="1737"/>
      <c r="D11" s="1734"/>
      <c r="E11" s="61" t="s">
        <v>634</v>
      </c>
      <c r="F11" s="782" t="e">
        <f ca="1">INDIRECT("'数据-取费表'!w"&amp;$G$1)</f>
        <v>#N/A</v>
      </c>
      <c r="G11" s="1523"/>
      <c r="H11" s="2354"/>
      <c r="I11" s="3865"/>
      <c r="J11" s="776"/>
      <c r="K11" s="777"/>
      <c r="L11" s="783" t="s">
        <v>1731</v>
      </c>
      <c r="M11" s="784" t="e">
        <f ca="1">INDIRECT("'数据-取费表'!ab"&amp;$G$1)</f>
        <v>#N/A</v>
      </c>
    </row>
    <row r="12" spans="1:25" ht="18" customHeight="1">
      <c r="A12" s="1741" t="s">
        <v>1815</v>
      </c>
      <c r="B12" s="2343" t="s">
        <v>2440</v>
      </c>
      <c r="C12" s="787">
        <f ca="1">ROUND(IF(F12="押一",C8/12*F13,IF(F12="押二",C8/12*2*F13,IF(F12="押三",C8/12*3*F13,C13*F13))),0)</f>
        <v>0</v>
      </c>
      <c r="D12" s="2350" t="s">
        <v>2934</v>
      </c>
      <c r="E12" s="2347" t="s">
        <v>2445</v>
      </c>
      <c r="F12" s="2461"/>
      <c r="G12" s="1523"/>
      <c r="H12" s="2410" t="s">
        <v>1815</v>
      </c>
      <c r="I12" s="2415" t="s">
        <v>2440</v>
      </c>
      <c r="J12" s="771">
        <f ca="1">ROUND(IF(M12="押一",J8/12*M13,IF(M12="押二",J8/12*2*M13,IF(M12="押三",J8/12*3*M13,J13*M13))),0)</f>
        <v>0</v>
      </c>
      <c r="K12" s="2350" t="s">
        <v>2934</v>
      </c>
      <c r="L12" s="2347" t="s">
        <v>2445</v>
      </c>
      <c r="M12" s="2461"/>
    </row>
    <row r="13" spans="1:25" ht="18" customHeight="1">
      <c r="A13" s="778"/>
      <c r="B13" s="2344" t="s">
        <v>2554</v>
      </c>
      <c r="C13" s="2348"/>
      <c r="D13" s="777"/>
      <c r="E13" s="2347" t="s">
        <v>2437</v>
      </c>
      <c r="F13" s="784">
        <f ca="1">'数据-取费表'!B39</f>
        <v>1.4999999999999999E-2</v>
      </c>
      <c r="G13" s="1523"/>
      <c r="H13" s="2411"/>
      <c r="I13" s="2344" t="s">
        <v>2554</v>
      </c>
      <c r="J13" s="2348"/>
      <c r="K13" s="2412"/>
      <c r="L13" s="2347" t="s">
        <v>2437</v>
      </c>
      <c r="M13" s="2341">
        <f ca="1">'数据-取费表'!B39</f>
        <v>1.4999999999999999E-2</v>
      </c>
    </row>
    <row r="14" spans="1:25" ht="18" customHeight="1" thickBot="1">
      <c r="A14" s="2386" t="s">
        <v>2448</v>
      </c>
      <c r="B14" s="2387" t="s">
        <v>2441</v>
      </c>
      <c r="C14" s="2388"/>
      <c r="D14" s="2389"/>
      <c r="E14" s="2390"/>
      <c r="F14" s="2391"/>
      <c r="G14" s="1523"/>
      <c r="H14" s="2400" t="s">
        <v>2448</v>
      </c>
      <c r="I14" s="2413" t="s">
        <v>2441</v>
      </c>
      <c r="J14" s="2414"/>
      <c r="K14" s="2389"/>
      <c r="L14" s="2390"/>
      <c r="M14" s="2403"/>
    </row>
    <row r="15" spans="1:25" ht="18" customHeight="1" thickTop="1">
      <c r="A15" s="1740" t="s">
        <v>1864</v>
      </c>
      <c r="B15" s="1738" t="s">
        <v>635</v>
      </c>
      <c r="C15" s="780" t="e">
        <f ca="1">ROUND(C31*F15,0)</f>
        <v>#N/A</v>
      </c>
      <c r="D15" s="1745" t="s">
        <v>636</v>
      </c>
      <c r="E15" s="783" t="s">
        <v>637</v>
      </c>
      <c r="F15" s="788" t="e">
        <f ca="1">INDIRECT("'数据-取费表'!y"&amp;$G$1)</f>
        <v>#N/A</v>
      </c>
      <c r="G15" s="1523"/>
      <c r="H15" s="1740" t="s">
        <v>1816</v>
      </c>
      <c r="I15" s="1738" t="s">
        <v>638</v>
      </c>
      <c r="J15" s="1730" t="e">
        <f ca="1">ROUND(J16*J17,0)</f>
        <v>#N/A</v>
      </c>
      <c r="K15" s="1732" t="s">
        <v>636</v>
      </c>
      <c r="L15" s="789"/>
      <c r="M15" s="790"/>
    </row>
    <row r="16" spans="1:25" ht="18" customHeight="1">
      <c r="A16" s="791" t="s">
        <v>1865</v>
      </c>
      <c r="B16" s="772" t="s">
        <v>639</v>
      </c>
      <c r="C16" s="792" t="e">
        <f ca="1">INDIRECT("'数据-取费表'!m"&amp;$G$1)+INDIRECT("'数据-取费表'!t"&amp;$G$1)</f>
        <v>#N/A</v>
      </c>
      <c r="D16" s="1889" t="s">
        <v>640</v>
      </c>
      <c r="E16" s="1890"/>
      <c r="F16" s="793"/>
      <c r="G16" s="1523"/>
      <c r="H16" s="791" t="s">
        <v>2057</v>
      </c>
      <c r="I16" s="2107" t="s">
        <v>2803</v>
      </c>
      <c r="J16" s="53" t="e">
        <f ca="1">C31</f>
        <v>#N/A</v>
      </c>
      <c r="K16" s="26"/>
      <c r="L16" s="789"/>
      <c r="M16" s="790"/>
    </row>
    <row r="17" spans="1:25" s="1943" customFormat="1" ht="18" customHeight="1">
      <c r="A17" s="791" t="s">
        <v>1839</v>
      </c>
      <c r="B17" s="772" t="s">
        <v>641</v>
      </c>
      <c r="C17" s="53" t="e">
        <f ca="1">ROUND(C16*F17,0)</f>
        <v>#N/A</v>
      </c>
      <c r="D17" s="794" t="s">
        <v>642</v>
      </c>
      <c r="E17" s="794" t="s">
        <v>643</v>
      </c>
      <c r="F17" s="795">
        <f>'数据-取费表'!B33</f>
        <v>0.03</v>
      </c>
      <c r="G17" s="1524"/>
      <c r="H17" s="791" t="s">
        <v>2058</v>
      </c>
      <c r="I17" s="772" t="s">
        <v>637</v>
      </c>
      <c r="J17" s="796" t="e">
        <f ca="1">INDIRECT("'数据-取费表'!ad"&amp;$G$1)</f>
        <v>#N/A</v>
      </c>
      <c r="K17" s="26"/>
      <c r="L17" s="789"/>
      <c r="M17" s="790"/>
      <c r="N17" s="1942"/>
      <c r="O17" s="1942"/>
      <c r="P17" s="1942"/>
      <c r="Q17" s="1942"/>
      <c r="R17" s="1942"/>
      <c r="S17" s="1942"/>
      <c r="T17" s="1942"/>
      <c r="U17" s="1942"/>
      <c r="V17" s="1942"/>
      <c r="W17" s="1942"/>
      <c r="X17" s="1942"/>
      <c r="Y17" s="1942"/>
    </row>
    <row r="18" spans="1:25" ht="18" customHeight="1">
      <c r="A18" s="791" t="s">
        <v>1840</v>
      </c>
      <c r="B18" s="772" t="s">
        <v>644</v>
      </c>
      <c r="C18" s="53" t="e">
        <f ca="1">ROUND(INDIRECT("'数据-取费表'!m"&amp;$G$1)*F18,0)</f>
        <v>#N/A</v>
      </c>
      <c r="D18" s="772" t="s">
        <v>642</v>
      </c>
      <c r="E18" s="772" t="s">
        <v>643</v>
      </c>
      <c r="F18" s="797" t="e">
        <f ca="1">IF(INDIRECT("'数据-取费表'!c"&amp;$G$1)="住宅",'数据-取费表'!B34,0)</f>
        <v>#N/A</v>
      </c>
      <c r="G18" s="1523"/>
      <c r="H18" s="785" t="s">
        <v>1817</v>
      </c>
      <c r="I18" s="786" t="s">
        <v>645</v>
      </c>
      <c r="J18" s="787" t="e">
        <f ca="1">ROUND(J19+J24+J25+J26,0)</f>
        <v>#N/A</v>
      </c>
      <c r="K18" s="26" t="s">
        <v>646</v>
      </c>
      <c r="L18" s="1892"/>
      <c r="M18" s="56"/>
    </row>
    <row r="19" spans="1:25" s="1943" customFormat="1" ht="18" customHeight="1">
      <c r="A19" s="791" t="s">
        <v>1841</v>
      </c>
      <c r="B19" s="772" t="s">
        <v>647</v>
      </c>
      <c r="C19" s="53" t="e">
        <f ca="1">ROUND(F19*(INDIRECT("'数据-取费表'!k"&amp;$G$1)+INDIRECT("'数据-取费表'!S"&amp;$G$1))/10000,0)</f>
        <v>#N/A</v>
      </c>
      <c r="D19" s="772" t="s">
        <v>648</v>
      </c>
      <c r="E19" s="772" t="s">
        <v>649</v>
      </c>
      <c r="F19" s="56">
        <f>'数据-取费表'!B35</f>
        <v>200</v>
      </c>
      <c r="G19" s="1524"/>
      <c r="H19" s="791" t="s">
        <v>2057</v>
      </c>
      <c r="I19" s="772" t="s">
        <v>650</v>
      </c>
      <c r="J19" s="3013" t="e">
        <f ca="1">ROUND(IF(AND(项目基本情况!B11="自然人",项目基本情况!B10="北京市"),J8*M19/(1+'数据-取费表'!C42),J20+J21+J22),0)</f>
        <v>#N/A</v>
      </c>
      <c r="K19" s="1889" t="s">
        <v>651</v>
      </c>
      <c r="L19" s="1887" t="s">
        <v>652</v>
      </c>
      <c r="M19" s="3012"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1" t="s">
        <v>1842</v>
      </c>
      <c r="B20" s="772" t="s">
        <v>653</v>
      </c>
      <c r="C20" s="53" t="e">
        <f ca="1">ROUND(C16*F20,0)</f>
        <v>#N/A</v>
      </c>
      <c r="D20" s="772" t="s">
        <v>642</v>
      </c>
      <c r="E20" s="772" t="s">
        <v>643</v>
      </c>
      <c r="F20" s="797">
        <f>'数据-取费表'!B36</f>
        <v>1.4999999999999999E-2</v>
      </c>
      <c r="G20" s="1524"/>
      <c r="H20" s="791" t="s">
        <v>1821</v>
      </c>
      <c r="I20" s="772" t="s">
        <v>654</v>
      </c>
      <c r="J20" s="53" t="e">
        <f ca="1">ROUND(J8*M20/(1+'数据-取费表'!C42),1)</f>
        <v>#N/A</v>
      </c>
      <c r="K20" s="1887" t="s">
        <v>655</v>
      </c>
      <c r="L20" s="772" t="s">
        <v>643</v>
      </c>
      <c r="M20" s="797">
        <f>'数据-取费表'!B41</f>
        <v>5.6000000000000001E-2</v>
      </c>
      <c r="N20" s="1942"/>
      <c r="O20" s="1942"/>
      <c r="P20" s="1942"/>
      <c r="Q20" s="1942"/>
      <c r="R20" s="1942"/>
      <c r="S20" s="1942"/>
      <c r="T20" s="1942"/>
      <c r="U20" s="1942"/>
      <c r="V20" s="1942"/>
      <c r="W20" s="1942"/>
      <c r="X20" s="1942"/>
      <c r="Y20" s="1942"/>
    </row>
    <row r="21" spans="1:25" ht="18" customHeight="1">
      <c r="A21" s="791" t="s">
        <v>1866</v>
      </c>
      <c r="B21" s="772" t="s">
        <v>656</v>
      </c>
      <c r="C21" s="53" t="e">
        <f ca="1">SUM(C16:C20)</f>
        <v>#N/A</v>
      </c>
      <c r="D21" s="257" t="s">
        <v>657</v>
      </c>
      <c r="E21" s="1892"/>
      <c r="F21" s="56"/>
      <c r="G21" s="1523"/>
      <c r="H21" s="1741" t="s">
        <v>1839</v>
      </c>
      <c r="I21" s="772" t="s">
        <v>658</v>
      </c>
      <c r="J21" s="53" t="e">
        <f ca="1">IF(K21="按租金收入计税",ROUND(J8*M21/(1+'数据-取费表'!C42),1),ROUND(C31*F35*0.7,1))</f>
        <v>#N/A</v>
      </c>
      <c r="K21" s="798" t="s">
        <v>659</v>
      </c>
      <c r="L21" s="772" t="s">
        <v>643</v>
      </c>
      <c r="M21" s="797">
        <f>IF(K21="按租金收入计税",'数据-取费表'!B51,'数据-取费表'!B50)</f>
        <v>1.2E-2</v>
      </c>
    </row>
    <row r="22" spans="1:25" s="1943" customFormat="1" ht="18" customHeight="1">
      <c r="A22" s="791" t="s">
        <v>1867</v>
      </c>
      <c r="B22" s="772" t="s">
        <v>660</v>
      </c>
      <c r="C22" s="53" t="e">
        <f ca="1">ROUND(C21*F22,0)</f>
        <v>#N/A</v>
      </c>
      <c r="D22" s="799" t="s">
        <v>661</v>
      </c>
      <c r="E22" s="772" t="s">
        <v>643</v>
      </c>
      <c r="F22" s="797">
        <f>'数据-取费表'!B37</f>
        <v>0.01</v>
      </c>
      <c r="G22" s="1524"/>
      <c r="H22" s="1743" t="s">
        <v>1840</v>
      </c>
      <c r="I22" s="1733" t="s">
        <v>662</v>
      </c>
      <c r="J22" s="54" t="e">
        <f ca="1">ROUND(M22*M23/10000,0)</f>
        <v>#N/A</v>
      </c>
      <c r="K22" s="801" t="s">
        <v>663</v>
      </c>
      <c r="L22" s="772" t="s">
        <v>664</v>
      </c>
      <c r="M22" s="630">
        <f>'数据-取费表'!B52</f>
        <v>1.5</v>
      </c>
      <c r="N22" s="1942"/>
      <c r="O22" s="1942"/>
      <c r="P22" s="1942"/>
      <c r="Q22" s="1942"/>
      <c r="R22" s="1942"/>
      <c r="S22" s="1942"/>
      <c r="T22" s="1942"/>
      <c r="U22" s="1942"/>
      <c r="V22" s="1942"/>
      <c r="W22" s="1942"/>
      <c r="X22" s="1942"/>
      <c r="Y22" s="1942"/>
    </row>
    <row r="23" spans="1:25" s="1943" customFormat="1" ht="18" customHeight="1">
      <c r="A23" s="791" t="s">
        <v>1868</v>
      </c>
      <c r="B23" s="772" t="s">
        <v>665</v>
      </c>
      <c r="C23" s="53" t="s">
        <v>1</v>
      </c>
      <c r="D23" s="799" t="s">
        <v>666</v>
      </c>
      <c r="E23" s="772" t="s">
        <v>667</v>
      </c>
      <c r="F23" s="797">
        <f>'数据-取费表'!B38</f>
        <v>0.01</v>
      </c>
      <c r="G23" s="1524"/>
      <c r="H23" s="1744"/>
      <c r="I23" s="1735"/>
      <c r="J23" s="69"/>
      <c r="K23" s="803"/>
      <c r="L23" s="772" t="s">
        <v>668</v>
      </c>
      <c r="M23" s="773" t="e">
        <f ca="1">INDIRECT("'数据-取费表'!r"&amp;$G$1)</f>
        <v>#N/A</v>
      </c>
      <c r="N23" s="1942"/>
      <c r="O23" s="1942"/>
      <c r="P23" s="1942"/>
      <c r="Q23" s="1942"/>
      <c r="R23" s="1942"/>
      <c r="S23" s="1942"/>
      <c r="T23" s="1942"/>
      <c r="U23" s="1942"/>
      <c r="V23" s="1942"/>
      <c r="W23" s="1942"/>
      <c r="X23" s="1942"/>
      <c r="Y23" s="1942"/>
    </row>
    <row r="24" spans="1:25" ht="18" customHeight="1">
      <c r="A24" s="791" t="s">
        <v>1869</v>
      </c>
      <c r="B24" s="772" t="s">
        <v>669</v>
      </c>
      <c r="C24" s="53"/>
      <c r="D24" s="2420" t="str">
        <f>IF(F25&lt;=1,"单利计息。","复利计息。")&amp;"建造成本、管理费用、销售费用产生的利息。"</f>
        <v>复利计息。建造成本、管理费用、销售费用产生的利息。</v>
      </c>
      <c r="E24" s="1892"/>
      <c r="F24" s="56"/>
      <c r="G24" s="1523"/>
      <c r="H24" s="1742" t="s">
        <v>2058</v>
      </c>
      <c r="I24" s="772" t="s">
        <v>670</v>
      </c>
      <c r="J24" s="53" t="e">
        <f ca="1">ROUND(J16*M24,0)</f>
        <v>#N/A</v>
      </c>
      <c r="K24" s="1887" t="s">
        <v>671</v>
      </c>
      <c r="L24" s="772" t="s">
        <v>643</v>
      </c>
      <c r="M24" s="804" t="e">
        <f ca="1">INDIRECT("'数据-取费表'!Ak"&amp;$G$1)</f>
        <v>#N/A</v>
      </c>
    </row>
    <row r="25" spans="1:25" s="1943" customFormat="1" ht="18" customHeight="1">
      <c r="A25" s="791" t="s">
        <v>1865</v>
      </c>
      <c r="B25" s="772" t="s">
        <v>2420</v>
      </c>
      <c r="C25" s="53" t="e">
        <f ca="1">ROUND(IF('数据-取费表'!B22&lt;=1,(C21+C22)*F26*F25/2,(C21+C22)*(POWER((1+F26),F25/2)-1)),0)</f>
        <v>#N/A</v>
      </c>
      <c r="D25" s="2419" t="str">
        <f>IF(F25&lt;=1,"(建造成本+管理费用)×利率×(建设周期÷2)","(建造成本+管理费用)×((1+利率)^(建设周期÷2)-1)")</f>
        <v>(建造成本+管理费用)×((1+利率)^(建设周期÷2)-1)</v>
      </c>
      <c r="E25" s="772" t="s">
        <v>672</v>
      </c>
      <c r="F25" s="630">
        <f>'数据-取费表'!B20</f>
        <v>2</v>
      </c>
      <c r="G25" s="1524"/>
      <c r="H25" s="791" t="s">
        <v>1868</v>
      </c>
      <c r="I25" s="772" t="s">
        <v>673</v>
      </c>
      <c r="J25" s="53" t="e">
        <f ca="1">ROUND(J15*M25,0)</f>
        <v>#N/A</v>
      </c>
      <c r="K25" s="1887" t="s">
        <v>674</v>
      </c>
      <c r="L25" s="772" t="s">
        <v>643</v>
      </c>
      <c r="M25" s="805" t="e">
        <f ca="1">INDIRECT("'数据-取费表'!Al"&amp;$G$1)</f>
        <v>#N/A</v>
      </c>
      <c r="N25" s="1942"/>
      <c r="O25" s="1942"/>
      <c r="P25" s="1942"/>
      <c r="Q25" s="1942"/>
      <c r="R25" s="1942"/>
      <c r="S25" s="1942"/>
      <c r="T25" s="1942"/>
      <c r="U25" s="1942"/>
      <c r="V25" s="1942"/>
      <c r="W25" s="1942"/>
      <c r="X25" s="1942"/>
      <c r="Y25" s="1942"/>
    </row>
    <row r="26" spans="1:25" s="1943" customFormat="1" ht="18" customHeight="1">
      <c r="A26" s="791" t="s">
        <v>1839</v>
      </c>
      <c r="B26" s="772" t="s">
        <v>675</v>
      </c>
      <c r="C26" s="53">
        <f ca="1">ROUND(IF('数据-取费表'!B22&lt;=1,F23*F26*F25/2,F23*(POWER((1+F26),F25/2)-1)),4)</f>
        <v>5.0000000000000001E-4</v>
      </c>
      <c r="D26" s="2419" t="str">
        <f>IF(F25&lt;=1,"销售费用×利率×(建设周期÷2)","销售费用×((1+利率)^(建设周期÷2)-1)")</f>
        <v>销售费用×((1+利率)^(建设周期÷2)-1)</v>
      </c>
      <c r="E26" s="772" t="s">
        <v>676</v>
      </c>
      <c r="F26" s="806">
        <f ca="1">'数据-取费表'!B40</f>
        <v>4.7500000000000001E-2</v>
      </c>
      <c r="G26" s="1524"/>
      <c r="H26" s="791" t="s">
        <v>1869</v>
      </c>
      <c r="I26" s="772" t="s">
        <v>660</v>
      </c>
      <c r="J26" s="53" t="e">
        <f ca="1">ROUND(J7*M26,0)</f>
        <v>#N/A</v>
      </c>
      <c r="K26" s="1887" t="s">
        <v>677</v>
      </c>
      <c r="L26" s="772" t="s">
        <v>643</v>
      </c>
      <c r="M26" s="782" t="e">
        <f ca="1">INDIRECT("'数据-取费表'!Am"&amp;$G$1)</f>
        <v>#N/A</v>
      </c>
      <c r="N26" s="1942"/>
      <c r="O26" s="1942"/>
      <c r="P26" s="1942"/>
      <c r="Q26" s="1942"/>
      <c r="R26" s="1942"/>
      <c r="S26" s="1942"/>
      <c r="T26" s="1942"/>
      <c r="U26" s="1942"/>
      <c r="V26" s="1942"/>
      <c r="W26" s="1942"/>
      <c r="X26" s="1942"/>
      <c r="Y26" s="1942"/>
    </row>
    <row r="27" spans="1:25" ht="18" customHeight="1">
      <c r="A27" s="791" t="s">
        <v>1871</v>
      </c>
      <c r="B27" s="772" t="s">
        <v>678</v>
      </c>
      <c r="C27" s="53"/>
      <c r="D27" s="257" t="s">
        <v>679</v>
      </c>
      <c r="E27" s="1892"/>
      <c r="F27" s="56"/>
      <c r="G27" s="1523"/>
      <c r="H27" s="785" t="s">
        <v>1818</v>
      </c>
      <c r="I27" s="2720" t="s">
        <v>2800</v>
      </c>
      <c r="J27" s="787" t="e">
        <f ca="1">J7-J18</f>
        <v>#N/A</v>
      </c>
      <c r="K27" s="1889" t="s">
        <v>694</v>
      </c>
      <c r="L27" s="1891"/>
      <c r="M27" s="807"/>
    </row>
    <row r="28" spans="1:25" ht="18" customHeight="1">
      <c r="A28" s="791" t="s">
        <v>1865</v>
      </c>
      <c r="B28" s="772" t="s">
        <v>2421</v>
      </c>
      <c r="C28" s="53" t="e">
        <f ca="1">ROUND((C21+C22)*F28,0)</f>
        <v>#N/A</v>
      </c>
      <c r="D28" s="799" t="s">
        <v>695</v>
      </c>
      <c r="E28" s="783" t="s">
        <v>696</v>
      </c>
      <c r="F28" s="782" t="e">
        <f ca="1">INDIRECT("'数据-取费表'!q"&amp;$G$1)</f>
        <v>#N/A</v>
      </c>
      <c r="G28" s="1523"/>
      <c r="H28" s="769" t="s">
        <v>1827</v>
      </c>
      <c r="I28" s="770" t="s">
        <v>697</v>
      </c>
      <c r="J28" s="771" t="e">
        <f ca="1">IF(J7&lt;&gt;0,ROUND(J27*(1-((1+M30)/(1+M28))^M29)/(M28-M30),0),0)</f>
        <v>#N/A</v>
      </c>
      <c r="K28" s="801" t="s">
        <v>698</v>
      </c>
      <c r="L28" s="772" t="s">
        <v>699</v>
      </c>
      <c r="M28" s="782" t="e">
        <f ca="1">INDIRECT("'数据-取费表'!I"&amp;$G$1)</f>
        <v>#N/A</v>
      </c>
    </row>
    <row r="29" spans="1:25" ht="18" customHeight="1">
      <c r="A29" s="791" t="s">
        <v>1839</v>
      </c>
      <c r="B29" s="772" t="s">
        <v>680</v>
      </c>
      <c r="C29" s="53" t="e">
        <f ca="1">ROUND(F23*F28,4)</f>
        <v>#N/A</v>
      </c>
      <c r="D29" s="799" t="s">
        <v>700</v>
      </c>
      <c r="E29" s="794"/>
      <c r="F29" s="795"/>
      <c r="G29" s="1523"/>
      <c r="H29" s="774"/>
      <c r="I29" s="775"/>
      <c r="J29" s="776"/>
      <c r="K29" s="808" t="s">
        <v>701</v>
      </c>
      <c r="L29" s="772" t="s">
        <v>702</v>
      </c>
      <c r="M29" s="809" t="e">
        <f ca="1">INDIRECT("'数据-取费表'!ag"&amp;$G$1)</f>
        <v>#N/A</v>
      </c>
    </row>
    <row r="30" spans="1:25" s="1943" customFormat="1" ht="18" customHeight="1">
      <c r="A30" s="791" t="s">
        <v>1872</v>
      </c>
      <c r="B30" s="772" t="s">
        <v>681</v>
      </c>
      <c r="C30" s="53">
        <f>ROUND(F30/(1+'数据-取费表'!C42),4)</f>
        <v>5.33E-2</v>
      </c>
      <c r="D30" s="799" t="s">
        <v>703</v>
      </c>
      <c r="E30" s="772" t="s">
        <v>643</v>
      </c>
      <c r="F30" s="797">
        <f>'数据-取费表'!B41</f>
        <v>5.6000000000000001E-2</v>
      </c>
      <c r="G30" s="1524"/>
      <c r="H30" s="778"/>
      <c r="I30" s="779"/>
      <c r="J30" s="780"/>
      <c r="K30" s="803"/>
      <c r="L30" s="772" t="s">
        <v>704</v>
      </c>
      <c r="M30" s="782" t="e">
        <f ca="1">INDIRECT("'数据-取费表'!aa"&amp;$G$1)</f>
        <v>#N/A</v>
      </c>
      <c r="N30" s="1942"/>
      <c r="O30" s="1942"/>
      <c r="P30" s="1942"/>
      <c r="Q30" s="1942"/>
      <c r="R30" s="1942"/>
      <c r="S30" s="1942"/>
      <c r="T30" s="1942"/>
      <c r="U30" s="1942"/>
      <c r="V30" s="1942"/>
      <c r="W30" s="1942"/>
      <c r="X30" s="1942"/>
      <c r="Y30" s="1942"/>
    </row>
    <row r="31" spans="1:25" s="1943" customFormat="1" ht="18" customHeight="1" thickBot="1">
      <c r="A31" s="2409" t="s">
        <v>1873</v>
      </c>
      <c r="B31" s="2390" t="s">
        <v>2801</v>
      </c>
      <c r="C31" s="2393" t="e">
        <f ca="1">ROUND((C21+C22+C25+C28)/(1-F23-C26-C29-C30),0)</f>
        <v>#N/A</v>
      </c>
      <c r="D31" s="2394"/>
      <c r="E31" s="2395"/>
      <c r="F31" s="2396"/>
      <c r="G31" s="1524"/>
      <c r="H31" s="810" t="s">
        <v>1862</v>
      </c>
      <c r="I31" s="2721" t="s">
        <v>2802</v>
      </c>
      <c r="J31" s="812" t="e">
        <f ca="1">ROUND(J28/(1+F45)^F46,0)</f>
        <v>#N/A</v>
      </c>
      <c r="K31" s="813" t="s">
        <v>682</v>
      </c>
      <c r="L31" s="814"/>
      <c r="M31" s="815" t="e">
        <f ca="1">INDIRECT("'数据-取费表'!k"&amp;$G$1)</f>
        <v>#N/A</v>
      </c>
      <c r="N31" s="1942"/>
      <c r="O31" s="1942"/>
      <c r="P31" s="1942"/>
      <c r="Q31" s="1942"/>
      <c r="R31" s="1942"/>
      <c r="S31" s="1942"/>
      <c r="T31" s="1942"/>
      <c r="U31" s="1942"/>
      <c r="V31" s="1942"/>
      <c r="W31" s="1942"/>
      <c r="X31" s="1942"/>
      <c r="Y31" s="1942"/>
    </row>
    <row r="32" spans="1:25" ht="18" customHeight="1" thickTop="1">
      <c r="A32" s="1740" t="s">
        <v>7</v>
      </c>
      <c r="B32" s="1738" t="s">
        <v>683</v>
      </c>
      <c r="C32" s="780" t="e">
        <f ca="1">ROUND(C33+C38+C39+C40,0)</f>
        <v>#N/A</v>
      </c>
      <c r="D32" s="1732" t="s">
        <v>646</v>
      </c>
      <c r="E32" s="2336"/>
      <c r="F32" s="2340"/>
      <c r="G32" s="1941"/>
      <c r="H32" s="1944"/>
      <c r="I32" s="1945"/>
      <c r="J32" s="1946"/>
      <c r="K32" s="1947"/>
      <c r="L32" s="1948"/>
      <c r="M32" s="1949"/>
    </row>
    <row r="33" spans="1:18" ht="18" customHeight="1">
      <c r="A33" s="791" t="s">
        <v>1866</v>
      </c>
      <c r="B33" s="772" t="s">
        <v>650</v>
      </c>
      <c r="C33" s="3013" t="e">
        <f ca="1">ROUND(IF(AND(项目基本情况!B11="自然人",项目基本情况!B10="北京市"),C8*F33/(1+'数据-取费表'!C42),C34+C35+C36),0)</f>
        <v>#N/A</v>
      </c>
      <c r="D33" s="1889" t="s">
        <v>651</v>
      </c>
      <c r="E33" s="1887" t="s">
        <v>684</v>
      </c>
      <c r="F33" s="3012" t="str">
        <f>IF(项目基本情况!B11="企业","——",IF('数据-取费表'!B10="住宅",IF(F8*F9*F10/12/(1+'数据-取费表'!F30)&gt;100000,4%,2.5%),IF(F8*F9*F10/12/(1+'数据-取费表'!F30)&gt;100000,12%,7%)))</f>
        <v>——</v>
      </c>
      <c r="G33" s="1941"/>
      <c r="H33" s="3251" t="s">
        <v>2988</v>
      </c>
      <c r="I33" s="1945"/>
      <c r="J33" s="1946"/>
      <c r="K33" s="1947"/>
      <c r="L33" s="1948"/>
      <c r="M33" s="1949"/>
    </row>
    <row r="34" spans="1:18" ht="18" customHeight="1">
      <c r="A34" s="791" t="s">
        <v>1865</v>
      </c>
      <c r="B34" s="772" t="s">
        <v>654</v>
      </c>
      <c r="C34" s="53" t="e">
        <f ca="1">ROUND(C8*F34/(1+'数据-取费表'!C42),1)</f>
        <v>#N/A</v>
      </c>
      <c r="D34" s="1887" t="s">
        <v>655</v>
      </c>
      <c r="E34" s="772" t="s">
        <v>643</v>
      </c>
      <c r="F34" s="797">
        <f>'数据-取费表'!B41</f>
        <v>5.6000000000000001E-2</v>
      </c>
      <c r="G34" s="1941"/>
      <c r="H34" s="1950"/>
      <c r="I34" s="1951"/>
      <c r="J34" s="1952"/>
      <c r="K34" s="1953"/>
      <c r="L34" s="1954"/>
      <c r="M34" s="1955"/>
    </row>
    <row r="35" spans="1:18" ht="18" customHeight="1">
      <c r="A35" s="791" t="s">
        <v>1839</v>
      </c>
      <c r="B35" s="772" t="s">
        <v>658</v>
      </c>
      <c r="C35" s="53" t="e">
        <f ca="1">IF(D35="按租金收入计税",ROUND(C8*F35/(1+'数据-取费表'!C42),1),IF(D35="按房产原值计税",ROUND(C31*F35*0.7,1),INDIRECT("'数据-取费表'!Aj"&amp;$G$1)))</f>
        <v>#N/A</v>
      </c>
      <c r="D35" s="798" t="s">
        <v>1670</v>
      </c>
      <c r="E35" s="772" t="s">
        <v>643</v>
      </c>
      <c r="F35" s="797">
        <f>IF(D35="按租金收入计税",'数据-取费表'!B51,'数据-取费表'!B50)</f>
        <v>1.2E-2</v>
      </c>
      <c r="G35" s="1941"/>
      <c r="H35" s="1956"/>
      <c r="I35" s="1956"/>
      <c r="J35" s="1956"/>
      <c r="K35" s="1957"/>
      <c r="L35" s="1956"/>
      <c r="M35" s="1956"/>
    </row>
    <row r="36" spans="1:18" ht="18" customHeight="1">
      <c r="A36" s="800" t="s">
        <v>1870</v>
      </c>
      <c r="B36" s="337" t="s">
        <v>662</v>
      </c>
      <c r="C36" s="54" t="e">
        <f ca="1">ROUND(F36*F37/10000,1)</f>
        <v>#N/A</v>
      </c>
      <c r="D36" s="801" t="s">
        <v>663</v>
      </c>
      <c r="E36" s="772" t="s">
        <v>664</v>
      </c>
      <c r="F36" s="630">
        <f>'数据-取费表'!B52</f>
        <v>1.5</v>
      </c>
      <c r="G36" s="1941"/>
      <c r="H36" s="1944"/>
      <c r="I36" s="3862"/>
      <c r="J36" s="1958"/>
      <c r="K36" s="1959"/>
      <c r="L36" s="1958"/>
      <c r="M36" s="1958"/>
    </row>
    <row r="37" spans="1:18" ht="18" customHeight="1">
      <c r="A37" s="802"/>
      <c r="B37" s="781"/>
      <c r="C37" s="69"/>
      <c r="D37" s="803"/>
      <c r="E37" s="772" t="s">
        <v>668</v>
      </c>
      <c r="F37" s="773" t="e">
        <f ca="1">INDIRECT("'数据-取费表'!r"&amp;$G$1)</f>
        <v>#N/A</v>
      </c>
      <c r="G37" s="1941"/>
      <c r="H37" s="1944"/>
      <c r="I37" s="3862"/>
      <c r="J37" s="1956"/>
      <c r="K37" s="1957"/>
      <c r="L37" s="1956"/>
      <c r="M37" s="1956"/>
    </row>
    <row r="38" spans="1:18" ht="18" customHeight="1">
      <c r="A38" s="791" t="s">
        <v>1867</v>
      </c>
      <c r="B38" s="772" t="s">
        <v>670</v>
      </c>
      <c r="C38" s="53" t="e">
        <f ca="1">ROUND(C31*F38,1)</f>
        <v>#N/A</v>
      </c>
      <c r="D38" s="1887" t="s">
        <v>685</v>
      </c>
      <c r="E38" s="772" t="s">
        <v>643</v>
      </c>
      <c r="F38" s="804" t="e">
        <f ca="1">INDIRECT("'数据-取费表'!Ak"&amp;$G$1)</f>
        <v>#N/A</v>
      </c>
      <c r="G38" s="1941"/>
      <c r="H38" s="1956"/>
      <c r="I38" s="3016"/>
      <c r="J38" s="1896"/>
      <c r="K38" s="1960"/>
      <c r="L38" s="1956"/>
      <c r="M38" s="1956"/>
    </row>
    <row r="39" spans="1:18" ht="18" customHeight="1">
      <c r="A39" s="791" t="s">
        <v>1868</v>
      </c>
      <c r="B39" s="772" t="s">
        <v>673</v>
      </c>
      <c r="C39" s="53" t="e">
        <f ca="1">ROUND(C15*F39,1)</f>
        <v>#N/A</v>
      </c>
      <c r="D39" s="1887" t="s">
        <v>674</v>
      </c>
      <c r="E39" s="772" t="s">
        <v>643</v>
      </c>
      <c r="F39" s="805" t="e">
        <f ca="1">INDIRECT("'数据-取费表'!Al"&amp;$G$1)</f>
        <v>#N/A</v>
      </c>
      <c r="G39" s="1941"/>
      <c r="H39" s="1956"/>
      <c r="I39" s="3016"/>
      <c r="J39" s="1896"/>
      <c r="K39" s="1960"/>
      <c r="L39" s="1956"/>
      <c r="M39" s="1956"/>
    </row>
    <row r="40" spans="1:18" ht="18" customHeight="1" thickBot="1">
      <c r="A40" s="2409" t="s">
        <v>1869</v>
      </c>
      <c r="B40" s="2395" t="s">
        <v>660</v>
      </c>
      <c r="C40" s="2393" t="e">
        <f ca="1">ROUND(C7*F40,1)</f>
        <v>#N/A</v>
      </c>
      <c r="D40" s="2394" t="s">
        <v>677</v>
      </c>
      <c r="E40" s="2395" t="s">
        <v>643</v>
      </c>
      <c r="F40" s="2391" t="e">
        <f ca="1">INDIRECT("'数据-取费表'!Am"&amp;$G$1)</f>
        <v>#N/A</v>
      </c>
      <c r="G40" s="1941"/>
      <c r="H40" s="1956"/>
      <c r="I40" s="3016"/>
      <c r="J40" s="1896"/>
      <c r="K40" s="1961"/>
      <c r="L40" s="1956"/>
      <c r="M40" s="1956"/>
    </row>
    <row r="41" spans="1:18" ht="18" customHeight="1" thickTop="1">
      <c r="A41" s="1740">
        <v>4</v>
      </c>
      <c r="B41" s="1738" t="s">
        <v>686</v>
      </c>
      <c r="C41" s="1304"/>
      <c r="D41" s="1305"/>
      <c r="E41" s="1305"/>
      <c r="F41" s="1306"/>
      <c r="G41" s="1941"/>
      <c r="H41" s="1941"/>
      <c r="I41" s="1941"/>
      <c r="J41" s="1941"/>
      <c r="K41" s="1961"/>
      <c r="L41" s="1941"/>
      <c r="M41" s="1941"/>
    </row>
    <row r="42" spans="1:18" ht="18" customHeight="1">
      <c r="A42" s="791" t="s">
        <v>1866</v>
      </c>
      <c r="B42" s="822" t="s">
        <v>687</v>
      </c>
      <c r="C42" s="816" t="e">
        <f ca="1">C7-C32</f>
        <v>#N/A</v>
      </c>
      <c r="D42" s="1889" t="s">
        <v>688</v>
      </c>
      <c r="E42" s="1891"/>
      <c r="F42" s="807"/>
      <c r="G42" s="1941"/>
      <c r="H42" s="1941"/>
      <c r="I42" s="1941"/>
      <c r="J42" s="1941"/>
      <c r="K42" s="1961"/>
      <c r="L42" s="1941"/>
      <c r="M42" s="1941"/>
    </row>
    <row r="43" spans="1:18" ht="18" customHeight="1">
      <c r="A43" s="791" t="s">
        <v>1867</v>
      </c>
      <c r="B43" s="822" t="s">
        <v>705</v>
      </c>
      <c r="C43" s="823" t="e">
        <f ca="1">ROUND(C15*F43,0)</f>
        <v>#N/A</v>
      </c>
      <c r="D43" s="1307" t="s">
        <v>706</v>
      </c>
      <c r="E43" s="2789" t="s">
        <v>2923</v>
      </c>
      <c r="F43" s="2790" t="e">
        <f ca="1">INDIRECT("'数据-取费表'!j"&amp;$G$1)</f>
        <v>#N/A</v>
      </c>
      <c r="G43" s="1941"/>
      <c r="H43" s="1941"/>
      <c r="I43" s="1941"/>
      <c r="J43" s="1941"/>
      <c r="K43" s="1961"/>
      <c r="L43" s="1941"/>
      <c r="M43" s="1941"/>
    </row>
    <row r="44" spans="1:18" ht="18" customHeight="1">
      <c r="A44" s="791" t="s">
        <v>1868</v>
      </c>
      <c r="B44" s="822" t="s">
        <v>707</v>
      </c>
      <c r="C44" s="1308" t="e">
        <f ca="1">C42-C43</f>
        <v>#N/A</v>
      </c>
      <c r="D44" s="455" t="s">
        <v>708</v>
      </c>
      <c r="E44" s="456"/>
      <c r="F44" s="457"/>
      <c r="G44" s="1941"/>
      <c r="H44" s="1941"/>
      <c r="I44" s="1941"/>
      <c r="J44" s="1941"/>
      <c r="K44" s="1961"/>
      <c r="L44" s="1941"/>
      <c r="M44" s="1941"/>
    </row>
    <row r="45" spans="1:18" ht="18" customHeight="1">
      <c r="A45" s="791" t="s">
        <v>1869</v>
      </c>
      <c r="B45" s="1307" t="s">
        <v>709</v>
      </c>
      <c r="C45" s="2745" t="e">
        <f ca="1">ROUND(-PV(F45,F46,C44,0),0)</f>
        <v>#N/A</v>
      </c>
      <c r="D45" s="1309" t="s">
        <v>710</v>
      </c>
      <c r="E45" s="794" t="s">
        <v>711</v>
      </c>
      <c r="F45" s="817" t="e">
        <f ca="1">INDIRECT("'数据-取费表'!h"&amp;$G$1)</f>
        <v>#N/A</v>
      </c>
      <c r="G45" s="1941"/>
      <c r="H45" s="1941"/>
      <c r="I45" s="1941"/>
      <c r="J45" s="1941"/>
      <c r="K45" s="1961"/>
      <c r="L45" s="1941"/>
      <c r="M45" s="1941"/>
    </row>
    <row r="46" spans="1:18" ht="18" customHeight="1" thickBot="1">
      <c r="A46" s="818"/>
      <c r="B46" s="1310"/>
      <c r="C46" s="1311"/>
      <c r="D46" s="1312"/>
      <c r="E46" s="2791" t="s">
        <v>2926</v>
      </c>
      <c r="F46" s="815" t="e">
        <f ca="1">IF(INDIRECT("'数据-取费表'!af"&amp;$G$1)=0,INDIRECT("'数据-取费表'!ae"&amp;$G$1),INDIRECT("'数据-取费表'!af"&amp;$G$1))</f>
        <v>#N/A</v>
      </c>
      <c r="G46" s="1941"/>
      <c r="H46" s="1941"/>
      <c r="I46" s="1941"/>
      <c r="J46" s="1941"/>
      <c r="K46" s="1961"/>
      <c r="L46" s="1941"/>
      <c r="M46" s="1941"/>
    </row>
    <row r="47" spans="1:18" s="1938" customFormat="1" ht="18" customHeight="1" thickBot="1">
      <c r="A47" s="1962"/>
      <c r="D47" s="1963"/>
      <c r="E47" s="1963"/>
      <c r="F47" s="1963"/>
      <c r="I47" s="2229" t="s">
        <v>2327</v>
      </c>
      <c r="J47" s="2230"/>
      <c r="K47" s="2231"/>
      <c r="L47" s="2805" t="e">
        <f ca="1">IF(M48="住宅",0,IF(L49&gt;J52,L61,J61))</f>
        <v>#N/A</v>
      </c>
      <c r="O47" s="2245" t="s">
        <v>2394</v>
      </c>
      <c r="P47" s="1523"/>
      <c r="Q47" s="1531"/>
      <c r="R47" s="1523"/>
    </row>
    <row r="48" spans="1:18" s="1938" customFormat="1" ht="18" customHeight="1" thickBot="1">
      <c r="A48" s="1962"/>
      <c r="C48" s="1965"/>
      <c r="D48" s="1966"/>
      <c r="E48" s="1966"/>
      <c r="F48" s="1967"/>
      <c r="G48" s="1968"/>
      <c r="I48" s="2796" t="s">
        <v>2328</v>
      </c>
      <c r="J48" s="2232"/>
      <c r="K48" s="2802" t="s">
        <v>2333</v>
      </c>
      <c r="L48" s="2806" t="e">
        <f ca="1">INDIRECT("'数据-取费表'!d"&amp;$G$1)</f>
        <v>#N/A</v>
      </c>
      <c r="M48" s="2788" t="str">
        <f>IF(ISNUMBER(FIND("住宅",C1)),"住宅","非住宅")</f>
        <v>非住宅</v>
      </c>
      <c r="O48" s="2246" t="s">
        <v>2359</v>
      </c>
      <c r="P48" s="2247" t="s">
        <v>2360</v>
      </c>
      <c r="Q48" s="2248" t="s">
        <v>2361</v>
      </c>
      <c r="R48" s="2247" t="s">
        <v>2362</v>
      </c>
    </row>
    <row r="49" spans="1:18" s="1938" customFormat="1" ht="18" customHeight="1" thickBot="1">
      <c r="A49" s="1962"/>
      <c r="D49" s="1969"/>
      <c r="E49" s="1970"/>
      <c r="F49" s="1967"/>
      <c r="G49" s="1968"/>
      <c r="H49" s="1971"/>
      <c r="I49" s="2793" t="s">
        <v>2329</v>
      </c>
      <c r="J49" s="2233"/>
      <c r="K49" s="2803" t="s">
        <v>2335</v>
      </c>
      <c r="L49" s="1818" t="e">
        <f ca="1">INDIRECT("'数据-取费表'!f"&amp;$G$1)</f>
        <v>#N/A</v>
      </c>
      <c r="O49" s="2249" t="s">
        <v>2363</v>
      </c>
      <c r="P49" s="2250" t="s">
        <v>2389</v>
      </c>
      <c r="Q49" s="2251" t="e">
        <f ca="1">C41+J31</f>
        <v>#N/A</v>
      </c>
      <c r="R49" s="2250" t="s">
        <v>2364</v>
      </c>
    </row>
    <row r="50" spans="1:18" s="1938" customFormat="1" ht="18" customHeight="1" thickBot="1">
      <c r="A50" s="1962"/>
      <c r="D50" s="1972"/>
      <c r="E50" s="1972"/>
      <c r="F50" s="1966"/>
      <c r="G50" s="1973"/>
      <c r="H50" s="1971"/>
      <c r="I50" s="2793" t="s">
        <v>2330</v>
      </c>
      <c r="J50" s="2234"/>
      <c r="K50" s="2804" t="s">
        <v>2336</v>
      </c>
      <c r="L50" s="2235"/>
      <c r="O50" s="2249" t="s">
        <v>2365</v>
      </c>
      <c r="P50" s="2250" t="s">
        <v>2390</v>
      </c>
      <c r="Q50" s="2251" t="e">
        <f ca="1">J61</f>
        <v>#N/A</v>
      </c>
      <c r="R50" s="2250" t="s">
        <v>2366</v>
      </c>
    </row>
    <row r="51" spans="1:18" s="1938" customFormat="1" ht="18" customHeight="1" thickBot="1">
      <c r="A51" s="1974"/>
      <c r="D51" s="1972"/>
      <c r="E51" s="1972"/>
      <c r="F51" s="1963"/>
      <c r="H51" s="1971"/>
      <c r="I51" s="2793" t="s">
        <v>2331</v>
      </c>
      <c r="J51" s="2800">
        <f>SUMPRODUCT((I64:I66=J48)*(J63:L63=J49)*(J64:L66))</f>
        <v>0</v>
      </c>
      <c r="K51" s="2804" t="s">
        <v>2337</v>
      </c>
      <c r="L51" s="2235"/>
      <c r="O51" s="2252" t="s">
        <v>2367</v>
      </c>
      <c r="P51" s="2250" t="s">
        <v>2391</v>
      </c>
      <c r="Q51" s="2251" t="e">
        <f ca="1">C31</f>
        <v>#N/A</v>
      </c>
      <c r="R51" s="2250" t="s">
        <v>2364</v>
      </c>
    </row>
    <row r="52" spans="1:18" s="1938" customFormat="1" ht="18" customHeight="1" thickBot="1">
      <c r="A52" s="1974"/>
      <c r="F52" s="1963"/>
      <c r="I52" s="2797" t="s">
        <v>2332</v>
      </c>
      <c r="J52" s="2801">
        <f>IF(J50="",J51,J50+J51-YEAR('数据-取费表'!B3))</f>
        <v>0</v>
      </c>
      <c r="K52" s="2793" t="s">
        <v>2338</v>
      </c>
      <c r="L52" s="2807" t="e">
        <f ca="1">C45</f>
        <v>#N/A</v>
      </c>
      <c r="O52" s="2252" t="s">
        <v>2368</v>
      </c>
      <c r="P52" s="2250" t="s">
        <v>2369</v>
      </c>
      <c r="Q52" s="2253" t="e">
        <f ca="1">J59</f>
        <v>#N/A</v>
      </c>
      <c r="R52" s="2254"/>
    </row>
    <row r="53" spans="1:18" s="1938" customFormat="1" ht="18" customHeight="1" thickBot="1">
      <c r="A53" s="1974"/>
      <c r="F53" s="1963"/>
      <c r="I53" s="2798" t="s">
        <v>2405</v>
      </c>
      <c r="J53" s="2236"/>
      <c r="K53" s="2798" t="s">
        <v>2404</v>
      </c>
      <c r="L53" s="2236"/>
      <c r="O53" s="2252" t="s">
        <v>2370</v>
      </c>
      <c r="P53" s="2250" t="s">
        <v>2371</v>
      </c>
      <c r="Q53" s="2253">
        <f>J53</f>
        <v>0</v>
      </c>
      <c r="R53" s="2254"/>
    </row>
    <row r="54" spans="1:18" s="1938" customFormat="1" ht="29.25" thickBot="1">
      <c r="A54" s="1974"/>
      <c r="I54" s="2799" t="s">
        <v>2938</v>
      </c>
      <c r="J54" s="2852" t="e">
        <f ca="1">IF(M48="住宅",MAX(J52,L49-'数据-取费表'!B20),MIN(J52,L49-'数据-取费表'!B20))</f>
        <v>#N/A</v>
      </c>
      <c r="K54" s="3867"/>
      <c r="L54" s="3868"/>
      <c r="O54" s="2252" t="s">
        <v>2372</v>
      </c>
      <c r="P54" s="2250" t="s">
        <v>2373</v>
      </c>
      <c r="Q54" s="2251" t="e">
        <f ca="1">J54</f>
        <v>#N/A</v>
      </c>
      <c r="R54" s="2250" t="s">
        <v>2374</v>
      </c>
    </row>
    <row r="55" spans="1:18" s="1938" customFormat="1" ht="18" customHeight="1" thickBot="1">
      <c r="A55" s="1974"/>
      <c r="I55" s="2808"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08"/>
      <c r="K55" s="2809"/>
      <c r="O55" s="2249" t="s">
        <v>2375</v>
      </c>
      <c r="P55" s="2250" t="s">
        <v>2392</v>
      </c>
      <c r="Q55" s="2251" t="e">
        <f ca="1">Q49+Q50</f>
        <v>#N/A</v>
      </c>
      <c r="R55" s="2254" t="s">
        <v>2376</v>
      </c>
    </row>
    <row r="56" spans="1:18" s="1938" customFormat="1" ht="16.5" thickBot="1">
      <c r="A56" s="1974"/>
      <c r="B56" s="1975"/>
      <c r="C56" s="1975"/>
      <c r="I56" s="2810" t="s">
        <v>2339</v>
      </c>
      <c r="J56" s="2782" t="e">
        <f ca="1">ROUND(IF(J48="钢混",J58/J51,1-(1-2%)*(J51-J58)/J51),3)</f>
        <v>#N/A</v>
      </c>
      <c r="K56" s="2811" t="s">
        <v>2340</v>
      </c>
      <c r="L56" s="2237"/>
      <c r="O56" s="2255" t="s">
        <v>2395</v>
      </c>
      <c r="P56" s="1523"/>
      <c r="Q56" s="1531"/>
      <c r="R56" s="1523"/>
    </row>
    <row r="57" spans="1:18" s="1938" customFormat="1" ht="43.5" thickBot="1">
      <c r="A57" s="1974"/>
      <c r="B57" s="1975"/>
      <c r="C57" s="1975"/>
      <c r="I57" s="2812" t="s">
        <v>2341</v>
      </c>
      <c r="J57" s="2822" t="s">
        <v>1668</v>
      </c>
      <c r="K57" s="2793" t="s">
        <v>2346</v>
      </c>
      <c r="L57" s="1818" t="e">
        <f ca="1">IF(L49&lt;J52,"——",L49-J52)</f>
        <v>#N/A</v>
      </c>
      <c r="O57" s="2246" t="s">
        <v>2359</v>
      </c>
      <c r="P57" s="2247" t="s">
        <v>2360</v>
      </c>
      <c r="Q57" s="2248" t="s">
        <v>2361</v>
      </c>
      <c r="R57" s="2247" t="s">
        <v>2362</v>
      </c>
    </row>
    <row r="58" spans="1:18" s="1938" customFormat="1" ht="29.25" thickBot="1">
      <c r="A58" s="1974"/>
      <c r="B58" s="1975"/>
      <c r="C58" s="1975"/>
      <c r="I58" s="2813" t="s">
        <v>2342</v>
      </c>
      <c r="J58" s="2814" t="e">
        <f ca="1">IF(OR(M48="住宅",J52&lt;L49,J57="是"),"——",J52-L49)</f>
        <v>#N/A</v>
      </c>
      <c r="K58" s="2793" t="s">
        <v>2347</v>
      </c>
      <c r="L58" s="1818" t="e">
        <f ca="1">IF(L49&lt;J52,"——",IF(L56="比较法",L50,IF(L56="基准地价",L51,L52)))</f>
        <v>#N/A</v>
      </c>
      <c r="O58" s="2249" t="s">
        <v>2363</v>
      </c>
      <c r="P58" s="2250" t="s">
        <v>2389</v>
      </c>
      <c r="Q58" s="2251" t="e">
        <f ca="1">C41+J31</f>
        <v>#N/A</v>
      </c>
      <c r="R58" s="2250" t="s">
        <v>2364</v>
      </c>
    </row>
    <row r="59" spans="1:18" s="1938" customFormat="1" ht="29.25" thickBot="1">
      <c r="A59" s="1974"/>
      <c r="B59" s="1975"/>
      <c r="C59" s="1975"/>
      <c r="I59" s="2813" t="s">
        <v>2343</v>
      </c>
      <c r="J59" s="2783" t="e">
        <f ca="1">IF(J56&lt;0.4,0.4,J56)</f>
        <v>#N/A</v>
      </c>
      <c r="K59" s="2793" t="s">
        <v>2348</v>
      </c>
      <c r="L59" s="1818">
        <f ca="1">IF(ISERROR(POWER(1+L53,L48-L49)*(POWER(1+L53,L49)-1)/(POWER(1+L53,L48)-1)),0,POWER(1+L53,L48-L49)*(POWER(1+L53,L49)-1)/(POWER(1+L53,L48)-1))</f>
        <v>0</v>
      </c>
      <c r="O59" s="2249" t="s">
        <v>2365</v>
      </c>
      <c r="P59" s="2250" t="s">
        <v>2396</v>
      </c>
      <c r="Q59" s="2251" t="e">
        <f ca="1">L61</f>
        <v>#N/A</v>
      </c>
      <c r="R59" s="2254" t="s">
        <v>2398</v>
      </c>
    </row>
    <row r="60" spans="1:18" s="1938" customFormat="1" ht="29.25" thickBot="1">
      <c r="A60" s="1974"/>
      <c r="B60" s="1975"/>
      <c r="C60" s="1975"/>
      <c r="I60" s="2813" t="s">
        <v>2344</v>
      </c>
      <c r="J60" s="2814" t="e">
        <f ca="1">IF(OR(M48="住宅",J52&lt;L49,J57="是"),"——",ROUND(C30*J59,0))</f>
        <v>#N/A</v>
      </c>
      <c r="K60" s="2793" t="s">
        <v>2349</v>
      </c>
      <c r="L60" s="1818">
        <f ca="1">IF(ISERROR(POWER(1+L53,L48-J52)*(POWER(1+L53,J52)-1)/(POWER(1+L53,L48)-1)),0,POWER(1+L53,L48-J52)*(POWER(1+L53,J52)-1)/(POWER(1+L53,L48)-1))</f>
        <v>0</v>
      </c>
      <c r="O60" s="2252" t="s">
        <v>2367</v>
      </c>
      <c r="P60" s="2250" t="s">
        <v>2397</v>
      </c>
      <c r="Q60" s="2251">
        <f>IF(L56="比较法",L50,IF(L56="基准地价",L51,0))</f>
        <v>0</v>
      </c>
      <c r="R60" s="2250" t="s">
        <v>2364</v>
      </c>
    </row>
    <row r="61" spans="1:18" s="1938" customFormat="1" ht="15.75" thickBot="1">
      <c r="A61" s="1974"/>
      <c r="B61" s="1975"/>
      <c r="C61" s="1975"/>
      <c r="I61" s="2815" t="s">
        <v>2345</v>
      </c>
      <c r="J61" s="2816" t="e">
        <f ca="1">IF(OR(M48="住宅",J52&lt;L49,J57="是"),"0",ROUND(J60/(1+J53)^J54,0))</f>
        <v>#N/A</v>
      </c>
      <c r="K61" s="2817" t="s">
        <v>2350</v>
      </c>
      <c r="L61" s="2816" t="e">
        <f ca="1">IF(OR(M48="住宅",L49&lt;J52),0,ROUND(L58*(L59/L60-1),0))</f>
        <v>#N/A</v>
      </c>
      <c r="O61" s="2252" t="s">
        <v>2368</v>
      </c>
      <c r="P61" s="2250" t="s">
        <v>2377</v>
      </c>
      <c r="Q61" s="2253">
        <f>L53</f>
        <v>0</v>
      </c>
      <c r="R61" s="2254"/>
    </row>
    <row r="62" spans="1:18" s="1938" customFormat="1" ht="20.25" thickBot="1">
      <c r="A62" s="1974"/>
      <c r="B62" s="1975"/>
      <c r="C62" s="1975"/>
      <c r="K62" s="1964"/>
      <c r="O62" s="2252" t="s">
        <v>2370</v>
      </c>
      <c r="P62" s="2250" t="s">
        <v>2378</v>
      </c>
      <c r="Q62" s="2251">
        <f ca="1">L59</f>
        <v>0</v>
      </c>
      <c r="R62" s="2254" t="s">
        <v>2379</v>
      </c>
    </row>
    <row r="63" spans="1:18" s="1938" customFormat="1" ht="20.25" thickBot="1">
      <c r="A63" s="1974"/>
      <c r="B63" s="1975"/>
      <c r="C63" s="1975"/>
      <c r="I63" s="2818" t="s">
        <v>2351</v>
      </c>
      <c r="J63" s="2819" t="s">
        <v>2352</v>
      </c>
      <c r="K63" s="2819" t="s">
        <v>2353</v>
      </c>
      <c r="L63" s="2819" t="s">
        <v>2334</v>
      </c>
      <c r="M63" s="2820" t="s">
        <v>2906</v>
      </c>
      <c r="O63" s="2252" t="s">
        <v>2372</v>
      </c>
      <c r="P63" s="2250" t="s">
        <v>2380</v>
      </c>
      <c r="Q63" s="2251">
        <f ca="1">L60</f>
        <v>0</v>
      </c>
      <c r="R63" s="2254" t="s">
        <v>2381</v>
      </c>
    </row>
    <row r="64" spans="1:18" s="1938" customFormat="1" ht="15.75" thickBot="1">
      <c r="A64" s="1974"/>
      <c r="B64" s="1975"/>
      <c r="C64" s="1975"/>
      <c r="I64" s="2818" t="s">
        <v>2354</v>
      </c>
      <c r="J64" s="2819">
        <v>70</v>
      </c>
      <c r="K64" s="2819">
        <v>50</v>
      </c>
      <c r="L64" s="2819">
        <v>80</v>
      </c>
      <c r="M64" s="2821">
        <v>0.02</v>
      </c>
      <c r="O64" s="2249" t="s">
        <v>2375</v>
      </c>
      <c r="P64" s="2250" t="s">
        <v>2392</v>
      </c>
      <c r="Q64" s="2251" t="e">
        <f ca="1">Q58+Q59</f>
        <v>#N/A</v>
      </c>
      <c r="R64" s="2254" t="s">
        <v>2376</v>
      </c>
    </row>
    <row r="65" spans="1:18" s="1938" customFormat="1" ht="16.5" thickBot="1">
      <c r="A65" s="1974"/>
      <c r="B65" s="1975"/>
      <c r="C65" s="1975"/>
      <c r="I65" s="2818" t="s">
        <v>2355</v>
      </c>
      <c r="J65" s="2819">
        <v>50</v>
      </c>
      <c r="K65" s="2819">
        <v>35</v>
      </c>
      <c r="L65" s="2819">
        <v>60</v>
      </c>
      <c r="M65" s="833">
        <v>0</v>
      </c>
      <c r="O65" s="2255" t="s">
        <v>2399</v>
      </c>
      <c r="P65" s="1523"/>
      <c r="Q65" s="1531"/>
      <c r="R65" s="1523"/>
    </row>
    <row r="66" spans="1:18" s="1938" customFormat="1" ht="15.75" thickBot="1">
      <c r="A66" s="1974"/>
      <c r="B66" s="1975"/>
      <c r="C66" s="1975"/>
      <c r="I66" s="2818" t="s">
        <v>2356</v>
      </c>
      <c r="J66" s="2819">
        <v>40</v>
      </c>
      <c r="K66" s="2819">
        <v>30</v>
      </c>
      <c r="L66" s="2819">
        <v>50</v>
      </c>
      <c r="M66" s="2821">
        <v>0.02</v>
      </c>
      <c r="O66" s="2246" t="s">
        <v>2359</v>
      </c>
      <c r="P66" s="2247" t="s">
        <v>2360</v>
      </c>
      <c r="Q66" s="2248" t="s">
        <v>2361</v>
      </c>
      <c r="R66" s="2247" t="s">
        <v>2362</v>
      </c>
    </row>
    <row r="67" spans="1:18" s="1938" customFormat="1" ht="15.75" thickBot="1">
      <c r="A67" s="1974"/>
      <c r="B67" s="1975"/>
      <c r="C67" s="1975"/>
      <c r="K67" s="1964"/>
      <c r="O67" s="2249" t="s">
        <v>2363</v>
      </c>
      <c r="P67" s="2250" t="s">
        <v>2389</v>
      </c>
      <c r="Q67" s="2251" t="e">
        <f ca="1">C41+J31</f>
        <v>#N/A</v>
      </c>
      <c r="R67" s="2250" t="s">
        <v>2364</v>
      </c>
    </row>
    <row r="68" spans="1:18" s="1938" customFormat="1" ht="20.25" thickBot="1">
      <c r="A68" s="1974"/>
      <c r="B68" s="1975"/>
      <c r="C68" s="1975"/>
      <c r="K68" s="1964"/>
      <c r="O68" s="2249" t="s">
        <v>2365</v>
      </c>
      <c r="P68" s="2250" t="s">
        <v>2396</v>
      </c>
      <c r="Q68" s="2251" t="e">
        <f ca="1">L61</f>
        <v>#N/A</v>
      </c>
      <c r="R68" s="2254" t="s">
        <v>2398</v>
      </c>
    </row>
    <row r="69" spans="1:18" s="1938" customFormat="1" ht="21.75" thickBot="1">
      <c r="A69" s="1974"/>
      <c r="B69" s="1975"/>
      <c r="C69" s="1975"/>
      <c r="K69" s="1964"/>
      <c r="O69" s="2252" t="s">
        <v>2367</v>
      </c>
      <c r="P69" s="2250" t="s">
        <v>2397</v>
      </c>
      <c r="Q69" s="2256" t="e">
        <f ca="1">L52</f>
        <v>#N/A</v>
      </c>
      <c r="R69" s="2257" t="s">
        <v>2400</v>
      </c>
    </row>
    <row r="70" spans="1:18" s="1938" customFormat="1" ht="20.25" thickBot="1">
      <c r="A70" s="1974"/>
      <c r="B70" s="1975"/>
      <c r="C70" s="1975"/>
      <c r="K70" s="1964"/>
      <c r="O70" s="2252" t="s">
        <v>2368</v>
      </c>
      <c r="P70" s="2258" t="s">
        <v>2382</v>
      </c>
      <c r="Q70" s="2251" t="e">
        <f ca="1">ROUND(Q71-Q72*Q73,0)</f>
        <v>#N/A</v>
      </c>
      <c r="R70" s="2254"/>
    </row>
    <row r="71" spans="1:18" s="1938" customFormat="1" ht="15.75" thickBot="1">
      <c r="A71" s="1974"/>
      <c r="B71" s="1975"/>
      <c r="C71" s="1975"/>
      <c r="K71" s="1964"/>
      <c r="O71" s="2252" t="s">
        <v>2383</v>
      </c>
      <c r="P71" s="2258" t="s">
        <v>2384</v>
      </c>
      <c r="Q71" s="2251" t="e">
        <f ca="1">C42</f>
        <v>#N/A</v>
      </c>
      <c r="R71" s="2250" t="s">
        <v>2364</v>
      </c>
    </row>
    <row r="72" spans="1:18" s="1938" customFormat="1" ht="15.75" thickBot="1">
      <c r="A72" s="1974"/>
      <c r="B72" s="1975"/>
      <c r="C72" s="1975"/>
      <c r="K72" s="1964"/>
      <c r="O72" s="2252" t="s">
        <v>2385</v>
      </c>
      <c r="P72" s="2258" t="s">
        <v>2386</v>
      </c>
      <c r="Q72" s="2251" t="e">
        <f ca="1">C15</f>
        <v>#N/A</v>
      </c>
      <c r="R72" s="2250" t="s">
        <v>2364</v>
      </c>
    </row>
    <row r="73" spans="1:18" s="1938" customFormat="1" ht="15.75" thickBot="1">
      <c r="A73" s="1974"/>
      <c r="B73" s="1975"/>
      <c r="C73" s="1975"/>
      <c r="K73" s="1964"/>
      <c r="O73" s="2252" t="s">
        <v>2387</v>
      </c>
      <c r="P73" s="2258" t="s">
        <v>2388</v>
      </c>
      <c r="Q73" s="2253" t="e">
        <f ca="1">F43</f>
        <v>#N/A</v>
      </c>
      <c r="R73" s="2254"/>
    </row>
    <row r="74" spans="1:18" s="1938" customFormat="1" ht="15.75" thickBot="1">
      <c r="A74" s="1974"/>
      <c r="B74" s="1975"/>
      <c r="C74" s="1975"/>
      <c r="K74" s="1964"/>
      <c r="O74" s="2252" t="s">
        <v>2370</v>
      </c>
      <c r="P74" s="2250" t="s">
        <v>2377</v>
      </c>
      <c r="Q74" s="2253">
        <f>L53</f>
        <v>0</v>
      </c>
      <c r="R74" s="2254"/>
    </row>
    <row r="75" spans="1:18" s="1938" customFormat="1" ht="20.25" thickBot="1">
      <c r="A75" s="1974"/>
      <c r="B75" s="1975"/>
      <c r="C75" s="1975"/>
      <c r="K75" s="1964"/>
      <c r="O75" s="2252" t="s">
        <v>2372</v>
      </c>
      <c r="P75" s="2250" t="s">
        <v>2378</v>
      </c>
      <c r="Q75" s="2251">
        <f ca="1">L59</f>
        <v>0</v>
      </c>
      <c r="R75" s="2254" t="s">
        <v>2379</v>
      </c>
    </row>
    <row r="76" spans="1:18" s="1938" customFormat="1" ht="20.25" thickBot="1">
      <c r="A76" s="1974"/>
      <c r="B76" s="1975"/>
      <c r="C76" s="1975"/>
      <c r="K76" s="1964"/>
      <c r="O76" s="2252" t="s">
        <v>2401</v>
      </c>
      <c r="P76" s="2250" t="s">
        <v>2380</v>
      </c>
      <c r="Q76" s="2251">
        <f ca="1">L60</f>
        <v>0</v>
      </c>
      <c r="R76" s="2254" t="s">
        <v>2381</v>
      </c>
    </row>
    <row r="77" spans="1:18" s="1938" customFormat="1" ht="15.75" thickBot="1">
      <c r="A77" s="1974"/>
      <c r="B77" s="1975"/>
      <c r="C77" s="1975"/>
      <c r="K77" s="1964"/>
      <c r="O77" s="2249" t="s">
        <v>2375</v>
      </c>
      <c r="P77" s="2250" t="s">
        <v>2392</v>
      </c>
      <c r="Q77" s="2251" t="e">
        <f ca="1">Q67+Q68</f>
        <v>#N/A</v>
      </c>
      <c r="R77" s="2254" t="s">
        <v>2376</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68" priority="6">
      <formula>$F$12="自定义"</formula>
    </cfRule>
  </conditionalFormatting>
  <conditionalFormatting sqref="J13">
    <cfRule type="expression" dxfId="67" priority="5">
      <formula>$M$10="自定义"</formula>
    </cfRule>
  </conditionalFormatting>
  <conditionalFormatting sqref="K56">
    <cfRule type="expression" dxfId="66" priority="3">
      <formula>$L$48&gt;$J$51</formula>
    </cfRule>
  </conditionalFormatting>
  <conditionalFormatting sqref="I56">
    <cfRule type="expression" dxfId="65" priority="4">
      <formula>$J$51&gt;$L$48</formula>
    </cfRule>
  </conditionalFormatting>
  <conditionalFormatting sqref="I61">
    <cfRule type="expression" dxfId="64" priority="2">
      <formula>$J$51&gt;$L$48</formula>
    </cfRule>
  </conditionalFormatting>
  <conditionalFormatting sqref="K61">
    <cfRule type="expression" dxfId="6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53.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875" style="1939" customWidth="1"/>
    <col min="6" max="6" width="10.625" style="1939" customWidth="1"/>
    <col min="7" max="7" width="4.875" style="1939" customWidth="1"/>
    <col min="8" max="8" width="8.5" style="1939" customWidth="1"/>
    <col min="9" max="9" width="21.125" style="1939" customWidth="1"/>
    <col min="10" max="10" width="12.1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875" style="1975" customWidth="1"/>
    <col min="18" max="18" width="23.5" style="1938" customWidth="1"/>
    <col min="19" max="19" width="1.5" style="1938" customWidth="1"/>
    <col min="20" max="33" width="9" style="1938"/>
    <col min="34" max="16384" width="9" style="1939"/>
  </cols>
  <sheetData>
    <row r="1" spans="1:33" s="1933" customFormat="1" ht="21">
      <c r="A1" s="819" t="s">
        <v>1715</v>
      </c>
      <c r="B1" s="728"/>
      <c r="C1" s="761"/>
      <c r="D1" s="2792" t="s">
        <v>943</v>
      </c>
      <c r="E1" s="2238" t="s">
        <v>2358</v>
      </c>
      <c r="F1" s="2239" t="e">
        <f ca="1">J53</f>
        <v>#N/A</v>
      </c>
      <c r="G1" s="3252" t="e">
        <f>MATCH(C1,'数据-取费表'!A6:A16,0)+5</f>
        <v>#N/A</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5" t="s">
        <v>1716</v>
      </c>
      <c r="B2" s="763" t="e">
        <f ca="1">C40+J29+L46</f>
        <v>#N/A</v>
      </c>
      <c r="C2" s="3257"/>
      <c r="D2" s="3258"/>
      <c r="E2" s="3259"/>
      <c r="F2" s="3259"/>
      <c r="G2" s="3253"/>
      <c r="H2" s="1936"/>
      <c r="I2" s="1936"/>
      <c r="J2" s="1936"/>
      <c r="K2" s="1937"/>
      <c r="L2" s="1936"/>
      <c r="M2" s="1936"/>
    </row>
    <row r="3" spans="1:33" ht="18" customHeight="1" thickBot="1">
      <c r="A3" s="820" t="s">
        <v>1717</v>
      </c>
      <c r="B3" s="821">
        <f ca="1">IF(ISERROR(B2*10000/F43),0,ROUND(B2*10000/F43,0))</f>
        <v>0</v>
      </c>
      <c r="C3" s="3257"/>
      <c r="D3" s="3258"/>
      <c r="E3" s="3259"/>
      <c r="F3" s="3259"/>
      <c r="G3" s="3253"/>
      <c r="H3" s="764" t="s">
        <v>689</v>
      </c>
      <c r="I3" s="1314"/>
      <c r="J3" s="1314"/>
      <c r="K3" s="1522"/>
      <c r="L3" s="1314"/>
      <c r="M3" s="1314"/>
    </row>
    <row r="4" spans="1:33" ht="18" customHeight="1">
      <c r="A4" s="765" t="s">
        <v>1718</v>
      </c>
      <c r="B4" s="766" t="s">
        <v>1719</v>
      </c>
      <c r="C4" s="766" t="s">
        <v>1720</v>
      </c>
      <c r="D4" s="766" t="s">
        <v>627</v>
      </c>
      <c r="E4" s="767" t="s">
        <v>1721</v>
      </c>
      <c r="F4" s="768"/>
      <c r="G4" s="1941"/>
      <c r="H4" s="765" t="s">
        <v>1722</v>
      </c>
      <c r="I4" s="766" t="s">
        <v>1723</v>
      </c>
      <c r="J4" s="766" t="s">
        <v>1724</v>
      </c>
      <c r="K4" s="766" t="s">
        <v>1725</v>
      </c>
      <c r="L4" s="767" t="s">
        <v>1726</v>
      </c>
      <c r="M4" s="768"/>
    </row>
    <row r="5" spans="1:33" ht="18" customHeight="1">
      <c r="A5" s="769">
        <v>1</v>
      </c>
      <c r="B5" s="770" t="s">
        <v>2439</v>
      </c>
      <c r="C5" s="55" t="e">
        <f ca="1">C6+C10+C12</f>
        <v>#N/A</v>
      </c>
      <c r="D5" s="2345" t="s">
        <v>2442</v>
      </c>
      <c r="E5" s="2339"/>
      <c r="F5" s="2340"/>
      <c r="G5" s="1941"/>
      <c r="H5" s="769">
        <v>1</v>
      </c>
      <c r="I5" s="770" t="s">
        <v>2439</v>
      </c>
      <c r="J5" s="55" t="e">
        <f ca="1">J6+J10+J12</f>
        <v>#N/A</v>
      </c>
      <c r="K5" s="2345" t="s">
        <v>2442</v>
      </c>
      <c r="L5" s="2339"/>
      <c r="M5" s="2340"/>
    </row>
    <row r="6" spans="1:33" ht="18" customHeight="1">
      <c r="A6" s="1741" t="s">
        <v>1814</v>
      </c>
      <c r="B6" s="3863" t="s">
        <v>2444</v>
      </c>
      <c r="C6" s="771" t="e">
        <f ca="1">ROUND(F6*F8*F7*(1-F9)/10000,0)</f>
        <v>#N/A</v>
      </c>
      <c r="D6" s="2346" t="s">
        <v>2443</v>
      </c>
      <c r="E6" s="772" t="s">
        <v>1728</v>
      </c>
      <c r="F6" s="773" t="e">
        <f ca="1">INDIRECT("'数据-取费表'!u"&amp;$G$1)</f>
        <v>#N/A</v>
      </c>
      <c r="G6" s="1941"/>
      <c r="H6" s="2353" t="s">
        <v>2449</v>
      </c>
      <c r="I6" s="3863" t="s">
        <v>2444</v>
      </c>
      <c r="J6" s="771" t="e">
        <f ca="1">ROUND(M6*M8*M7*(1-M9)/10000,0)</f>
        <v>#N/A</v>
      </c>
      <c r="K6" s="337" t="s">
        <v>1727</v>
      </c>
      <c r="L6" s="772" t="s">
        <v>1728</v>
      </c>
      <c r="M6" s="773" t="e">
        <f ca="1">INDIRECT("'数据-取费表'!z"&amp;$G$1)</f>
        <v>#N/A</v>
      </c>
    </row>
    <row r="7" spans="1:33" ht="18" customHeight="1">
      <c r="A7" s="2349"/>
      <c r="B7" s="3864"/>
      <c r="C7" s="776"/>
      <c r="D7" s="777"/>
      <c r="E7" s="772" t="s">
        <v>1729</v>
      </c>
      <c r="F7" s="773" t="e">
        <f ca="1">IF(INDIRECT("'数据-取费表'!ah"&amp;$G$1)="",INDIRECT("'数据-取费表'!k"&amp;$G$1),INDIRECT("'数据-取费表'!ah"&amp;$G$1))</f>
        <v>#N/A</v>
      </c>
      <c r="G7" s="1941"/>
      <c r="H7" s="2338"/>
      <c r="I7" s="3864"/>
      <c r="J7" s="776"/>
      <c r="K7" s="777"/>
      <c r="L7" s="772" t="s">
        <v>1729</v>
      </c>
      <c r="M7" s="773" t="e">
        <f ca="1">F7</f>
        <v>#N/A</v>
      </c>
    </row>
    <row r="8" spans="1:33" ht="18" customHeight="1">
      <c r="A8" s="2342"/>
      <c r="B8" s="3865"/>
      <c r="C8" s="776"/>
      <c r="D8" s="777"/>
      <c r="E8" s="772" t="s">
        <v>1730</v>
      </c>
      <c r="F8" s="773" t="e">
        <f ca="1">INDIRECT("'数据-取费表'!ai"&amp;$G$1)</f>
        <v>#N/A</v>
      </c>
      <c r="G8" s="1941"/>
      <c r="H8" s="2338"/>
      <c r="I8" s="3865"/>
      <c r="J8" s="776"/>
      <c r="K8" s="777"/>
      <c r="L8" s="772" t="s">
        <v>1730</v>
      </c>
      <c r="M8" s="773" t="e">
        <f ca="1">INDIRECT("'数据-取费表'!ai"&amp;$G$1)</f>
        <v>#N/A</v>
      </c>
    </row>
    <row r="9" spans="1:33" ht="18" customHeight="1">
      <c r="A9" s="774"/>
      <c r="B9" s="3866"/>
      <c r="C9" s="776"/>
      <c r="D9" s="777"/>
      <c r="E9" s="772" t="s">
        <v>1731</v>
      </c>
      <c r="F9" s="782" t="e">
        <f ca="1">INDIRECT("'数据-取费表'!w"&amp;$G$1)</f>
        <v>#N/A</v>
      </c>
      <c r="G9" s="1941"/>
      <c r="H9" s="2354"/>
      <c r="I9" s="3865"/>
      <c r="J9" s="776"/>
      <c r="K9" s="777"/>
      <c r="L9" s="783" t="s">
        <v>1731</v>
      </c>
      <c r="M9" s="784" t="e">
        <f ca="1">INDIRECT("'数据-取费表'!ab"&amp;$G$1)</f>
        <v>#N/A</v>
      </c>
    </row>
    <row r="10" spans="1:33" ht="18" customHeight="1">
      <c r="A10" s="1741" t="s">
        <v>2447</v>
      </c>
      <c r="B10" s="2343" t="s">
        <v>2440</v>
      </c>
      <c r="C10" s="787">
        <f ca="1">ROUND(IF(F10="押一",C6/12*F11,IF(F10="押二",C6/12*2*F11,IF(F10="押三",C6/12*3*F11,C11*F11))),0)</f>
        <v>0</v>
      </c>
      <c r="D10" s="2350" t="s">
        <v>2934</v>
      </c>
      <c r="E10" s="2347" t="s">
        <v>2445</v>
      </c>
      <c r="F10" s="2461"/>
      <c r="G10" s="1941"/>
      <c r="H10" s="2410" t="s">
        <v>2450</v>
      </c>
      <c r="I10" s="2415" t="s">
        <v>2440</v>
      </c>
      <c r="J10" s="771">
        <f ca="1">ROUND(IF(M10="押一",J6/12*M11,IF(M10="押二",J6/12*2*M11,IF(M10="押三",J6/12*3*M11,J11*M11))),0)</f>
        <v>0</v>
      </c>
      <c r="K10" s="2350" t="s">
        <v>2934</v>
      </c>
      <c r="L10" s="2347" t="s">
        <v>2445</v>
      </c>
      <c r="M10" s="2461"/>
    </row>
    <row r="11" spans="1:33" ht="18" customHeight="1">
      <c r="A11" s="778"/>
      <c r="B11" s="2344" t="s">
        <v>2554</v>
      </c>
      <c r="C11" s="2348"/>
      <c r="D11" s="777"/>
      <c r="E11" s="2347" t="s">
        <v>2446</v>
      </c>
      <c r="F11" s="784">
        <f ca="1">'数据-取费表'!B39</f>
        <v>1.4999999999999999E-2</v>
      </c>
      <c r="G11" s="1941"/>
      <c r="H11" s="2411"/>
      <c r="I11" s="2344" t="s">
        <v>2554</v>
      </c>
      <c r="J11" s="2348"/>
      <c r="K11" s="2412"/>
      <c r="L11" s="2347" t="s">
        <v>2446</v>
      </c>
      <c r="M11" s="2341">
        <f ca="1">'数据-取费表'!B39</f>
        <v>1.4999999999999999E-2</v>
      </c>
    </row>
    <row r="12" spans="1:33" ht="18" customHeight="1" thickBot="1">
      <c r="A12" s="2386" t="s">
        <v>2448</v>
      </c>
      <c r="B12" s="2387" t="s">
        <v>2441</v>
      </c>
      <c r="C12" s="2388"/>
      <c r="D12" s="2389"/>
      <c r="E12" s="2390"/>
      <c r="F12" s="2391"/>
      <c r="G12" s="1941"/>
      <c r="H12" s="2400" t="s">
        <v>2451</v>
      </c>
      <c r="I12" s="2413" t="s">
        <v>2441</v>
      </c>
      <c r="J12" s="2414"/>
      <c r="K12" s="2389"/>
      <c r="L12" s="2390"/>
      <c r="M12" s="2403"/>
    </row>
    <row r="13" spans="1:33" ht="18" customHeight="1" thickTop="1">
      <c r="A13" s="1740">
        <v>2</v>
      </c>
      <c r="B13" s="1738" t="s">
        <v>1732</v>
      </c>
      <c r="C13" s="780" t="e">
        <f ca="1">ROUND(C29*F13,0)</f>
        <v>#N/A</v>
      </c>
      <c r="D13" s="1745" t="s">
        <v>2284</v>
      </c>
      <c r="E13" s="1745" t="s">
        <v>1734</v>
      </c>
      <c r="F13" s="2385" t="e">
        <f ca="1">INDIRECT("'数据-取费表'!y"&amp;$G$1)</f>
        <v>#N/A</v>
      </c>
      <c r="G13" s="1941"/>
      <c r="H13" s="1740">
        <v>2</v>
      </c>
      <c r="I13" s="1738" t="s">
        <v>1732</v>
      </c>
      <c r="J13" s="1730" t="e">
        <f ca="1">ROUND(J14*J15,0)</f>
        <v>#N/A</v>
      </c>
      <c r="K13" s="1732" t="s">
        <v>1733</v>
      </c>
      <c r="L13" s="2401"/>
      <c r="M13" s="2402"/>
    </row>
    <row r="14" spans="1:33" ht="18" customHeight="1">
      <c r="A14" s="1573" t="s">
        <v>1874</v>
      </c>
      <c r="B14" s="772" t="s">
        <v>639</v>
      </c>
      <c r="C14" s="792" t="e">
        <f ca="1">INDIRECT("'数据-取费表'!m"&amp;$G$1)+INDIRECT("'数据-取费表'!t"&amp;$G$1)</f>
        <v>#N/A</v>
      </c>
      <c r="D14" s="1889" t="s">
        <v>1735</v>
      </c>
      <c r="E14" s="1890"/>
      <c r="F14" s="793"/>
      <c r="G14" s="1941"/>
      <c r="H14" s="1574" t="s">
        <v>1820</v>
      </c>
      <c r="I14" s="2107" t="s">
        <v>2804</v>
      </c>
      <c r="J14" s="53" t="e">
        <f ca="1">C29</f>
        <v>#N/A</v>
      </c>
      <c r="K14" s="26"/>
      <c r="L14" s="789"/>
      <c r="M14" s="790"/>
    </row>
    <row r="15" spans="1:33" s="1943" customFormat="1" ht="18" customHeight="1" thickBot="1">
      <c r="A15" s="1573" t="s">
        <v>1875</v>
      </c>
      <c r="B15" s="772" t="s">
        <v>641</v>
      </c>
      <c r="C15" s="53" t="e">
        <f ca="1">ROUND(C14*F15,0)</f>
        <v>#N/A</v>
      </c>
      <c r="D15" s="794" t="s">
        <v>1736</v>
      </c>
      <c r="E15" s="794" t="s">
        <v>1737</v>
      </c>
      <c r="F15" s="795">
        <f>'数据-取费表'!B33</f>
        <v>0.03</v>
      </c>
      <c r="G15" s="3254"/>
      <c r="H15" s="2400" t="s">
        <v>1879</v>
      </c>
      <c r="I15" s="2395" t="s">
        <v>1734</v>
      </c>
      <c r="J15" s="2404" t="e">
        <f ca="1">INDIRECT("'数据-取费表'!ad"&amp;$G$1)</f>
        <v>#N/A</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3" t="s">
        <v>1876</v>
      </c>
      <c r="B16" s="772" t="s">
        <v>644</v>
      </c>
      <c r="C16" s="53" t="e">
        <f ca="1">ROUND(INDIRECT("'数据-取费表'!m"&amp;$G$1)*F16,0)</f>
        <v>#N/A</v>
      </c>
      <c r="D16" s="772" t="s">
        <v>1736</v>
      </c>
      <c r="E16" s="772" t="s">
        <v>1737</v>
      </c>
      <c r="F16" s="797" t="e">
        <f ca="1">IF(INDIRECT("'数据-取费表'!c"&amp;$G$1)="住宅",'数据-取费表'!B34,0)</f>
        <v>#N/A</v>
      </c>
      <c r="G16" s="1941"/>
      <c r="H16" s="1740" t="s">
        <v>1738</v>
      </c>
      <c r="I16" s="1738" t="s">
        <v>1739</v>
      </c>
      <c r="J16" s="780" t="e">
        <f ca="1">ROUND(J17+J22+J23+J24,0)</f>
        <v>#N/A</v>
      </c>
      <c r="K16" s="1732" t="s">
        <v>1740</v>
      </c>
      <c r="L16" s="2335"/>
      <c r="M16" s="2340"/>
    </row>
    <row r="17" spans="1:33" s="1943" customFormat="1" ht="18" customHeight="1">
      <c r="A17" s="1573" t="s">
        <v>1877</v>
      </c>
      <c r="B17" s="772" t="s">
        <v>647</v>
      </c>
      <c r="C17" s="53" t="e">
        <f ca="1">ROUND(F17*(F43+INDIRECT("'数据-取费表'!S"&amp;$G$1))/10000,0)</f>
        <v>#N/A</v>
      </c>
      <c r="D17" s="772" t="s">
        <v>1741</v>
      </c>
      <c r="E17" s="772" t="s">
        <v>1742</v>
      </c>
      <c r="F17" s="56">
        <f>'数据-取费表'!B35</f>
        <v>200</v>
      </c>
      <c r="G17" s="3254"/>
      <c r="H17" s="1574" t="s">
        <v>1820</v>
      </c>
      <c r="I17" s="772" t="s">
        <v>650</v>
      </c>
      <c r="J17" s="3013" t="e">
        <f ca="1">ROUND(IF(AND(项目基本情况!B11="自然人",项目基本情况!B10="北京市"),J6*M17/(1+'数据-取费表'!C42),J18+J19+J20),0)</f>
        <v>#N/A</v>
      </c>
      <c r="K17" s="2334" t="s">
        <v>1743</v>
      </c>
      <c r="L17" s="2333" t="s">
        <v>1744</v>
      </c>
      <c r="M17" s="3012"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3" t="s">
        <v>1878</v>
      </c>
      <c r="B18" s="772" t="s">
        <v>653</v>
      </c>
      <c r="C18" s="53" t="e">
        <f ca="1">ROUND(C14*F18,0)</f>
        <v>#N/A</v>
      </c>
      <c r="D18" s="772" t="s">
        <v>1736</v>
      </c>
      <c r="E18" s="772" t="s">
        <v>1737</v>
      </c>
      <c r="F18" s="797">
        <f>'数据-取费表'!B36</f>
        <v>1.4999999999999999E-2</v>
      </c>
      <c r="G18" s="3254"/>
      <c r="H18" s="1573" t="s">
        <v>1874</v>
      </c>
      <c r="I18" s="772" t="s">
        <v>1745</v>
      </c>
      <c r="J18" s="53" t="e">
        <f ca="1">ROUND(J6*M18/(1+'数据-取费表'!C42),1)</f>
        <v>#N/A</v>
      </c>
      <c r="K18" s="2333" t="s">
        <v>1746</v>
      </c>
      <c r="L18" s="772" t="s">
        <v>1737</v>
      </c>
      <c r="M18" s="797">
        <f>'数据-取费表'!B41</f>
        <v>5.6000000000000001E-2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4" t="s">
        <v>1820</v>
      </c>
      <c r="B19" s="772" t="s">
        <v>656</v>
      </c>
      <c r="C19" s="53" t="e">
        <f ca="1">SUM(C14:C18)</f>
        <v>#N/A</v>
      </c>
      <c r="D19" s="257" t="s">
        <v>1747</v>
      </c>
      <c r="E19" s="1892"/>
      <c r="F19" s="56"/>
      <c r="G19" s="1941"/>
      <c r="H19" s="1573" t="s">
        <v>1875</v>
      </c>
      <c r="I19" s="772" t="s">
        <v>1748</v>
      </c>
      <c r="J19" s="53" t="e">
        <f ca="1">IF(K19="按租金收入计税",ROUND(J6*M19/(1+'数据-取费表'!C42),1),ROUND(C29*F33*0.7,1))</f>
        <v>#N/A</v>
      </c>
      <c r="K19" s="798" t="s">
        <v>659</v>
      </c>
      <c r="L19" s="772" t="s">
        <v>1737</v>
      </c>
      <c r="M19" s="797">
        <f>IF(K19="按租金收入计税",'数据-取费表'!B51,'数据-取费表'!B50)</f>
        <v>1.2E-2</v>
      </c>
    </row>
    <row r="20" spans="1:33" s="1943" customFormat="1" ht="18" customHeight="1">
      <c r="A20" s="1574" t="s">
        <v>1879</v>
      </c>
      <c r="B20" s="772" t="s">
        <v>660</v>
      </c>
      <c r="C20" s="53" t="e">
        <f ca="1">ROUND(C19*F20,0)</f>
        <v>#N/A</v>
      </c>
      <c r="D20" s="799" t="s">
        <v>1749</v>
      </c>
      <c r="E20" s="772" t="s">
        <v>1737</v>
      </c>
      <c r="F20" s="797">
        <f>'数据-取费表'!B37</f>
        <v>0.01</v>
      </c>
      <c r="G20" s="3254"/>
      <c r="H20" s="1576" t="s">
        <v>1870</v>
      </c>
      <c r="I20" s="337" t="s">
        <v>1750</v>
      </c>
      <c r="J20" s="54" t="e">
        <f ca="1">ROUND(M20*M21/10000,0)</f>
        <v>#N/A</v>
      </c>
      <c r="K20" s="801" t="s">
        <v>1751</v>
      </c>
      <c r="L20" s="772" t="s">
        <v>1752</v>
      </c>
      <c r="M20" s="630">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4" t="s">
        <v>1880</v>
      </c>
      <c r="B21" s="772" t="s">
        <v>1753</v>
      </c>
      <c r="C21" s="53" t="s">
        <v>1754</v>
      </c>
      <c r="D21" s="799" t="s">
        <v>2285</v>
      </c>
      <c r="E21" s="772" t="s">
        <v>1755</v>
      </c>
      <c r="F21" s="797">
        <f>'数据-取费表'!B38</f>
        <v>0.01</v>
      </c>
      <c r="G21" s="3254"/>
      <c r="H21" s="2355"/>
      <c r="I21" s="781"/>
      <c r="J21" s="69"/>
      <c r="K21" s="803"/>
      <c r="L21" s="772" t="s">
        <v>1756</v>
      </c>
      <c r="M21" s="773" t="e">
        <f ca="1">INDIRECT("'数据-取费表'!r"&amp;$G$1)</f>
        <v>#N/A</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4" t="s">
        <v>1881</v>
      </c>
      <c r="B22" s="772" t="s">
        <v>1757</v>
      </c>
      <c r="C22" s="53"/>
      <c r="D22" s="2420" t="str">
        <f>IF(F23&lt;=1,"单利计息。","复利计息。")&amp;"建造成本、管理费用、销售费用产生的利息。"</f>
        <v>复利计息。建造成本、管理费用、销售费用产生的利息。</v>
      </c>
      <c r="E22" s="1892"/>
      <c r="F22" s="56"/>
      <c r="G22" s="1941"/>
      <c r="H22" s="1574" t="s">
        <v>1879</v>
      </c>
      <c r="I22" s="772" t="s">
        <v>1758</v>
      </c>
      <c r="J22" s="53" t="e">
        <f ca="1">ROUND(J14*M22,0)</f>
        <v>#N/A</v>
      </c>
      <c r="K22" s="2333" t="s">
        <v>1759</v>
      </c>
      <c r="L22" s="772" t="s">
        <v>1737</v>
      </c>
      <c r="M22" s="804" t="e">
        <f ca="1">INDIRECT("'数据-取费表'!Ak"&amp;$G$1)</f>
        <v>#N/A</v>
      </c>
    </row>
    <row r="23" spans="1:33" s="1943" customFormat="1" ht="18" customHeight="1">
      <c r="A23" s="1573" t="s">
        <v>1821</v>
      </c>
      <c r="B23" s="772" t="s">
        <v>2516</v>
      </c>
      <c r="C23" s="53" t="e">
        <f ca="1">ROUND(IF('数据-取费表'!B22&lt;=1,(C19+C20)*F24*F23/2,(C19+C20)*(POWER((1+F24),F23/2)-1)),0)</f>
        <v>#N/A</v>
      </c>
      <c r="D23" s="2419" t="str">
        <f>IF(F23&lt;=1,"(建造成本+管理费用)×利率×(建设周期÷2)","(建造成本+管理费用)×((1+利率)^(建设周期÷2)-1)")</f>
        <v>(建造成本+管理费用)×((1+利率)^(建设周期÷2)-1)</v>
      </c>
      <c r="E23" s="772" t="s">
        <v>1760</v>
      </c>
      <c r="F23" s="630">
        <f>'数据-取费表'!B20</f>
        <v>2</v>
      </c>
      <c r="G23" s="3254"/>
      <c r="H23" s="1574" t="s">
        <v>1880</v>
      </c>
      <c r="I23" s="772" t="s">
        <v>673</v>
      </c>
      <c r="J23" s="53" t="e">
        <f ca="1">ROUND(J13*M23,0)</f>
        <v>#N/A</v>
      </c>
      <c r="K23" s="2333" t="s">
        <v>1761</v>
      </c>
      <c r="L23" s="772" t="s">
        <v>1737</v>
      </c>
      <c r="M23" s="805" t="e">
        <f ca="1">INDIRECT("'数据-取费表'!Al"&amp;$G$1)</f>
        <v>#N/A</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3" t="s">
        <v>1822</v>
      </c>
      <c r="B24" s="772" t="s">
        <v>1762</v>
      </c>
      <c r="C24" s="53">
        <f ca="1">ROUND(IF('数据-取费表'!B22&lt;=1,F21*F24*F23/2,F21*(POWER((1+F24),F23/2)-1)),4)</f>
        <v>5.0000000000000001E-4</v>
      </c>
      <c r="D24" s="2419" t="str">
        <f>IF(F23&lt;=1,"销售费用×利率×(建设周期÷2)","销售费用×((1+利率)^(建设周期÷2)-1)")</f>
        <v>销售费用×((1+利率)^(建设周期÷2)-1)</v>
      </c>
      <c r="E24" s="772" t="s">
        <v>1763</v>
      </c>
      <c r="F24" s="806">
        <f ca="1">'数据-取费表'!B40</f>
        <v>4.7500000000000001E-2</v>
      </c>
      <c r="G24" s="3254"/>
      <c r="H24" s="2400" t="s">
        <v>1881</v>
      </c>
      <c r="I24" s="2395" t="s">
        <v>660</v>
      </c>
      <c r="J24" s="2393" t="e">
        <f ca="1">ROUND(J5*M24,0)</f>
        <v>#N/A</v>
      </c>
      <c r="K24" s="2394" t="s">
        <v>1764</v>
      </c>
      <c r="L24" s="2395" t="s">
        <v>1737</v>
      </c>
      <c r="M24" s="2391" t="e">
        <f ca="1">INDIRECT("'数据-取费表'!Am"&amp;$G$1)</f>
        <v>#N/A</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5" t="s">
        <v>1830</v>
      </c>
      <c r="B25" s="772" t="s">
        <v>678</v>
      </c>
      <c r="C25" s="53"/>
      <c r="D25" s="257" t="s">
        <v>1765</v>
      </c>
      <c r="E25" s="1892"/>
      <c r="F25" s="56"/>
      <c r="G25" s="1941"/>
      <c r="H25" s="1740" t="s">
        <v>1766</v>
      </c>
      <c r="I25" s="2719" t="s">
        <v>2800</v>
      </c>
      <c r="J25" s="780" t="e">
        <f ca="1">J5-J16</f>
        <v>#N/A</v>
      </c>
      <c r="K25" s="2397" t="s">
        <v>1767</v>
      </c>
      <c r="L25" s="2398"/>
      <c r="M25" s="2399"/>
    </row>
    <row r="26" spans="1:33" ht="18" customHeight="1">
      <c r="A26" s="1573" t="s">
        <v>1821</v>
      </c>
      <c r="B26" s="772" t="s">
        <v>2421</v>
      </c>
      <c r="C26" s="53" t="e">
        <f ca="1">ROUND((C19+C20)*F26,0)</f>
        <v>#N/A</v>
      </c>
      <c r="D26" s="799" t="s">
        <v>1768</v>
      </c>
      <c r="E26" s="783" t="s">
        <v>1769</v>
      </c>
      <c r="F26" s="782" t="e">
        <f ca="1">INDIRECT("'数据-取费表'!q"&amp;$G$1)</f>
        <v>#N/A</v>
      </c>
      <c r="G26" s="1941"/>
      <c r="H26" s="2351" t="s">
        <v>1770</v>
      </c>
      <c r="I26" s="2108" t="s">
        <v>2805</v>
      </c>
      <c r="J26" s="771" t="e">
        <f ca="1">IF(J5&lt;&gt;0,ROUND(J25*(1-((1+M28)/(1+M26))^M27)/(M26-M28),0),0)</f>
        <v>#N/A</v>
      </c>
      <c r="K26" s="801" t="s">
        <v>1771</v>
      </c>
      <c r="L26" s="772" t="s">
        <v>2403</v>
      </c>
      <c r="M26" s="782" t="e">
        <f ca="1">INDIRECT("'数据-取费表'!I"&amp;$G$1)</f>
        <v>#N/A</v>
      </c>
    </row>
    <row r="27" spans="1:33" ht="18" customHeight="1">
      <c r="A27" s="1573" t="s">
        <v>1822</v>
      </c>
      <c r="B27" s="772" t="s">
        <v>680</v>
      </c>
      <c r="C27" s="53" t="e">
        <f ca="1">ROUND(F21*F26,4)</f>
        <v>#N/A</v>
      </c>
      <c r="D27" s="799" t="s">
        <v>1772</v>
      </c>
      <c r="E27" s="794"/>
      <c r="F27" s="795"/>
      <c r="G27" s="1941"/>
      <c r="H27" s="2352"/>
      <c r="I27" s="775"/>
      <c r="J27" s="776"/>
      <c r="K27" s="808" t="s">
        <v>1773</v>
      </c>
      <c r="L27" s="772" t="s">
        <v>1774</v>
      </c>
      <c r="M27" s="809" t="e">
        <f ca="1">INDIRECT("'数据-取费表'!ag"&amp;$G$1)</f>
        <v>#N/A</v>
      </c>
    </row>
    <row r="28" spans="1:33" s="1943" customFormat="1" ht="18" customHeight="1">
      <c r="A28" s="1575" t="s">
        <v>1831</v>
      </c>
      <c r="B28" s="772" t="s">
        <v>681</v>
      </c>
      <c r="C28" s="53">
        <f>ROUND(F28/(1+'数据-取费表'!C42),4)</f>
        <v>5.33E-2</v>
      </c>
      <c r="D28" s="799" t="s">
        <v>2286</v>
      </c>
      <c r="E28" s="772" t="s">
        <v>1775</v>
      </c>
      <c r="F28" s="797">
        <f>'数据-取费表'!B41</f>
        <v>5.6000000000000001E-2</v>
      </c>
      <c r="G28" s="3254"/>
      <c r="H28" s="1740"/>
      <c r="I28" s="779"/>
      <c r="J28" s="780"/>
      <c r="K28" s="803"/>
      <c r="L28" s="772" t="s">
        <v>1776</v>
      </c>
      <c r="M28" s="782" t="e">
        <f ca="1">INDIRECT("'数据-取费表'!aa"&amp;$G$1)</f>
        <v>#N/A</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1882</v>
      </c>
      <c r="B29" s="2390" t="s">
        <v>2287</v>
      </c>
      <c r="C29" s="2393" t="e">
        <f ca="1">ROUND((C19+C20+C23+C26)/(1-F21-C24-C27-C28),0)</f>
        <v>#N/A</v>
      </c>
      <c r="D29" s="2394"/>
      <c r="E29" s="2395"/>
      <c r="F29" s="2396"/>
      <c r="G29" s="3254"/>
      <c r="H29" s="810" t="s">
        <v>1777</v>
      </c>
      <c r="I29" s="811" t="s">
        <v>1778</v>
      </c>
      <c r="J29" s="812" t="e">
        <f ca="1">ROUND(J26/(1+F40)^F41,0)</f>
        <v>#N/A</v>
      </c>
      <c r="K29" s="813" t="s">
        <v>1779</v>
      </c>
      <c r="L29" s="814"/>
      <c r="M29" s="815" t="e">
        <f ca="1">INDIRECT("'数据-取费表'!k"&amp;$G$1)</f>
        <v>#N/A</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1883</v>
      </c>
      <c r="B30" s="1738" t="s">
        <v>1780</v>
      </c>
      <c r="C30" s="780" t="e">
        <f ca="1">ROUND(C31+C36+C37+C38,0)</f>
        <v>#N/A</v>
      </c>
      <c r="D30" s="1732" t="s">
        <v>1781</v>
      </c>
      <c r="E30" s="2335"/>
      <c r="F30" s="2340"/>
      <c r="G30" s="1941"/>
      <c r="H30" s="1944"/>
      <c r="I30" s="1945"/>
      <c r="J30" s="1946"/>
      <c r="K30" s="1947"/>
      <c r="L30" s="1948"/>
      <c r="M30" s="1949"/>
    </row>
    <row r="31" spans="1:33" ht="18" customHeight="1">
      <c r="A31" s="1574" t="s">
        <v>1820</v>
      </c>
      <c r="B31" s="772" t="s">
        <v>650</v>
      </c>
      <c r="C31" s="3013" t="e">
        <f ca="1">ROUND(IF(AND(项目基本情况!B11="自然人",项目基本情况!B10="北京市"),C6*F31/(1+'数据-取费表'!C42),C32+C33+C34),0)</f>
        <v>#N/A</v>
      </c>
      <c r="D31" s="1889" t="s">
        <v>1782</v>
      </c>
      <c r="E31" s="1887" t="s">
        <v>1783</v>
      </c>
      <c r="F31" s="3012" t="str">
        <f>IF(项目基本情况!B11="企业","——",IF('数据-取费表'!B10="住宅",IF(F6*F7*F8/12/(1+'数据-取费表'!F30)&gt;100000,4%,2.5%),IF(F6*F7*F8/12/(1+'数据-取费表'!F30)&gt;100000,12%,7%)))</f>
        <v>——</v>
      </c>
      <c r="G31" s="1941"/>
      <c r="H31" s="3251" t="s">
        <v>2989</v>
      </c>
      <c r="I31" s="1945"/>
      <c r="J31" s="1946"/>
      <c r="K31" s="1947"/>
      <c r="L31" s="1948"/>
      <c r="M31" s="1949"/>
    </row>
    <row r="32" spans="1:33" ht="18" customHeight="1">
      <c r="A32" s="1573" t="s">
        <v>1821</v>
      </c>
      <c r="B32" s="772" t="s">
        <v>1784</v>
      </c>
      <c r="C32" s="53" t="e">
        <f ca="1">ROUND(C6*F32/(1+'数据-取费表'!C42),1)</f>
        <v>#N/A</v>
      </c>
      <c r="D32" s="1887" t="s">
        <v>1785</v>
      </c>
      <c r="E32" s="772" t="s">
        <v>1786</v>
      </c>
      <c r="F32" s="797">
        <f>'数据-取费表'!B41</f>
        <v>5.6000000000000001E-2</v>
      </c>
      <c r="G32" s="1941"/>
      <c r="H32" s="1950"/>
      <c r="I32" s="1951"/>
      <c r="J32" s="1952"/>
      <c r="K32" s="1953"/>
      <c r="L32" s="1954"/>
      <c r="M32" s="1955"/>
    </row>
    <row r="33" spans="1:18" ht="18" customHeight="1">
      <c r="A33" s="1573" t="s">
        <v>1822</v>
      </c>
      <c r="B33" s="772" t="s">
        <v>1787</v>
      </c>
      <c r="C33" s="53" t="e">
        <f ca="1">IF(D33="按租金收入计税",ROUND(C6*F33/(1+'数据-取费表'!C42),1),IF(D33="按房产原值计税",ROUND(C29*F33*0.7,1),INDIRECT("'数据-取费表'!Aj"&amp;$G$1)))</f>
        <v>#N/A</v>
      </c>
      <c r="D33" s="798" t="s">
        <v>1670</v>
      </c>
      <c r="E33" s="772" t="s">
        <v>1786</v>
      </c>
      <c r="F33" s="797">
        <f>IF(D33="按租金收入计税",'数据-取费表'!B51,'数据-取费表'!B50)</f>
        <v>1.2E-2</v>
      </c>
      <c r="G33" s="1941"/>
      <c r="H33" s="1956"/>
      <c r="I33" s="1956"/>
      <c r="J33" s="1956"/>
      <c r="K33" s="1957"/>
      <c r="L33" s="1956"/>
      <c r="M33" s="1956"/>
    </row>
    <row r="34" spans="1:18" ht="18" customHeight="1">
      <c r="A34" s="1576" t="s">
        <v>1823</v>
      </c>
      <c r="B34" s="337" t="s">
        <v>1788</v>
      </c>
      <c r="C34" s="54" t="e">
        <f ca="1">ROUND(F34*F35/10000,1)</f>
        <v>#N/A</v>
      </c>
      <c r="D34" s="801" t="s">
        <v>1789</v>
      </c>
      <c r="E34" s="772" t="s">
        <v>1790</v>
      </c>
      <c r="F34" s="630">
        <f>'数据-取费表'!B52</f>
        <v>1.5</v>
      </c>
      <c r="G34" s="1941"/>
      <c r="H34" s="1944"/>
      <c r="I34" s="822" t="s">
        <v>1803</v>
      </c>
      <c r="J34" s="823"/>
      <c r="K34" s="1959"/>
      <c r="L34" s="1958"/>
      <c r="M34" s="1958"/>
    </row>
    <row r="35" spans="1:18" ht="18" customHeight="1">
      <c r="A35" s="802"/>
      <c r="B35" s="781"/>
      <c r="C35" s="69"/>
      <c r="D35" s="803"/>
      <c r="E35" s="772" t="s">
        <v>1791</v>
      </c>
      <c r="F35" s="773" t="e">
        <f ca="1">INDIRECT("'数据-取费表'!r"&amp;$G$1)</f>
        <v>#N/A</v>
      </c>
      <c r="G35" s="1941"/>
      <c r="H35" s="1944"/>
      <c r="I35" s="824" t="s">
        <v>1804</v>
      </c>
      <c r="J35" s="825" t="e">
        <f ca="1">ROUND(C13*J36,0)</f>
        <v>#N/A</v>
      </c>
      <c r="K35" s="1957"/>
      <c r="L35" s="1956"/>
      <c r="M35" s="1956"/>
    </row>
    <row r="36" spans="1:18" ht="18" customHeight="1">
      <c r="A36" s="1574" t="s">
        <v>1879</v>
      </c>
      <c r="B36" s="772" t="s">
        <v>1792</v>
      </c>
      <c r="C36" s="53" t="e">
        <f ca="1">ROUND(C29*F36,1)</f>
        <v>#N/A</v>
      </c>
      <c r="D36" s="1887" t="s">
        <v>1793</v>
      </c>
      <c r="E36" s="772" t="s">
        <v>1786</v>
      </c>
      <c r="F36" s="804" t="e">
        <f ca="1">INDIRECT("'数据-取费表'!Ak"&amp;$G$1)</f>
        <v>#N/A</v>
      </c>
      <c r="G36" s="1941"/>
      <c r="H36" s="1956"/>
      <c r="I36" s="826" t="s">
        <v>1805</v>
      </c>
      <c r="J36" s="827" t="e">
        <f ca="1">INDIRECT("'数据-取费表'!j"&amp;$G$1)</f>
        <v>#N/A</v>
      </c>
      <c r="K36" s="1960"/>
      <c r="L36" s="1956"/>
      <c r="M36" s="1956"/>
    </row>
    <row r="37" spans="1:18" ht="18" customHeight="1">
      <c r="A37" s="1574" t="s">
        <v>1880</v>
      </c>
      <c r="B37" s="772" t="s">
        <v>673</v>
      </c>
      <c r="C37" s="53" t="e">
        <f ca="1">ROUND(C13*F37,1)</f>
        <v>#N/A</v>
      </c>
      <c r="D37" s="1887" t="s">
        <v>1794</v>
      </c>
      <c r="E37" s="772" t="s">
        <v>1786</v>
      </c>
      <c r="F37" s="805" t="e">
        <f ca="1">INDIRECT("'数据-取费表'!Al"&amp;$G$1)</f>
        <v>#N/A</v>
      </c>
      <c r="G37" s="1941"/>
      <c r="H37" s="1956"/>
      <c r="I37" s="828" t="s">
        <v>1806</v>
      </c>
      <c r="J37" s="829"/>
      <c r="K37" s="1960"/>
      <c r="L37" s="1956"/>
      <c r="M37" s="1956"/>
    </row>
    <row r="38" spans="1:18" ht="18" customHeight="1" thickBot="1">
      <c r="A38" s="2400" t="s">
        <v>1881</v>
      </c>
      <c r="B38" s="2395" t="s">
        <v>660</v>
      </c>
      <c r="C38" s="2393" t="e">
        <f ca="1">ROUND(C5*F38,1)</f>
        <v>#N/A</v>
      </c>
      <c r="D38" s="2394" t="s">
        <v>1795</v>
      </c>
      <c r="E38" s="2395" t="s">
        <v>1786</v>
      </c>
      <c r="F38" s="2391" t="e">
        <f ca="1">INDIRECT("'数据-取费表'!Am"&amp;$G$1)</f>
        <v>#N/A</v>
      </c>
      <c r="G38" s="1941"/>
      <c r="H38" s="1956"/>
      <c r="I38" s="830" t="s">
        <v>1807</v>
      </c>
      <c r="J38" s="831"/>
      <c r="K38" s="1961"/>
      <c r="L38" s="1956"/>
      <c r="M38" s="1956"/>
    </row>
    <row r="39" spans="1:18" ht="24.6" customHeight="1" thickTop="1">
      <c r="A39" s="1740" t="s">
        <v>1884</v>
      </c>
      <c r="B39" s="2719" t="s">
        <v>2800</v>
      </c>
      <c r="C39" s="780" t="e">
        <f ca="1">C5-C30</f>
        <v>#N/A</v>
      </c>
      <c r="D39" s="2397" t="s">
        <v>1796</v>
      </c>
      <c r="E39" s="2398"/>
      <c r="F39" s="2399"/>
      <c r="G39" s="1941"/>
      <c r="H39" s="1956"/>
      <c r="I39" s="824" t="s">
        <v>1808</v>
      </c>
      <c r="J39" s="832" t="e">
        <f ca="1">ROUND(J35/C39,3)</f>
        <v>#N/A</v>
      </c>
      <c r="K39" s="1961"/>
      <c r="L39" s="1956"/>
      <c r="M39" s="1956"/>
    </row>
    <row r="40" spans="1:18" ht="18" customHeight="1">
      <c r="A40" s="769" t="s">
        <v>1885</v>
      </c>
      <c r="B40" s="2108" t="s">
        <v>2288</v>
      </c>
      <c r="C40" s="771" t="e">
        <f ca="1">ROUND(C39*(1-((1+F42)/(1+F40))^F41)/(F40-F42),0)</f>
        <v>#N/A</v>
      </c>
      <c r="D40" s="801" t="s">
        <v>1797</v>
      </c>
      <c r="E40" s="772" t="s">
        <v>2403</v>
      </c>
      <c r="F40" s="782" t="e">
        <f ca="1">INDIRECT("'数据-取费表'!I"&amp;$G$1)</f>
        <v>#N/A</v>
      </c>
      <c r="G40" s="1941"/>
      <c r="H40" s="1941"/>
      <c r="I40" s="824" t="s">
        <v>1809</v>
      </c>
      <c r="J40" s="832" t="e">
        <f ca="1">1-J39</f>
        <v>#N/A</v>
      </c>
      <c r="K40" s="1961"/>
      <c r="L40" s="1941"/>
      <c r="M40" s="1941"/>
    </row>
    <row r="41" spans="1:18" ht="18" customHeight="1">
      <c r="A41" s="774"/>
      <c r="B41" s="775"/>
      <c r="C41" s="776"/>
      <c r="D41" s="808" t="s">
        <v>1798</v>
      </c>
      <c r="E41" s="772" t="s">
        <v>2925</v>
      </c>
      <c r="F41" s="809" t="e">
        <f ca="1">IF(INDIRECT("'数据-取费表'!af"&amp;$G$1)=0,INDIRECT("'数据-取费表'!ae"&amp;$G$1),INDIRECT("'数据-取费表'!af"&amp;$G$1))</f>
        <v>#N/A</v>
      </c>
      <c r="G41" s="1941"/>
      <c r="H41" s="1896"/>
      <c r="I41" s="830" t="s">
        <v>1810</v>
      </c>
      <c r="J41" s="833"/>
      <c r="K41" s="1960"/>
      <c r="L41" s="1896"/>
      <c r="M41" s="1896"/>
    </row>
    <row r="42" spans="1:18" ht="18" customHeight="1">
      <c r="A42" s="778"/>
      <c r="B42" s="779"/>
      <c r="C42" s="780"/>
      <c r="D42" s="803"/>
      <c r="E42" s="772" t="s">
        <v>1799</v>
      </c>
      <c r="F42" s="782" t="e">
        <f ca="1">INDIRECT("'数据-取费表'!v"&amp;$G$1)</f>
        <v>#N/A</v>
      </c>
      <c r="G42" s="1941"/>
      <c r="H42" s="1896"/>
      <c r="I42" s="834" t="s">
        <v>1811</v>
      </c>
      <c r="J42" s="832" t="e">
        <f ca="1">ROUND(C13/C40,3)</f>
        <v>#N/A</v>
      </c>
      <c r="K42" s="1960"/>
      <c r="L42" s="1896"/>
      <c r="M42" s="1896"/>
    </row>
    <row r="43" spans="1:18" ht="18" customHeight="1" thickBot="1">
      <c r="A43" s="810" t="s">
        <v>1777</v>
      </c>
      <c r="B43" s="811" t="s">
        <v>1800</v>
      </c>
      <c r="C43" s="812" t="e">
        <f ca="1">ROUND(C40*10000/F43,0)</f>
        <v>#N/A</v>
      </c>
      <c r="D43" s="813" t="s">
        <v>1801</v>
      </c>
      <c r="E43" s="814" t="s">
        <v>1802</v>
      </c>
      <c r="F43" s="815" t="e">
        <f ca="1">INDIRECT("'数据-取费表'!k"&amp;$G$1)</f>
        <v>#N/A</v>
      </c>
      <c r="G43" s="1941"/>
      <c r="H43" s="1896"/>
      <c r="I43" s="834" t="s">
        <v>1812</v>
      </c>
      <c r="J43" s="835" t="e">
        <f ca="1">1-J42</f>
        <v>#N/A</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2282</v>
      </c>
      <c r="B46" s="1963"/>
      <c r="C46" s="2422" t="e">
        <f ca="1">C67-C40</f>
        <v>#N/A</v>
      </c>
      <c r="D46" s="3255"/>
      <c r="E46" s="3255"/>
      <c r="F46" s="3255"/>
      <c r="I46" s="2229" t="s">
        <v>2327</v>
      </c>
      <c r="J46" s="2230"/>
      <c r="K46" s="2231"/>
      <c r="L46" s="2805" t="e">
        <f ca="1">IF(OR(M47="住宅",D1="土地（套用方法）"),0,IF(L48&gt;J51,L60,J60))</f>
        <v>#N/A</v>
      </c>
      <c r="M46" s="3256"/>
      <c r="O46" s="2245" t="s">
        <v>2394</v>
      </c>
      <c r="P46" s="1523"/>
      <c r="Q46" s="1531"/>
      <c r="R46" s="1523"/>
    </row>
    <row r="47" spans="1:18" s="1938" customFormat="1" ht="18" customHeight="1" thickBot="1">
      <c r="A47" s="2223">
        <v>1</v>
      </c>
      <c r="B47" s="2224" t="s">
        <v>629</v>
      </c>
      <c r="C47" s="2422" t="e">
        <f ca="1">C48+C52+C54</f>
        <v>#N/A</v>
      </c>
      <c r="D47" s="3255"/>
      <c r="E47" s="3255"/>
      <c r="F47" s="3255"/>
      <c r="I47" s="2796" t="s">
        <v>2328</v>
      </c>
      <c r="J47" s="2232"/>
      <c r="K47" s="2802" t="s">
        <v>2333</v>
      </c>
      <c r="L47" s="2806" t="e">
        <f ca="1">INDIRECT("'数据-取费表'!d"&amp;$G$1)</f>
        <v>#N/A</v>
      </c>
      <c r="M47" s="1531" t="str">
        <f>IF(ISNUMBER(FIND("住宅",C1)),"住宅","非住宅")</f>
        <v>非住宅</v>
      </c>
      <c r="O47" s="2246" t="s">
        <v>2359</v>
      </c>
      <c r="P47" s="2247" t="s">
        <v>2360</v>
      </c>
      <c r="Q47" s="2248" t="s">
        <v>2361</v>
      </c>
      <c r="R47" s="2247" t="s">
        <v>2362</v>
      </c>
    </row>
    <row r="48" spans="1:18" s="1938" customFormat="1" ht="18" customHeight="1" thickBot="1">
      <c r="A48" s="2480" t="s">
        <v>2518</v>
      </c>
      <c r="B48" s="2481" t="s">
        <v>2519</v>
      </c>
      <c r="C48" s="2225" t="e">
        <f ca="1">ROUND(F48*F50*F49*(1-F51)/10000,0)</f>
        <v>#N/A</v>
      </c>
      <c r="D48" s="2226" t="s">
        <v>630</v>
      </c>
      <c r="E48" s="2227" t="s">
        <v>2283</v>
      </c>
      <c r="F48" s="2228"/>
      <c r="G48" s="1968"/>
      <c r="I48" s="2793" t="s">
        <v>2329</v>
      </c>
      <c r="J48" s="2233"/>
      <c r="K48" s="2803" t="s">
        <v>2335</v>
      </c>
      <c r="L48" s="1818" t="e">
        <f ca="1">INDIRECT("'数据-取费表'!f"&amp;$G$1)</f>
        <v>#N/A</v>
      </c>
      <c r="M48" s="3256"/>
      <c r="O48" s="2249" t="s">
        <v>2363</v>
      </c>
      <c r="P48" s="2250" t="s">
        <v>2389</v>
      </c>
      <c r="Q48" s="2251" t="e">
        <f ca="1">C40+J29</f>
        <v>#N/A</v>
      </c>
      <c r="R48" s="2250" t="s">
        <v>2364</v>
      </c>
    </row>
    <row r="49" spans="1:18" s="1938" customFormat="1" ht="18" customHeight="1" thickBot="1">
      <c r="A49" s="774"/>
      <c r="B49" s="775"/>
      <c r="C49" s="776"/>
      <c r="D49" s="777"/>
      <c r="E49" s="772" t="s">
        <v>1729</v>
      </c>
      <c r="F49" s="773" t="e">
        <f ca="1">F7</f>
        <v>#N/A</v>
      </c>
      <c r="G49" s="1968"/>
      <c r="H49" s="1971"/>
      <c r="I49" s="2793" t="s">
        <v>2330</v>
      </c>
      <c r="J49" s="2234"/>
      <c r="K49" s="2804" t="s">
        <v>2336</v>
      </c>
      <c r="L49" s="2235"/>
      <c r="M49" s="3256"/>
      <c r="O49" s="2249" t="s">
        <v>2365</v>
      </c>
      <c r="P49" s="2250" t="s">
        <v>2390</v>
      </c>
      <c r="Q49" s="2251" t="e">
        <f ca="1">J60</f>
        <v>#N/A</v>
      </c>
      <c r="R49" s="2250" t="s">
        <v>2366</v>
      </c>
    </row>
    <row r="50" spans="1:18" s="1938" customFormat="1" ht="18" customHeight="1" thickBot="1">
      <c r="A50" s="774"/>
      <c r="B50" s="775"/>
      <c r="C50" s="776"/>
      <c r="D50" s="777"/>
      <c r="E50" s="772" t="s">
        <v>1730</v>
      </c>
      <c r="F50" s="773" t="e">
        <f ca="1">F8</f>
        <v>#N/A</v>
      </c>
      <c r="G50" s="1973"/>
      <c r="H50" s="1971"/>
      <c r="I50" s="2793" t="s">
        <v>2331</v>
      </c>
      <c r="J50" s="2800">
        <f>SUMPRODUCT((I63:I65=J47)*(J62:L62=J48)*(J63:L65))</f>
        <v>0</v>
      </c>
      <c r="K50" s="2804" t="s">
        <v>2337</v>
      </c>
      <c r="L50" s="2235"/>
      <c r="M50" s="3256"/>
      <c r="O50" s="2252" t="s">
        <v>2367</v>
      </c>
      <c r="P50" s="2250" t="s">
        <v>2391</v>
      </c>
      <c r="Q50" s="2251" t="e">
        <f ca="1">C29</f>
        <v>#N/A</v>
      </c>
      <c r="R50" s="2250" t="s">
        <v>2364</v>
      </c>
    </row>
    <row r="51" spans="1:18" s="1938" customFormat="1" ht="18" customHeight="1" thickBot="1">
      <c r="A51" s="774"/>
      <c r="B51" s="775"/>
      <c r="C51" s="776"/>
      <c r="D51" s="777"/>
      <c r="E51" s="772" t="s">
        <v>634</v>
      </c>
      <c r="F51" s="2222"/>
      <c r="H51" s="1971"/>
      <c r="I51" s="2797" t="s">
        <v>2332</v>
      </c>
      <c r="J51" s="2801">
        <f>IF(J49="",J50,J49+J50-YEAR('数据-取费表'!B2))</f>
        <v>0</v>
      </c>
      <c r="K51" s="2793" t="s">
        <v>2338</v>
      </c>
      <c r="L51" s="2807" t="e">
        <f ca="1">ROUND(-PV(INDIRECT("'数据-取费表'!h"&amp;$G$1),J51,(C39-C13*J36),0),0)</f>
        <v>#N/A</v>
      </c>
      <c r="M51" s="3256"/>
      <c r="O51" s="2252" t="s">
        <v>2368</v>
      </c>
      <c r="P51" s="2250" t="s">
        <v>2369</v>
      </c>
      <c r="Q51" s="2253" t="e">
        <f ca="1">J58</f>
        <v>#N/A</v>
      </c>
      <c r="R51" s="2254"/>
    </row>
    <row r="52" spans="1:18" s="1938" customFormat="1" ht="18" customHeight="1" thickBot="1">
      <c r="A52" s="769" t="s">
        <v>2517</v>
      </c>
      <c r="B52" s="2343" t="s">
        <v>2440</v>
      </c>
      <c r="C52" s="787">
        <f ca="1">ROUND(IF(F52="押一",C48/12*F11,IF(F52="押二",C48/12*2*F11,IF(F52="押三",C48/12*3*F11,C53*F11))),0)</f>
        <v>0</v>
      </c>
      <c r="D52" s="2350" t="s">
        <v>2935</v>
      </c>
      <c r="E52" s="2347" t="s">
        <v>2445</v>
      </c>
      <c r="F52" s="2461"/>
      <c r="I52" s="2798" t="s">
        <v>2405</v>
      </c>
      <c r="J52" s="2236"/>
      <c r="K52" s="2798" t="s">
        <v>2404</v>
      </c>
      <c r="L52" s="2236"/>
      <c r="M52" s="3256"/>
      <c r="O52" s="2252" t="s">
        <v>2370</v>
      </c>
      <c r="P52" s="2250" t="s">
        <v>2371</v>
      </c>
      <c r="Q52" s="2253">
        <f>J52</f>
        <v>0</v>
      </c>
      <c r="R52" s="2254"/>
    </row>
    <row r="53" spans="1:18" s="1938" customFormat="1" ht="39.75" customHeight="1" thickBot="1">
      <c r="A53" s="774"/>
      <c r="B53" s="2344" t="s">
        <v>2554</v>
      </c>
      <c r="C53" s="2348"/>
      <c r="D53" s="2350"/>
      <c r="E53" s="2347"/>
      <c r="F53" s="788"/>
      <c r="I53" s="2799" t="s">
        <v>2938</v>
      </c>
      <c r="J53" s="2852" t="e">
        <f ca="1">IF(M47="住宅",IF(D1="——",MAX(J51,L48),MAX(J51,L48-'数据-取费表'!B20)),IF(D1="——",MIN(J51,L48),MIN(J51,L48-'数据-取费表'!B20)))</f>
        <v>#N/A</v>
      </c>
      <c r="K53" s="3869" t="s">
        <v>2927</v>
      </c>
      <c r="L53" s="3870"/>
      <c r="M53" s="3256"/>
      <c r="O53" s="2252" t="s">
        <v>2372</v>
      </c>
      <c r="P53" s="2250" t="s">
        <v>2373</v>
      </c>
      <c r="Q53" s="2251" t="e">
        <f ca="1">J53</f>
        <v>#N/A</v>
      </c>
      <c r="R53" s="2250" t="s">
        <v>2374</v>
      </c>
    </row>
    <row r="54" spans="1:18" s="1938" customFormat="1" ht="18" customHeight="1" thickBot="1">
      <c r="A54" s="2386" t="s">
        <v>2448</v>
      </c>
      <c r="B54" s="2387" t="s">
        <v>2441</v>
      </c>
      <c r="C54" s="2388"/>
      <c r="D54" s="2350"/>
      <c r="E54" s="2347"/>
      <c r="F54" s="788"/>
      <c r="I54" s="1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4"/>
      <c r="M54" s="3256"/>
      <c r="O54" s="2249" t="s">
        <v>2375</v>
      </c>
      <c r="P54" s="2250" t="s">
        <v>2392</v>
      </c>
      <c r="Q54" s="2251" t="e">
        <f ca="1">Q48+Q49</f>
        <v>#N/A</v>
      </c>
      <c r="R54" s="2254" t="s">
        <v>2376</v>
      </c>
    </row>
    <row r="55" spans="1:18" s="1938" customFormat="1" ht="18" customHeight="1" thickTop="1" thickBot="1">
      <c r="A55" s="785">
        <v>2</v>
      </c>
      <c r="B55" s="786" t="s">
        <v>638</v>
      </c>
      <c r="C55" s="787" t="e">
        <f ca="1">C13</f>
        <v>#N/A</v>
      </c>
      <c r="D55" s="783"/>
      <c r="E55" s="783"/>
      <c r="F55" s="788"/>
      <c r="I55" s="2810" t="s">
        <v>2339</v>
      </c>
      <c r="J55" s="2782" t="e">
        <f ca="1">ROUND(IF(J47="钢混",J57/J50,1-(1-2%)*(J50-J57)/J50),3)</f>
        <v>#N/A</v>
      </c>
      <c r="K55" s="2811" t="s">
        <v>2340</v>
      </c>
      <c r="L55" s="2237"/>
      <c r="M55" s="3256"/>
      <c r="O55" s="2255" t="s">
        <v>2395</v>
      </c>
      <c r="P55" s="1523"/>
      <c r="Q55" s="1531"/>
      <c r="R55" s="1523"/>
    </row>
    <row r="56" spans="1:18" s="1938" customFormat="1" ht="42.75" customHeight="1" thickBot="1">
      <c r="A56" s="1575"/>
      <c r="B56" s="2107" t="s">
        <v>2289</v>
      </c>
      <c r="C56" s="53" t="e">
        <f ca="1">C29</f>
        <v>#N/A</v>
      </c>
      <c r="D56" s="2477"/>
      <c r="E56" s="772"/>
      <c r="F56" s="797"/>
      <c r="I56" s="2812" t="s">
        <v>2341</v>
      </c>
      <c r="J56" s="2822"/>
      <c r="K56" s="2793" t="s">
        <v>2346</v>
      </c>
      <c r="L56" s="1818" t="e">
        <f ca="1">IF(L48&lt;J51,"——",L48-J51)</f>
        <v>#N/A</v>
      </c>
      <c r="M56" s="3256"/>
      <c r="O56" s="2246" t="s">
        <v>2359</v>
      </c>
      <c r="P56" s="2247" t="s">
        <v>2360</v>
      </c>
      <c r="Q56" s="2248" t="s">
        <v>2361</v>
      </c>
      <c r="R56" s="2247" t="s">
        <v>2362</v>
      </c>
    </row>
    <row r="57" spans="1:18" s="1938" customFormat="1" ht="28.5" customHeight="1" thickBot="1">
      <c r="A57" s="785" t="s">
        <v>1738</v>
      </c>
      <c r="B57" s="786" t="s">
        <v>645</v>
      </c>
      <c r="C57" s="787" t="e">
        <f ca="1">ROUND(C58+C63+C64+C65,0)</f>
        <v>#N/A</v>
      </c>
      <c r="D57" s="26" t="s">
        <v>1740</v>
      </c>
      <c r="E57" s="2478"/>
      <c r="F57" s="56"/>
      <c r="I57" s="2813" t="s">
        <v>2342</v>
      </c>
      <c r="J57" s="2814" t="e">
        <f ca="1">IF(OR(M47="住宅",J51&lt;L48,J56="是"),"——",J51-L48)</f>
        <v>#N/A</v>
      </c>
      <c r="K57" s="2793" t="s">
        <v>2347</v>
      </c>
      <c r="L57" s="1818" t="e">
        <f ca="1">IF(L48&lt;J51,"——",IF(L55="比较法",L49,IF(L55="基准地价",L50,L51)))</f>
        <v>#N/A</v>
      </c>
      <c r="M57" s="3256"/>
      <c r="O57" s="2249" t="s">
        <v>2363</v>
      </c>
      <c r="P57" s="2250" t="s">
        <v>2393</v>
      </c>
      <c r="Q57" s="2251" t="e">
        <f ca="1">C40+J29</f>
        <v>#N/A</v>
      </c>
      <c r="R57" s="2250" t="s">
        <v>2364</v>
      </c>
    </row>
    <row r="58" spans="1:18" s="1938" customFormat="1" ht="28.5" customHeight="1" thickBot="1">
      <c r="A58" s="1574" t="s">
        <v>1814</v>
      </c>
      <c r="B58" s="772" t="s">
        <v>650</v>
      </c>
      <c r="C58" s="3013" t="e">
        <f ca="1">ROUND(IF(AND(项目基本情况!B11="自然人",项目基本情况!B10="北京市"),C48*F58/(1+'数据-取费表'!C42),C59+C60+C61),0)</f>
        <v>#N/A</v>
      </c>
      <c r="D58" s="2476" t="s">
        <v>651</v>
      </c>
      <c r="E58" s="2477" t="s">
        <v>684</v>
      </c>
      <c r="F58" s="3012" t="str">
        <f>IF(项目基本情况!B11="企业","——",IF('数据-取费表'!B10="住宅",IF(F48*F49*F50/12/(1+'数据-取费表'!F30)&gt;100000,4%,2.5%),IF(F48*F49*F50/12/(1+'数据-取费表'!F30)&gt;100000,12%,7%)))</f>
        <v>——</v>
      </c>
      <c r="I58" s="2813" t="s">
        <v>2343</v>
      </c>
      <c r="J58" s="2783" t="e">
        <f ca="1">IF(J55&lt;0.4,0.4,J55)</f>
        <v>#N/A</v>
      </c>
      <c r="K58" s="2793" t="s">
        <v>2348</v>
      </c>
      <c r="L58" s="1818" t="e">
        <f ca="1">ROUND(POWER(1+L52,L47-L48)*(POWER(1+L52,L48)-1)/(POWER(1+L52,L47)-1),4)</f>
        <v>#N/A</v>
      </c>
      <c r="M58" s="3256"/>
      <c r="O58" s="2249" t="s">
        <v>2365</v>
      </c>
      <c r="P58" s="2250" t="s">
        <v>2396</v>
      </c>
      <c r="Q58" s="2251" t="e">
        <f ca="1">L60</f>
        <v>#N/A</v>
      </c>
      <c r="R58" s="2254" t="s">
        <v>2398</v>
      </c>
    </row>
    <row r="59" spans="1:18" s="1938" customFormat="1" ht="28.5" customHeight="1" thickBot="1">
      <c r="A59" s="1573" t="s">
        <v>1821</v>
      </c>
      <c r="B59" s="772" t="s">
        <v>654</v>
      </c>
      <c r="C59" s="53" t="e">
        <f ca="1">ROUND(C47*F59/1.05,1)</f>
        <v>#N/A</v>
      </c>
      <c r="D59" s="2477" t="s">
        <v>1746</v>
      </c>
      <c r="E59" s="772" t="s">
        <v>1737</v>
      </c>
      <c r="F59" s="797">
        <f t="shared" ref="F59:F65" si="0">F32</f>
        <v>5.6000000000000001E-2</v>
      </c>
      <c r="I59" s="2813" t="s">
        <v>2344</v>
      </c>
      <c r="J59" s="2814" t="e">
        <f ca="1">IF(OR(M47="住宅",J51&lt;L48,J56="是"),"——",ROUND(C29*J58,0))</f>
        <v>#N/A</v>
      </c>
      <c r="K59" s="2793"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#N/A</v>
      </c>
      <c r="M59" s="3256"/>
      <c r="O59" s="2252" t="s">
        <v>2367</v>
      </c>
      <c r="P59" s="2250" t="s">
        <v>2397</v>
      </c>
      <c r="Q59" s="2251">
        <f>IF(L55="比较法",L49,IF(L55="基准地价",L50,0))</f>
        <v>0</v>
      </c>
      <c r="R59" s="2250" t="s">
        <v>2364</v>
      </c>
    </row>
    <row r="60" spans="1:18" s="1938" customFormat="1" ht="18" customHeight="1" thickBot="1">
      <c r="A60" s="1573" t="s">
        <v>1822</v>
      </c>
      <c r="B60" s="772" t="s">
        <v>1748</v>
      </c>
      <c r="C60" s="53" t="e">
        <f ca="1">IF(D60="按租金收入计税",ROUND(C47*F60,1),IF(D60="按房产原值计税",ROUND(C56*F60*0.7,1),INDIRECT("'数据-取费表'!Aj"&amp;$G$1)))</f>
        <v>#N/A</v>
      </c>
      <c r="D60" s="2477" t="str">
        <f>D33</f>
        <v>按房产原值计税</v>
      </c>
      <c r="E60" s="772" t="s">
        <v>1737</v>
      </c>
      <c r="F60" s="797">
        <f t="shared" si="0"/>
        <v>1.2E-2</v>
      </c>
      <c r="I60" s="2815" t="s">
        <v>2345</v>
      </c>
      <c r="J60" s="2816" t="e">
        <f ca="1">IF(OR(M47="住宅",J51&lt;L48,J56="是"),"0",ROUND(J59/(1+J52)^J53,0))</f>
        <v>#N/A</v>
      </c>
      <c r="K60" s="2817" t="s">
        <v>2350</v>
      </c>
      <c r="L60" s="2816" t="e">
        <f ca="1">IF(OR(M47="住宅",L48&lt;J51),0,ROUND(L57*(L58/L59-1),0))</f>
        <v>#N/A</v>
      </c>
      <c r="M60" s="3256"/>
      <c r="O60" s="2252" t="s">
        <v>2368</v>
      </c>
      <c r="P60" s="2250" t="s">
        <v>2377</v>
      </c>
      <c r="Q60" s="2253">
        <f>L52</f>
        <v>0</v>
      </c>
      <c r="R60" s="2254"/>
    </row>
    <row r="61" spans="1:18" s="1938" customFormat="1" ht="18" customHeight="1" thickBot="1">
      <c r="A61" s="1576" t="s">
        <v>1823</v>
      </c>
      <c r="B61" s="337" t="s">
        <v>662</v>
      </c>
      <c r="C61" s="54" t="e">
        <f ca="1">ROUND(F61*F62/10000,1)</f>
        <v>#N/A</v>
      </c>
      <c r="D61" s="801" t="s">
        <v>663</v>
      </c>
      <c r="E61" s="772" t="s">
        <v>664</v>
      </c>
      <c r="F61" s="630">
        <f t="shared" si="0"/>
        <v>1.5</v>
      </c>
      <c r="K61" s="1964"/>
      <c r="O61" s="2252" t="s">
        <v>2370</v>
      </c>
      <c r="P61" s="2250" t="s">
        <v>2378</v>
      </c>
      <c r="Q61" s="2251" t="e">
        <f ca="1">L58</f>
        <v>#N/A</v>
      </c>
      <c r="R61" s="2254" t="s">
        <v>2379</v>
      </c>
    </row>
    <row r="62" spans="1:18" s="1938" customFormat="1" ht="15.75" thickBot="1">
      <c r="A62" s="802"/>
      <c r="B62" s="781"/>
      <c r="C62" s="69"/>
      <c r="D62" s="803"/>
      <c r="E62" s="772" t="s">
        <v>668</v>
      </c>
      <c r="F62" s="773" t="e">
        <f t="shared" ca="1" si="0"/>
        <v>#N/A</v>
      </c>
      <c r="I62" s="2818" t="s">
        <v>2351</v>
      </c>
      <c r="J62" s="2819" t="s">
        <v>2352</v>
      </c>
      <c r="K62" s="2819" t="s">
        <v>2353</v>
      </c>
      <c r="L62" s="2819" t="s">
        <v>2334</v>
      </c>
      <c r="M62" s="2820" t="s">
        <v>2906</v>
      </c>
      <c r="O62" s="2252" t="s">
        <v>2372</v>
      </c>
      <c r="P62" s="2250" t="str">
        <f>K59</f>
        <v>建筑物剩余耐用年限下的土地年期修正系数Kn</v>
      </c>
      <c r="Q62" s="2251" t="e">
        <f ca="1">L59</f>
        <v>#N/A</v>
      </c>
      <c r="R62" s="2254" t="s">
        <v>2381</v>
      </c>
    </row>
    <row r="63" spans="1:18" s="1938" customFormat="1" ht="15.75" thickBot="1">
      <c r="A63" s="1574" t="s">
        <v>1879</v>
      </c>
      <c r="B63" s="772" t="s">
        <v>670</v>
      </c>
      <c r="C63" s="53" t="e">
        <f ca="1">ROUND(C56*F63,1)</f>
        <v>#N/A</v>
      </c>
      <c r="D63" s="2477" t="s">
        <v>1793</v>
      </c>
      <c r="E63" s="772" t="s">
        <v>1737</v>
      </c>
      <c r="F63" s="804" t="e">
        <f t="shared" ca="1" si="0"/>
        <v>#N/A</v>
      </c>
      <c r="I63" s="2818" t="s">
        <v>2354</v>
      </c>
      <c r="J63" s="2819">
        <v>70</v>
      </c>
      <c r="K63" s="2819">
        <v>50</v>
      </c>
      <c r="L63" s="2819">
        <v>80</v>
      </c>
      <c r="M63" s="2821">
        <v>0.02</v>
      </c>
      <c r="O63" s="2249" t="s">
        <v>2375</v>
      </c>
      <c r="P63" s="2250" t="s">
        <v>2392</v>
      </c>
      <c r="Q63" s="2251" t="e">
        <f ca="1">Q57+Q58</f>
        <v>#N/A</v>
      </c>
      <c r="R63" s="2254" t="s">
        <v>2376</v>
      </c>
    </row>
    <row r="64" spans="1:18" s="1938" customFormat="1" ht="16.5" thickBot="1">
      <c r="A64" s="1574" t="s">
        <v>1880</v>
      </c>
      <c r="B64" s="772" t="s">
        <v>673</v>
      </c>
      <c r="C64" s="53" t="e">
        <f ca="1">ROUND(C55*F64,1)</f>
        <v>#N/A</v>
      </c>
      <c r="D64" s="2477" t="s">
        <v>674</v>
      </c>
      <c r="E64" s="772" t="s">
        <v>1737</v>
      </c>
      <c r="F64" s="805" t="e">
        <f t="shared" ca="1" si="0"/>
        <v>#N/A</v>
      </c>
      <c r="I64" s="2818" t="s">
        <v>2355</v>
      </c>
      <c r="J64" s="2819">
        <v>50</v>
      </c>
      <c r="K64" s="2819">
        <v>35</v>
      </c>
      <c r="L64" s="2819">
        <v>60</v>
      </c>
      <c r="M64" s="833">
        <v>0</v>
      </c>
      <c r="O64" s="2255" t="s">
        <v>2399</v>
      </c>
      <c r="P64" s="1523"/>
      <c r="Q64" s="1531"/>
      <c r="R64" s="1523"/>
    </row>
    <row r="65" spans="1:18" s="1938" customFormat="1" ht="15.75" thickBot="1">
      <c r="A65" s="1574" t="s">
        <v>1881</v>
      </c>
      <c r="B65" s="772" t="s">
        <v>660</v>
      </c>
      <c r="C65" s="53" t="e">
        <f ca="1">ROUND(C47*F65,1)</f>
        <v>#N/A</v>
      </c>
      <c r="D65" s="2477" t="s">
        <v>677</v>
      </c>
      <c r="E65" s="772" t="s">
        <v>1737</v>
      </c>
      <c r="F65" s="782" t="e">
        <f t="shared" ca="1" si="0"/>
        <v>#N/A</v>
      </c>
      <c r="I65" s="2818" t="s">
        <v>2356</v>
      </c>
      <c r="J65" s="2819">
        <v>40</v>
      </c>
      <c r="K65" s="2819">
        <v>30</v>
      </c>
      <c r="L65" s="2819">
        <v>50</v>
      </c>
      <c r="M65" s="2821">
        <v>0.02</v>
      </c>
      <c r="O65" s="2246" t="s">
        <v>2359</v>
      </c>
      <c r="P65" s="2247" t="s">
        <v>2360</v>
      </c>
      <c r="Q65" s="2248" t="s">
        <v>2361</v>
      </c>
      <c r="R65" s="2247" t="s">
        <v>2362</v>
      </c>
    </row>
    <row r="66" spans="1:18" s="1938" customFormat="1" ht="24.75" thickBot="1">
      <c r="A66" s="785" t="s">
        <v>1766</v>
      </c>
      <c r="B66" s="2720" t="s">
        <v>2800</v>
      </c>
      <c r="C66" s="787" t="e">
        <f ca="1">C47-C57</f>
        <v>#N/A</v>
      </c>
      <c r="D66" s="2476" t="s">
        <v>694</v>
      </c>
      <c r="E66" s="2475"/>
      <c r="F66" s="807"/>
      <c r="K66" s="1964"/>
      <c r="O66" s="2249" t="s">
        <v>2363</v>
      </c>
      <c r="P66" s="2250" t="s">
        <v>2393</v>
      </c>
      <c r="Q66" s="2251" t="e">
        <f ca="1">C40+J29</f>
        <v>#N/A</v>
      </c>
      <c r="R66" s="2250" t="s">
        <v>2364</v>
      </c>
    </row>
    <row r="67" spans="1:18" s="1938" customFormat="1" ht="20.25" thickBot="1">
      <c r="A67" s="769" t="s">
        <v>1770</v>
      </c>
      <c r="B67" s="2108" t="s">
        <v>2288</v>
      </c>
      <c r="C67" s="771" t="e">
        <f ca="1">ROUND(C66*(1-((1+F69)/(1+F67))^F68)/(F67-F69),0)</f>
        <v>#N/A</v>
      </c>
      <c r="D67" s="801" t="s">
        <v>698</v>
      </c>
      <c r="E67" s="772" t="s">
        <v>699</v>
      </c>
      <c r="F67" s="782" t="e">
        <f ca="1">F40</f>
        <v>#N/A</v>
      </c>
      <c r="K67" s="1964"/>
      <c r="O67" s="2249" t="s">
        <v>2365</v>
      </c>
      <c r="P67" s="2250" t="s">
        <v>2396</v>
      </c>
      <c r="Q67" s="2251" t="e">
        <f ca="1">L60</f>
        <v>#N/A</v>
      </c>
      <c r="R67" s="2254" t="s">
        <v>2398</v>
      </c>
    </row>
    <row r="68" spans="1:18" ht="21.75" thickBot="1">
      <c r="A68" s="774"/>
      <c r="B68" s="775"/>
      <c r="C68" s="776"/>
      <c r="D68" s="808" t="s">
        <v>1798</v>
      </c>
      <c r="E68" s="772" t="s">
        <v>1774</v>
      </c>
      <c r="F68" s="809" t="e">
        <f ca="1">F41</f>
        <v>#N/A</v>
      </c>
      <c r="O68" s="2252" t="s">
        <v>2367</v>
      </c>
      <c r="P68" s="2250" t="s">
        <v>2397</v>
      </c>
      <c r="Q68" s="2256" t="e">
        <f ca="1">L51</f>
        <v>#N/A</v>
      </c>
      <c r="R68" s="2257" t="s">
        <v>2400</v>
      </c>
    </row>
    <row r="69" spans="1:18" ht="20.25" thickBot="1">
      <c r="A69" s="778"/>
      <c r="B69" s="779"/>
      <c r="C69" s="780"/>
      <c r="D69" s="803"/>
      <c r="E69" s="772" t="s">
        <v>704</v>
      </c>
      <c r="F69" s="2222"/>
      <c r="O69" s="2252" t="s">
        <v>2368</v>
      </c>
      <c r="P69" s="2258" t="s">
        <v>2382</v>
      </c>
      <c r="Q69" s="2251" t="e">
        <f ca="1">ROUND(Q70-Q71*Q72,0)</f>
        <v>#N/A</v>
      </c>
      <c r="R69" s="2254"/>
    </row>
    <row r="70" spans="1:18" ht="15.75" thickBot="1">
      <c r="A70" s="810" t="s">
        <v>1777</v>
      </c>
      <c r="B70" s="811" t="s">
        <v>1800</v>
      </c>
      <c r="C70" s="812" t="e">
        <f ca="1">ROUND(C67*10000/F70,0)</f>
        <v>#N/A</v>
      </c>
      <c r="D70" s="813" t="s">
        <v>1801</v>
      </c>
      <c r="E70" s="814" t="s">
        <v>1802</v>
      </c>
      <c r="F70" s="815" t="e">
        <f ca="1">F43</f>
        <v>#N/A</v>
      </c>
      <c r="O70" s="2252" t="s">
        <v>2383</v>
      </c>
      <c r="P70" s="2258" t="s">
        <v>2384</v>
      </c>
      <c r="Q70" s="2251" t="e">
        <f ca="1">C39</f>
        <v>#N/A</v>
      </c>
      <c r="R70" s="2250" t="s">
        <v>2364</v>
      </c>
    </row>
    <row r="71" spans="1:18" ht="15.75" thickBot="1">
      <c r="O71" s="2252" t="s">
        <v>2385</v>
      </c>
      <c r="P71" s="2258" t="s">
        <v>2386</v>
      </c>
      <c r="Q71" s="2251" t="e">
        <f ca="1">C13</f>
        <v>#N/A</v>
      </c>
      <c r="R71" s="2250" t="s">
        <v>2364</v>
      </c>
    </row>
    <row r="72" spans="1:18" ht="15.75" thickBot="1">
      <c r="O72" s="2252" t="s">
        <v>2387</v>
      </c>
      <c r="P72" s="2258" t="s">
        <v>2388</v>
      </c>
      <c r="Q72" s="2253" t="e">
        <f ca="1">J36</f>
        <v>#N/A</v>
      </c>
      <c r="R72" s="2254"/>
    </row>
    <row r="73" spans="1:18" ht="15.75" thickBot="1">
      <c r="O73" s="2252" t="s">
        <v>2370</v>
      </c>
      <c r="P73" s="2250" t="s">
        <v>2377</v>
      </c>
      <c r="Q73" s="2253">
        <f>L52</f>
        <v>0</v>
      </c>
      <c r="R73" s="2254"/>
    </row>
    <row r="74" spans="1:18" ht="20.25" thickBot="1">
      <c r="O74" s="2252" t="s">
        <v>2372</v>
      </c>
      <c r="P74" s="2250" t="s">
        <v>2378</v>
      </c>
      <c r="Q74" s="2251" t="e">
        <f ca="1">L58</f>
        <v>#N/A</v>
      </c>
      <c r="R74" s="2254" t="s">
        <v>2379</v>
      </c>
    </row>
    <row r="75" spans="1:18" ht="15.75" thickBot="1">
      <c r="O75" s="2252" t="s">
        <v>2401</v>
      </c>
      <c r="P75" s="2250" t="str">
        <f>K59</f>
        <v>建筑物剩余耐用年限下的土地年期修正系数Kn</v>
      </c>
      <c r="Q75" s="2251" t="e">
        <f ca="1">L59</f>
        <v>#N/A</v>
      </c>
      <c r="R75" s="2254" t="s">
        <v>2381</v>
      </c>
    </row>
    <row r="76" spans="1:18" ht="15.75" thickBot="1">
      <c r="O76" s="2249" t="s">
        <v>2375</v>
      </c>
      <c r="P76" s="2250" t="s">
        <v>2392</v>
      </c>
      <c r="Q76" s="2251" t="e">
        <f ca="1">Q66+Q67</f>
        <v>#N/A</v>
      </c>
      <c r="R76" s="2254"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2" priority="7">
      <formula>$L$48&gt;$J$51</formula>
    </cfRule>
  </conditionalFormatting>
  <conditionalFormatting sqref="I55">
    <cfRule type="expression" dxfId="61" priority="8">
      <formula>$J$51&gt;$L$48</formula>
    </cfRule>
  </conditionalFormatting>
  <conditionalFormatting sqref="I60">
    <cfRule type="expression" dxfId="60" priority="6">
      <formula>$J$51&gt;$L$48</formula>
    </cfRule>
  </conditionalFormatting>
  <conditionalFormatting sqref="K60">
    <cfRule type="expression" dxfId="59" priority="5">
      <formula>$L$48&gt;$J$51</formula>
    </cfRule>
  </conditionalFormatting>
  <conditionalFormatting sqref="C11">
    <cfRule type="expression" dxfId="58" priority="4">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4.xml><?xml version="1.0" encoding="utf-8"?>
<worksheet xmlns="http://schemas.openxmlformats.org/spreadsheetml/2006/main" xmlns:r="http://schemas.openxmlformats.org/officeDocument/2006/relationships">
  <sheetPr>
    <tabColor rgb="FF92D050"/>
  </sheetPr>
  <dimension ref="A1:I38"/>
  <sheetViews>
    <sheetView zoomScale="80" zoomScaleNormal="80" workbookViewId="0">
      <selection activeCell="C59" sqref="C59"/>
    </sheetView>
  </sheetViews>
  <sheetFormatPr defaultRowHeight="13.5"/>
  <cols>
    <col min="1" max="1" width="10.5" customWidth="1"/>
    <col min="2" max="2" width="12.875" customWidth="1"/>
    <col min="3" max="3" width="8.875" customWidth="1"/>
  </cols>
  <sheetData>
    <row r="1" spans="1:9" ht="14.25">
      <c r="A1" s="3871" t="s">
        <v>2452</v>
      </c>
      <c r="B1" s="3872"/>
      <c r="C1" s="3873"/>
      <c r="D1" s="3874">
        <f>SUM(I10,I15,I20,I21,I23)</f>
        <v>0</v>
      </c>
      <c r="E1" s="3874"/>
      <c r="F1" s="3874"/>
      <c r="G1" s="3874"/>
      <c r="H1" s="3874"/>
      <c r="I1" s="3875"/>
    </row>
    <row r="2" spans="1:9">
      <c r="A2" s="3876" t="s">
        <v>2453</v>
      </c>
      <c r="B2" s="3877" t="s">
        <v>2454</v>
      </c>
      <c r="C2" s="3877"/>
      <c r="D2" s="2356" t="s">
        <v>2455</v>
      </c>
      <c r="E2" s="2356" t="s">
        <v>2456</v>
      </c>
      <c r="F2" s="2356" t="s">
        <v>2457</v>
      </c>
      <c r="G2" s="2356" t="s">
        <v>2458</v>
      </c>
      <c r="H2" s="2356" t="s">
        <v>2459</v>
      </c>
      <c r="I2" s="2357" t="s">
        <v>2460</v>
      </c>
    </row>
    <row r="3" spans="1:9">
      <c r="A3" s="3876"/>
      <c r="B3" s="3877" t="s">
        <v>2461</v>
      </c>
      <c r="C3" s="3877"/>
      <c r="D3" s="2358"/>
      <c r="E3" s="2356"/>
      <c r="F3" s="2359"/>
      <c r="G3" s="2359"/>
      <c r="H3" s="2360"/>
      <c r="I3" s="2361">
        <f>ROUND(D3*E3*F3*G3*H3/10000,0)</f>
        <v>0</v>
      </c>
    </row>
    <row r="4" spans="1:9">
      <c r="A4" s="3876"/>
      <c r="B4" s="3877" t="s">
        <v>2462</v>
      </c>
      <c r="C4" s="3877"/>
      <c r="D4" s="2358"/>
      <c r="E4" s="2356"/>
      <c r="F4" s="2359"/>
      <c r="G4" s="2359"/>
      <c r="H4" s="2360"/>
      <c r="I4" s="2361">
        <f t="shared" ref="I4:I9" si="0">ROUND(D4*E4*F4*G4*H4/10000,0)</f>
        <v>0</v>
      </c>
    </row>
    <row r="5" spans="1:9">
      <c r="A5" s="3876"/>
      <c r="B5" s="3877" t="s">
        <v>2463</v>
      </c>
      <c r="C5" s="3877"/>
      <c r="D5" s="2358"/>
      <c r="E5" s="2356"/>
      <c r="F5" s="2359"/>
      <c r="G5" s="2359"/>
      <c r="H5" s="2360"/>
      <c r="I5" s="2361">
        <f t="shared" si="0"/>
        <v>0</v>
      </c>
    </row>
    <row r="6" spans="1:9">
      <c r="A6" s="3876"/>
      <c r="B6" s="3877" t="s">
        <v>2464</v>
      </c>
      <c r="C6" s="3877"/>
      <c r="D6" s="2358"/>
      <c r="E6" s="2356"/>
      <c r="F6" s="2359"/>
      <c r="G6" s="2359"/>
      <c r="H6" s="2360"/>
      <c r="I6" s="2361">
        <f t="shared" si="0"/>
        <v>0</v>
      </c>
    </row>
    <row r="7" spans="1:9">
      <c r="A7" s="3876"/>
      <c r="B7" s="3877" t="s">
        <v>2465</v>
      </c>
      <c r="C7" s="3877"/>
      <c r="D7" s="2358"/>
      <c r="E7" s="2356"/>
      <c r="F7" s="2359"/>
      <c r="G7" s="2359"/>
      <c r="H7" s="2360"/>
      <c r="I7" s="2361">
        <f t="shared" si="0"/>
        <v>0</v>
      </c>
    </row>
    <row r="8" spans="1:9">
      <c r="A8" s="3876"/>
      <c r="B8" s="3877" t="s">
        <v>2466</v>
      </c>
      <c r="C8" s="3877"/>
      <c r="D8" s="2358"/>
      <c r="E8" s="2356"/>
      <c r="F8" s="2359"/>
      <c r="G8" s="2359"/>
      <c r="H8" s="2360"/>
      <c r="I8" s="2361">
        <f t="shared" si="0"/>
        <v>0</v>
      </c>
    </row>
    <row r="9" spans="1:9">
      <c r="A9" s="3876"/>
      <c r="B9" s="3877" t="s">
        <v>2467</v>
      </c>
      <c r="C9" s="3877"/>
      <c r="D9" s="2358"/>
      <c r="E9" s="2356"/>
      <c r="F9" s="2359"/>
      <c r="G9" s="2359"/>
      <c r="H9" s="2360"/>
      <c r="I9" s="2361">
        <f t="shared" si="0"/>
        <v>0</v>
      </c>
    </row>
    <row r="10" spans="1:9">
      <c r="A10" s="3876"/>
      <c r="B10" s="3878" t="s">
        <v>2468</v>
      </c>
      <c r="C10" s="3878"/>
      <c r="D10" s="2362">
        <v>527</v>
      </c>
      <c r="E10" s="2362" t="e">
        <f>ROUND(D1*10000/D10/H9,0)</f>
        <v>#DIV/0!</v>
      </c>
      <c r="F10" s="2363"/>
      <c r="G10" s="2363"/>
      <c r="H10" s="2364"/>
      <c r="I10" s="2365">
        <f>SUM(I3:I9)</f>
        <v>0</v>
      </c>
    </row>
    <row r="11" spans="1:9" ht="14.25">
      <c r="A11" s="3876" t="s">
        <v>2469</v>
      </c>
      <c r="B11" s="3877" t="s">
        <v>2470</v>
      </c>
      <c r="C11" s="3877"/>
      <c r="D11" s="2358" t="s">
        <v>2471</v>
      </c>
      <c r="E11" s="2358" t="s">
        <v>2472</v>
      </c>
      <c r="F11" s="2359" t="s">
        <v>2473</v>
      </c>
      <c r="G11" s="2359" t="s">
        <v>2474</v>
      </c>
      <c r="H11" s="2366" t="s">
        <v>2475</v>
      </c>
      <c r="I11" s="2357" t="s">
        <v>2476</v>
      </c>
    </row>
    <row r="12" spans="1:9">
      <c r="A12" s="3876"/>
      <c r="B12" s="3877" t="s">
        <v>2477</v>
      </c>
      <c r="C12" s="3877"/>
      <c r="D12" s="2358"/>
      <c r="E12" s="2358"/>
      <c r="F12" s="2359"/>
      <c r="G12" s="2360"/>
      <c r="H12" s="2367"/>
      <c r="I12" s="2357">
        <f>ROUND(D12*E12*F12*G12/10000,0)</f>
        <v>0</v>
      </c>
    </row>
    <row r="13" spans="1:9">
      <c r="A13" s="3876"/>
      <c r="B13" s="3877" t="s">
        <v>2478</v>
      </c>
      <c r="C13" s="3877"/>
      <c r="D13" s="2358"/>
      <c r="E13" s="2358"/>
      <c r="F13" s="2359"/>
      <c r="G13" s="2360"/>
      <c r="H13" s="2367"/>
      <c r="I13" s="2357">
        <f>ROUND(D13*E13*F13*G13/10000,0)</f>
        <v>0</v>
      </c>
    </row>
    <row r="14" spans="1:9">
      <c r="A14" s="3876"/>
      <c r="B14" s="3877" t="s">
        <v>2479</v>
      </c>
      <c r="C14" s="3877"/>
      <c r="D14" s="2358"/>
      <c r="E14" s="2358"/>
      <c r="F14" s="2359"/>
      <c r="G14" s="2360"/>
      <c r="H14" s="2367"/>
      <c r="I14" s="2357">
        <f>ROUND(D14*E14*F14*G14/10000,0)</f>
        <v>0</v>
      </c>
    </row>
    <row r="15" spans="1:9">
      <c r="A15" s="3876"/>
      <c r="B15" s="3878" t="s">
        <v>2468</v>
      </c>
      <c r="C15" s="3878"/>
      <c r="D15" s="2362"/>
      <c r="E15" s="2362">
        <f>SUM(E12:E14)</f>
        <v>0</v>
      </c>
      <c r="F15" s="2363"/>
      <c r="G15" s="2360"/>
      <c r="H15" s="2367"/>
      <c r="I15" s="2368">
        <f>SUM(I12:I14)</f>
        <v>0</v>
      </c>
    </row>
    <row r="16" spans="1:9" ht="24">
      <c r="A16" s="3876" t="s">
        <v>2480</v>
      </c>
      <c r="B16" s="3877" t="s">
        <v>2481</v>
      </c>
      <c r="C16" s="3877"/>
      <c r="D16" s="2358" t="s">
        <v>2482</v>
      </c>
      <c r="E16" s="2369" t="s">
        <v>2483</v>
      </c>
      <c r="F16" s="2359" t="s">
        <v>2484</v>
      </c>
      <c r="G16" s="2360" t="s">
        <v>2474</v>
      </c>
      <c r="H16" s="2366" t="s">
        <v>2475</v>
      </c>
      <c r="I16" s="2357" t="s">
        <v>2476</v>
      </c>
    </row>
    <row r="17" spans="1:9" ht="14.25">
      <c r="A17" s="3876"/>
      <c r="B17" s="3877" t="s">
        <v>2485</v>
      </c>
      <c r="C17" s="3877"/>
      <c r="D17" s="2358"/>
      <c r="E17" s="2358"/>
      <c r="F17" s="2359"/>
      <c r="G17" s="2360"/>
      <c r="H17" s="2370"/>
      <c r="I17" s="2371">
        <f>ROUND(D17*E17*F17*G17/10000,0)</f>
        <v>0</v>
      </c>
    </row>
    <row r="18" spans="1:9" ht="14.25">
      <c r="A18" s="3876"/>
      <c r="B18" s="3877" t="s">
        <v>2486</v>
      </c>
      <c r="C18" s="3877"/>
      <c r="D18" s="2358"/>
      <c r="E18" s="2358"/>
      <c r="F18" s="2359"/>
      <c r="G18" s="2360"/>
      <c r="H18" s="2370"/>
      <c r="I18" s="2371">
        <f>ROUND(D18*E18*F18*G18/10000,0)</f>
        <v>0</v>
      </c>
    </row>
    <row r="19" spans="1:9" ht="14.25">
      <c r="A19" s="3876"/>
      <c r="B19" s="3877" t="s">
        <v>2487</v>
      </c>
      <c r="C19" s="3877"/>
      <c r="D19" s="2358"/>
      <c r="E19" s="2358"/>
      <c r="F19" s="2359"/>
      <c r="G19" s="2360"/>
      <c r="H19" s="2370"/>
      <c r="I19" s="2371">
        <f>ROUND(D19*E19*F19*G19/10000,0)</f>
        <v>0</v>
      </c>
    </row>
    <row r="20" spans="1:9">
      <c r="A20" s="3876"/>
      <c r="B20" s="3878" t="s">
        <v>2468</v>
      </c>
      <c r="C20" s="3878"/>
      <c r="D20" s="2362">
        <f>SUM(D17:D19)</f>
        <v>0</v>
      </c>
      <c r="E20" s="2362"/>
      <c r="F20" s="2363"/>
      <c r="G20" s="2360"/>
      <c r="H20" s="2367"/>
      <c r="I20" s="2368">
        <f>SUM(I17:I19)</f>
        <v>0</v>
      </c>
    </row>
    <row r="21" spans="1:9">
      <c r="A21" s="3876" t="s">
        <v>2488</v>
      </c>
      <c r="B21" s="3880"/>
      <c r="C21" s="3880"/>
      <c r="D21" s="3880"/>
      <c r="E21" s="3880"/>
      <c r="F21" s="3880"/>
      <c r="G21" s="3880"/>
      <c r="H21" s="2372">
        <v>0.1</v>
      </c>
      <c r="I21" s="2365">
        <f>ROUND(I10*H21,0)</f>
        <v>0</v>
      </c>
    </row>
    <row r="22" spans="1:9" ht="14.25">
      <c r="A22" s="3881" t="s">
        <v>2489</v>
      </c>
      <c r="B22" s="3882"/>
      <c r="C22" s="3883"/>
      <c r="D22" s="2373" t="s">
        <v>2490</v>
      </c>
      <c r="E22" s="2373" t="s">
        <v>2491</v>
      </c>
      <c r="F22" s="2374" t="s">
        <v>2492</v>
      </c>
      <c r="G22" s="2374" t="s">
        <v>2493</v>
      </c>
      <c r="H22" s="2366" t="s">
        <v>2494</v>
      </c>
      <c r="I22" s="2357" t="s">
        <v>2495</v>
      </c>
    </row>
    <row r="23" spans="1:9" ht="14.25" thickBot="1">
      <c r="A23" s="3884"/>
      <c r="B23" s="3885"/>
      <c r="C23" s="3886"/>
      <c r="D23" s="2375"/>
      <c r="E23" s="2375"/>
      <c r="F23" s="2375"/>
      <c r="G23" s="2376"/>
      <c r="H23" s="2377"/>
      <c r="I23" s="2378">
        <f>ROUND(E23*D23*F23*(1-G23)/10000,0)</f>
        <v>0</v>
      </c>
    </row>
    <row r="26" spans="1:9">
      <c r="A26" s="2379" t="s">
        <v>2496</v>
      </c>
      <c r="B26" s="2379"/>
      <c r="C26" s="2379"/>
      <c r="D26" s="2379"/>
      <c r="E26" s="3887">
        <f>C27-C30-C31-C32</f>
        <v>0</v>
      </c>
      <c r="F26" s="3887"/>
      <c r="G26" s="3887"/>
      <c r="H26" s="2750" t="s">
        <v>2821</v>
      </c>
    </row>
    <row r="27" spans="1:9">
      <c r="A27" s="2380">
        <v>1</v>
      </c>
      <c r="B27" s="2381" t="s">
        <v>2497</v>
      </c>
      <c r="C27" s="2381"/>
      <c r="D27" s="2381"/>
      <c r="E27" s="3888"/>
      <c r="F27" s="3888"/>
      <c r="G27" s="3888"/>
    </row>
    <row r="28" spans="1:9">
      <c r="A28" s="2382" t="s">
        <v>2498</v>
      </c>
      <c r="B28" s="2381" t="s">
        <v>2499</v>
      </c>
      <c r="C28" s="2381"/>
      <c r="D28" s="2381"/>
      <c r="E28" s="3888"/>
      <c r="F28" s="3888"/>
      <c r="G28" s="3888"/>
    </row>
    <row r="29" spans="1:9">
      <c r="A29" s="2382" t="s">
        <v>2500</v>
      </c>
      <c r="B29" s="2381" t="s">
        <v>2441</v>
      </c>
      <c r="C29" s="2381"/>
      <c r="D29" s="2381"/>
      <c r="E29" s="2381" t="s">
        <v>2501</v>
      </c>
      <c r="F29" s="2381"/>
      <c r="G29" s="2381"/>
    </row>
    <row r="30" spans="1:9">
      <c r="A30" s="2380">
        <v>2</v>
      </c>
      <c r="B30" s="2381" t="s">
        <v>2502</v>
      </c>
      <c r="C30" s="2381">
        <f>C27*D30</f>
        <v>0</v>
      </c>
      <c r="D30" s="2383">
        <v>0.2</v>
      </c>
      <c r="E30" s="2381" t="s">
        <v>2503</v>
      </c>
      <c r="F30" s="2381"/>
      <c r="G30" s="2381"/>
    </row>
    <row r="31" spans="1:9">
      <c r="A31" s="2380">
        <v>3</v>
      </c>
      <c r="B31" s="2381" t="s">
        <v>2504</v>
      </c>
      <c r="C31" s="2381">
        <f>C25*D31</f>
        <v>0</v>
      </c>
      <c r="D31" s="2383">
        <v>0.15</v>
      </c>
      <c r="E31" s="2381" t="s">
        <v>2505</v>
      </c>
      <c r="F31" s="2381"/>
      <c r="G31" s="2381"/>
    </row>
    <row r="32" spans="1:9">
      <c r="A32" s="2380">
        <v>4</v>
      </c>
      <c r="B32" s="2381" t="s">
        <v>2506</v>
      </c>
      <c r="C32" s="2381">
        <f>C27*D32</f>
        <v>0</v>
      </c>
      <c r="D32" s="2383">
        <v>0.05</v>
      </c>
      <c r="E32" s="3879"/>
      <c r="F32" s="3879"/>
      <c r="G32" s="3879"/>
    </row>
    <row r="33" spans="1:7" hidden="1">
      <c r="A33" s="3889" t="s">
        <v>2507</v>
      </c>
      <c r="B33" s="3890"/>
      <c r="C33" s="3890"/>
      <c r="D33" s="3891"/>
      <c r="E33" s="3887"/>
      <c r="F33" s="3887"/>
      <c r="G33" s="3887"/>
    </row>
    <row r="34" spans="1:7" hidden="1">
      <c r="A34" s="2384">
        <v>1</v>
      </c>
      <c r="B34" s="2381" t="s">
        <v>2508</v>
      </c>
      <c r="C34" s="2381"/>
      <c r="D34" s="2381"/>
      <c r="E34" s="3888"/>
      <c r="F34" s="3888"/>
      <c r="G34" s="3888"/>
    </row>
    <row r="35" spans="1:7" hidden="1">
      <c r="A35" s="2384">
        <v>2</v>
      </c>
      <c r="B35" s="2381" t="s">
        <v>2509</v>
      </c>
      <c r="C35" s="2381"/>
      <c r="D35" s="2381"/>
      <c r="E35" s="3888"/>
      <c r="F35" s="3888"/>
      <c r="G35" s="3888"/>
    </row>
    <row r="36" spans="1:7" hidden="1">
      <c r="A36" s="2384">
        <v>3</v>
      </c>
      <c r="B36" s="2381" t="s">
        <v>2510</v>
      </c>
      <c r="C36" s="2381"/>
      <c r="D36" s="2381"/>
      <c r="E36" s="3888"/>
      <c r="F36" s="3888"/>
      <c r="G36" s="3888"/>
    </row>
    <row r="37" spans="1:7" hidden="1">
      <c r="A37" s="2384">
        <v>4</v>
      </c>
      <c r="B37" s="2381" t="s">
        <v>2511</v>
      </c>
      <c r="C37" s="2381"/>
      <c r="D37" s="2381"/>
      <c r="E37" s="3888"/>
      <c r="F37" s="3888"/>
      <c r="G37" s="3888"/>
    </row>
    <row r="38" spans="1:7" hidden="1">
      <c r="A38" s="3889" t="s">
        <v>2512</v>
      </c>
      <c r="B38" s="3890"/>
      <c r="C38" s="3890"/>
      <c r="D38" s="3891"/>
      <c r="E38" s="3887"/>
      <c r="F38" s="3887"/>
      <c r="G38" s="38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C59" sqref="C59"/>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3" t="s">
        <v>597</v>
      </c>
      <c r="B1" s="732"/>
      <c r="C1" s="2059"/>
      <c r="D1" s="2059"/>
      <c r="E1" s="2059"/>
      <c r="F1" s="2059"/>
      <c r="G1" s="1986"/>
    </row>
    <row r="2" spans="1:25" s="1938" customFormat="1" ht="18" customHeight="1">
      <c r="A2" s="415" t="s">
        <v>461</v>
      </c>
      <c r="B2" s="417">
        <f ca="1">C23</f>
        <v>0</v>
      </c>
      <c r="C2" s="3261"/>
      <c r="D2" s="3261"/>
      <c r="E2" s="3261"/>
      <c r="F2" s="3261"/>
      <c r="G2" s="3261"/>
    </row>
    <row r="3" spans="1:25" s="1938" customFormat="1" ht="18" customHeight="1">
      <c r="A3" s="1328" t="s">
        <v>1675</v>
      </c>
      <c r="B3" s="417">
        <f ca="1">ROUND(B2*10000/'数据-汇总表'!E3,0)</f>
        <v>0</v>
      </c>
      <c r="C3" s="3261"/>
      <c r="D3" s="3261"/>
      <c r="E3" s="3261"/>
      <c r="F3" s="3261"/>
      <c r="G3" s="3261"/>
    </row>
    <row r="4" spans="1:25" s="1938" customFormat="1" ht="18" customHeight="1">
      <c r="A4" s="418" t="s">
        <v>462</v>
      </c>
      <c r="B4" s="419">
        <f ca="1">ROUND(B2*10000/'数据-汇总表'!D3,0)</f>
        <v>0</v>
      </c>
      <c r="C4" s="3214"/>
      <c r="D4" s="3261"/>
      <c r="E4" s="3261"/>
      <c r="F4" s="3261"/>
      <c r="G4" s="3261"/>
    </row>
    <row r="5" spans="1:25" s="1938" customFormat="1" ht="18" customHeight="1" thickBot="1">
      <c r="A5" s="421"/>
      <c r="B5" s="422">
        <f ca="1">ROUND(B2/('数据-汇总表'!D3/666.67),0)</f>
        <v>0</v>
      </c>
      <c r="C5" s="423" t="s">
        <v>463</v>
      </c>
      <c r="D5" s="3261"/>
      <c r="E5" s="3261"/>
      <c r="F5" s="3261"/>
      <c r="G5" s="3261"/>
    </row>
    <row r="6" spans="1:25" s="2060" customFormat="1" ht="13.5" customHeight="1">
      <c r="A6" s="733"/>
      <c r="B6" s="734" t="s">
        <v>598</v>
      </c>
      <c r="C6" s="735" t="s">
        <v>599</v>
      </c>
      <c r="D6" s="735" t="s">
        <v>600</v>
      </c>
      <c r="E6" s="736" t="s">
        <v>601</v>
      </c>
      <c r="F6" s="736" t="s">
        <v>602</v>
      </c>
      <c r="G6" s="3260" t="s">
        <v>2990</v>
      </c>
    </row>
    <row r="7" spans="1:25" s="2060" customFormat="1" ht="13.5" customHeight="1">
      <c r="A7" s="2319">
        <v>1</v>
      </c>
      <c r="B7" s="737" t="s">
        <v>603</v>
      </c>
      <c r="C7" s="738">
        <f>C8+C9</f>
        <v>0</v>
      </c>
      <c r="D7" s="738"/>
      <c r="E7" s="739"/>
      <c r="F7" s="739"/>
      <c r="G7" s="2328"/>
    </row>
    <row r="8" spans="1:25" s="2060" customFormat="1" ht="13.5" customHeight="1">
      <c r="A8" s="2319" t="s">
        <v>2422</v>
      </c>
      <c r="B8" s="2322" t="s">
        <v>2424</v>
      </c>
      <c r="C8" s="3264">
        <f t="shared" ref="C8:C9" si="0">ROUND(D8*E8/10000,0)</f>
        <v>0</v>
      </c>
      <c r="D8" s="3264">
        <v>0</v>
      </c>
      <c r="E8" s="3265">
        <v>0</v>
      </c>
      <c r="F8" s="739"/>
      <c r="G8" s="740"/>
    </row>
    <row r="9" spans="1:25" s="2060" customFormat="1" ht="13.5" customHeight="1">
      <c r="A9" s="2319" t="s">
        <v>2423</v>
      </c>
      <c r="B9" s="2322" t="s">
        <v>2425</v>
      </c>
      <c r="C9" s="3264">
        <f t="shared" si="0"/>
        <v>0</v>
      </c>
      <c r="D9" s="3264">
        <v>0</v>
      </c>
      <c r="E9" s="3265">
        <v>0</v>
      </c>
      <c r="F9" s="739"/>
      <c r="G9" s="740"/>
    </row>
    <row r="10" spans="1:25" s="2060" customFormat="1" ht="36">
      <c r="A10" s="2319">
        <v>2</v>
      </c>
      <c r="B10" s="737" t="s">
        <v>607</v>
      </c>
      <c r="C10" s="738">
        <f>C11+C14+C15</f>
        <v>0</v>
      </c>
      <c r="D10" s="748"/>
      <c r="E10" s="738"/>
      <c r="F10" s="749"/>
      <c r="G10" s="747" t="s">
        <v>608</v>
      </c>
    </row>
    <row r="11" spans="1:25" s="2060" customFormat="1" ht="13.5" customHeight="1">
      <c r="A11" s="2319" t="s">
        <v>2422</v>
      </c>
      <c r="B11" s="741" t="s">
        <v>604</v>
      </c>
      <c r="C11" s="742">
        <f>'数据-取费表'!B29</f>
        <v>0</v>
      </c>
      <c r="D11" s="743"/>
      <c r="E11" s="742"/>
      <c r="F11" s="744"/>
      <c r="G11" s="2327" t="s">
        <v>2433</v>
      </c>
    </row>
    <row r="12" spans="1:25" s="2060" customFormat="1" ht="13.5" customHeight="1">
      <c r="A12" s="2325" t="s">
        <v>2430</v>
      </c>
      <c r="B12" s="745" t="s">
        <v>605</v>
      </c>
      <c r="C12" s="746">
        <f>ROUND(D12*E12/10000,0)</f>
        <v>826</v>
      </c>
      <c r="D12" s="3264">
        <f>'数据-汇总表'!E5</f>
        <v>51607.64</v>
      </c>
      <c r="E12" s="3264">
        <f>'数据-取费表'!B27</f>
        <v>160</v>
      </c>
      <c r="F12" s="744"/>
      <c r="G12" s="747"/>
    </row>
    <row r="13" spans="1:25" s="2060" customFormat="1" ht="13.5" customHeight="1">
      <c r="A13" s="2325" t="s">
        <v>2429</v>
      </c>
      <c r="B13" s="745" t="s">
        <v>606</v>
      </c>
      <c r="C13" s="746">
        <f>ROUND(D13*E13/10000,0)</f>
        <v>1399</v>
      </c>
      <c r="D13" s="3264">
        <f>'数据-汇总表'!E6</f>
        <v>69940.33</v>
      </c>
      <c r="E13" s="3264">
        <f>'数据-取费表'!B28</f>
        <v>200</v>
      </c>
      <c r="F13" s="744"/>
      <c r="G13" s="747"/>
    </row>
    <row r="14" spans="1:25" s="2060" customFormat="1" ht="13.5" customHeight="1">
      <c r="A14" s="2319" t="s">
        <v>2423</v>
      </c>
      <c r="B14" s="2324" t="s">
        <v>2426</v>
      </c>
      <c r="C14" s="3266">
        <f t="shared" ref="C14:C15" si="1">ROUND(D14*E14/10000,0)</f>
        <v>0</v>
      </c>
      <c r="D14" s="3264">
        <v>0</v>
      </c>
      <c r="E14" s="3265">
        <v>0</v>
      </c>
      <c r="F14" s="2323"/>
      <c r="G14" s="2326" t="s">
        <v>2431</v>
      </c>
    </row>
    <row r="15" spans="1:25" s="2060" customFormat="1" ht="13.5" customHeight="1">
      <c r="A15" s="2319" t="s">
        <v>2428</v>
      </c>
      <c r="B15" s="2324" t="s">
        <v>2427</v>
      </c>
      <c r="C15" s="3266">
        <f t="shared" si="1"/>
        <v>0</v>
      </c>
      <c r="D15" s="3264">
        <v>0</v>
      </c>
      <c r="E15" s="3265">
        <v>0</v>
      </c>
      <c r="F15" s="2323"/>
      <c r="G15" s="2326" t="s">
        <v>2432</v>
      </c>
    </row>
    <row r="16" spans="1:25" s="2061" customFormat="1" ht="48">
      <c r="A16" s="2319">
        <v>3</v>
      </c>
      <c r="B16" s="737" t="s">
        <v>609</v>
      </c>
      <c r="C16" s="3266">
        <f t="shared" ref="C16" si="2">ROUND(D16*E16/10000,0)</f>
        <v>0</v>
      </c>
      <c r="D16" s="3264">
        <v>0</v>
      </c>
      <c r="E16" s="3265">
        <v>0</v>
      </c>
      <c r="F16" s="749"/>
      <c r="G16" s="747" t="s">
        <v>2434</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7" t="s">
        <v>610</v>
      </c>
      <c r="C17" s="2421">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7" t="s">
        <v>611</v>
      </c>
      <c r="C18" s="738">
        <f>ROUND((C7+C10+C16)*F18,0)</f>
        <v>0</v>
      </c>
      <c r="D18" s="750"/>
      <c r="E18" s="751"/>
      <c r="F18" s="1300">
        <v>0.05</v>
      </c>
      <c r="G18" s="753" t="s">
        <v>612</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7" t="s">
        <v>613</v>
      </c>
      <c r="C19" s="738">
        <f ca="1">C7+C10+C16+C17+C18</f>
        <v>0</v>
      </c>
      <c r="D19" s="748"/>
      <c r="E19" s="738"/>
      <c r="F19" s="749"/>
      <c r="G19" s="753" t="s">
        <v>614</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7" t="s">
        <v>615</v>
      </c>
      <c r="C20" s="738">
        <f ca="1">ROUND(C19*F20,0)</f>
        <v>0</v>
      </c>
      <c r="D20" s="748"/>
      <c r="E20" s="738"/>
      <c r="F20" s="1300">
        <v>0.1</v>
      </c>
      <c r="G20" s="753" t="s">
        <v>616</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7" t="s">
        <v>617</v>
      </c>
      <c r="C21" s="738">
        <f ca="1">C19+C20</f>
        <v>0</v>
      </c>
      <c r="D21" s="748"/>
      <c r="E21" s="738"/>
      <c r="F21" s="749"/>
      <c r="G21" s="753" t="s">
        <v>618</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7" t="s">
        <v>619</v>
      </c>
      <c r="C22" s="738">
        <f ca="1">ROUND(C21*F22,0)</f>
        <v>0</v>
      </c>
      <c r="D22" s="748"/>
      <c r="E22" s="738"/>
      <c r="F22" s="754">
        <f>'数据-取费表'!AP16</f>
        <v>0.873</v>
      </c>
      <c r="G22" s="753" t="s">
        <v>620</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35" customHeight="1" thickBot="1">
      <c r="A23" s="2321">
        <v>10</v>
      </c>
      <c r="B23" s="755" t="s">
        <v>621</v>
      </c>
      <c r="C23" s="756">
        <f ca="1">C22</f>
        <v>0</v>
      </c>
      <c r="D23" s="757"/>
      <c r="E23" s="756"/>
      <c r="F23" s="758"/>
      <c r="G23" s="759"/>
      <c r="H23" s="2060"/>
      <c r="I23" s="2060"/>
      <c r="J23" s="2060"/>
      <c r="K23" s="2060"/>
      <c r="L23" s="2060"/>
      <c r="M23" s="2060"/>
      <c r="N23" s="2060"/>
      <c r="O23" s="2060"/>
      <c r="P23" s="2060"/>
      <c r="Q23" s="2060"/>
      <c r="R23" s="2060"/>
      <c r="S23" s="2060"/>
      <c r="T23" s="2060"/>
      <c r="U23" s="2060"/>
      <c r="V23" s="2060"/>
      <c r="W23" s="2060"/>
      <c r="X23" s="2060"/>
      <c r="Y23" s="2060"/>
    </row>
    <row r="24" spans="1:25" s="3263" customFormat="1">
      <c r="A24" s="3262"/>
      <c r="D24" s="1880"/>
      <c r="E24" s="1880"/>
    </row>
    <row r="25" spans="1:25" s="3263" customFormat="1">
      <c r="A25" s="3262"/>
      <c r="D25" s="1880"/>
      <c r="E25" s="1880"/>
    </row>
    <row r="26" spans="1:25" s="3263" customFormat="1">
      <c r="A26" s="3262"/>
      <c r="D26" s="1880"/>
      <c r="E26" s="1880"/>
    </row>
    <row r="27" spans="1:25" s="3263" customFormat="1">
      <c r="A27" s="3262"/>
      <c r="D27" s="1880"/>
      <c r="E27" s="1880"/>
    </row>
    <row r="28" spans="1:25" s="3263" customFormat="1">
      <c r="A28" s="3262"/>
      <c r="D28" s="1880"/>
      <c r="E28" s="1880"/>
    </row>
    <row r="29" spans="1:25" s="3263" customFormat="1">
      <c r="A29" s="3262"/>
      <c r="D29" s="1880"/>
      <c r="E29" s="1880"/>
    </row>
    <row r="30" spans="1:25" s="3263" customFormat="1">
      <c r="A30" s="3262"/>
      <c r="D30" s="1880"/>
      <c r="E30" s="1880"/>
    </row>
    <row r="31" spans="1:25" s="3263" customFormat="1">
      <c r="A31" s="3262"/>
      <c r="D31" s="1880"/>
      <c r="E31" s="1880"/>
    </row>
    <row r="32" spans="1:25" s="3263" customFormat="1">
      <c r="A32" s="3262"/>
      <c r="D32" s="1880"/>
      <c r="E32" s="1880"/>
    </row>
    <row r="33" spans="1:5" s="3263" customFormat="1">
      <c r="A33" s="3262"/>
      <c r="D33" s="1880"/>
      <c r="E33" s="1880"/>
    </row>
    <row r="34" spans="1:5" s="3263" customFormat="1">
      <c r="A34" s="3262"/>
      <c r="D34" s="1880"/>
      <c r="E34" s="1880"/>
    </row>
    <row r="35" spans="1:5" s="3263" customFormat="1">
      <c r="A35" s="3262"/>
      <c r="D35" s="1880"/>
      <c r="E35" s="1880"/>
    </row>
    <row r="36" spans="1:5" s="3263" customFormat="1">
      <c r="A36" s="3262"/>
      <c r="D36" s="1880"/>
      <c r="E36" s="1880"/>
    </row>
    <row r="37" spans="1:5" s="3263" customFormat="1">
      <c r="A37" s="3262"/>
      <c r="D37" s="1880"/>
      <c r="E37" s="1880"/>
    </row>
    <row r="38" spans="1:5" s="3263" customFormat="1">
      <c r="A38" s="3262"/>
      <c r="D38" s="1880"/>
      <c r="E38" s="1880"/>
    </row>
    <row r="39" spans="1:5" s="3263" customFormat="1">
      <c r="A39" s="3262"/>
      <c r="D39" s="1880"/>
      <c r="E39" s="1880"/>
    </row>
    <row r="40" spans="1:5" s="3263" customFormat="1">
      <c r="A40" s="3262"/>
      <c r="D40" s="1880"/>
      <c r="E40" s="1880"/>
    </row>
    <row r="41" spans="1:5" s="3263" customFormat="1">
      <c r="A41" s="3262"/>
      <c r="D41" s="1880"/>
      <c r="E41" s="1880"/>
    </row>
    <row r="42" spans="1:5" s="3263" customFormat="1">
      <c r="A42" s="3262"/>
      <c r="D42" s="1880"/>
      <c r="E42" s="1880"/>
    </row>
    <row r="43" spans="1:5" s="3263" customFormat="1">
      <c r="A43" s="3262"/>
      <c r="D43" s="1880"/>
      <c r="E43" s="1880"/>
    </row>
    <row r="44" spans="1:5" s="3263" customFormat="1">
      <c r="A44" s="3262"/>
      <c r="D44" s="1880"/>
      <c r="E44" s="1880"/>
    </row>
    <row r="45" spans="1:5" s="3263" customFormat="1">
      <c r="A45" s="3262"/>
      <c r="D45" s="1880"/>
      <c r="E45" s="1880"/>
    </row>
    <row r="46" spans="1:5" s="3263" customFormat="1">
      <c r="A46" s="3262"/>
      <c r="D46" s="1880"/>
      <c r="E46" s="1880"/>
    </row>
    <row r="47" spans="1:5" s="3263" customFormat="1">
      <c r="A47" s="3262"/>
      <c r="D47" s="1880"/>
      <c r="E47" s="1880"/>
    </row>
    <row r="48" spans="1:5" s="3263" customFormat="1">
      <c r="A48" s="3262"/>
      <c r="D48" s="1880"/>
      <c r="E48" s="1880"/>
    </row>
    <row r="49" spans="1:5" s="3263" customFormat="1">
      <c r="A49" s="3262"/>
      <c r="D49" s="1880"/>
      <c r="E49" s="1880"/>
    </row>
    <row r="50" spans="1:5" s="3263" customFormat="1">
      <c r="A50" s="3262"/>
      <c r="D50" s="1880"/>
      <c r="E50" s="1880"/>
    </row>
    <row r="51" spans="1:5" s="3263" customFormat="1">
      <c r="A51" s="3262"/>
      <c r="D51" s="1880"/>
      <c r="E51" s="1880"/>
    </row>
    <row r="52" spans="1:5" s="3263" customFormat="1">
      <c r="A52" s="3262"/>
      <c r="D52" s="1880"/>
      <c r="E52" s="1880"/>
    </row>
    <row r="53" spans="1:5" s="3263" customFormat="1">
      <c r="A53" s="3262"/>
      <c r="D53" s="1880"/>
      <c r="E53" s="1880"/>
    </row>
    <row r="54" spans="1:5" s="3263" customFormat="1">
      <c r="A54" s="3262"/>
      <c r="D54" s="1880"/>
      <c r="E54" s="1880"/>
    </row>
    <row r="55" spans="1:5" s="3263" customFormat="1">
      <c r="A55" s="3262"/>
      <c r="D55" s="1880"/>
      <c r="E55" s="1880"/>
    </row>
    <row r="56" spans="1:5" s="3263" customFormat="1">
      <c r="A56" s="3262"/>
      <c r="D56" s="1880"/>
      <c r="E56" s="1880"/>
    </row>
    <row r="57" spans="1:5" s="3263" customFormat="1">
      <c r="A57" s="3262"/>
      <c r="D57" s="1880"/>
      <c r="E57" s="1880"/>
    </row>
    <row r="58" spans="1:5" s="3263" customFormat="1">
      <c r="A58" s="3262"/>
      <c r="D58" s="1880"/>
      <c r="E58" s="1880"/>
    </row>
    <row r="59" spans="1:5" s="3263" customFormat="1">
      <c r="A59" s="3262"/>
      <c r="D59" s="1880"/>
      <c r="E59" s="1880"/>
    </row>
    <row r="60" spans="1:5" s="3263" customFormat="1">
      <c r="A60" s="3262"/>
      <c r="D60" s="1880"/>
      <c r="E60" s="1880"/>
    </row>
    <row r="61" spans="1:5" s="3263" customFormat="1">
      <c r="A61" s="3262"/>
      <c r="D61" s="1880"/>
      <c r="E61" s="1880"/>
    </row>
    <row r="62" spans="1:5" s="3263" customFormat="1">
      <c r="A62" s="3262"/>
      <c r="D62" s="1880"/>
      <c r="E62" s="1880"/>
    </row>
    <row r="63" spans="1:5" s="3263" customFormat="1">
      <c r="A63" s="3262"/>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782</v>
      </c>
      <c r="C1" s="496" t="s">
        <v>714</v>
      </c>
      <c r="D1" s="836"/>
      <c r="E1" s="498"/>
      <c r="F1" s="2520"/>
      <c r="G1" s="1528" t="s">
        <v>715</v>
      </c>
      <c r="H1" s="498"/>
      <c r="I1" s="498"/>
      <c r="J1" s="498"/>
      <c r="K1" s="499"/>
      <c r="L1" s="3203"/>
      <c r="M1" s="3204"/>
      <c r="N1" s="3204"/>
      <c r="O1" s="3204"/>
      <c r="P1" s="2010"/>
      <c r="Q1" s="2010"/>
      <c r="R1" s="2010"/>
      <c r="S1" s="2010"/>
      <c r="T1" s="2010"/>
      <c r="U1" s="2010"/>
      <c r="V1" s="2010"/>
      <c r="W1" s="2010"/>
      <c r="X1" s="2010"/>
      <c r="Y1" s="2010"/>
      <c r="Z1" s="2010"/>
      <c r="AA1" s="2010"/>
      <c r="AB1" s="2010"/>
      <c r="AC1" s="1940"/>
    </row>
    <row r="2" spans="1:29" s="1288" customFormat="1" ht="28.5" customHeight="1">
      <c r="A2" s="415" t="s">
        <v>461</v>
      </c>
      <c r="B2" s="837"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8" customFormat="1" ht="28.5" customHeight="1" thickBot="1">
      <c r="A3" s="501" t="s">
        <v>513</v>
      </c>
      <c r="B3" s="502" t="e">
        <f>C43</f>
        <v>#DIV/0!</v>
      </c>
      <c r="C3" s="839" t="s">
        <v>716</v>
      </c>
      <c r="D3" s="838">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6"/>
      <c r="AC3" s="1940"/>
    </row>
    <row r="4" spans="1:29" ht="15">
      <c r="A4" s="504" t="s">
        <v>515</v>
      </c>
      <c r="B4" s="505"/>
      <c r="C4" s="3782" t="s">
        <v>516</v>
      </c>
      <c r="D4" s="3783"/>
      <c r="E4" s="3784" t="s">
        <v>517</v>
      </c>
      <c r="F4" s="3785"/>
      <c r="G4" s="3782" t="s">
        <v>518</v>
      </c>
      <c r="H4" s="3783"/>
      <c r="I4" s="3782" t="s">
        <v>519</v>
      </c>
      <c r="J4" s="3783"/>
      <c r="K4" s="506" t="s">
        <v>520</v>
      </c>
      <c r="L4" s="2011"/>
      <c r="M4" s="2012"/>
      <c r="N4" s="2012"/>
      <c r="O4" s="2012"/>
      <c r="P4" s="3786" t="s">
        <v>521</v>
      </c>
      <c r="Q4" s="3787"/>
      <c r="R4" s="3792" t="s">
        <v>517</v>
      </c>
      <c r="S4" s="3793"/>
      <c r="T4" s="3792" t="s">
        <v>518</v>
      </c>
      <c r="U4" s="3793"/>
      <c r="V4" s="3798" t="s">
        <v>519</v>
      </c>
      <c r="W4" s="3798"/>
      <c r="X4" s="1498"/>
      <c r="Y4" s="3792" t="s">
        <v>521</v>
      </c>
      <c r="Z4" s="3793"/>
      <c r="AA4" s="3779" t="s">
        <v>517</v>
      </c>
      <c r="AB4" s="3780" t="s">
        <v>518</v>
      </c>
      <c r="AC4" s="3779" t="s">
        <v>519</v>
      </c>
    </row>
    <row r="5" spans="1:29" ht="15">
      <c r="A5" s="507"/>
      <c r="B5" s="508"/>
      <c r="C5" s="3801" t="s">
        <v>2893</v>
      </c>
      <c r="D5" s="3802"/>
      <c r="E5" s="3812" t="s">
        <v>2894</v>
      </c>
      <c r="F5" s="3810"/>
      <c r="G5" s="3801" t="s">
        <v>2895</v>
      </c>
      <c r="H5" s="3802"/>
      <c r="I5" s="3801" t="s">
        <v>2896</v>
      </c>
      <c r="J5" s="3802"/>
      <c r="K5" s="506"/>
      <c r="L5" s="2011"/>
      <c r="M5" s="2012"/>
      <c r="N5" s="2012"/>
      <c r="O5" s="2012"/>
      <c r="P5" s="3788"/>
      <c r="Q5" s="3789"/>
      <c r="R5" s="3794"/>
      <c r="S5" s="3795"/>
      <c r="T5" s="3794"/>
      <c r="U5" s="3795"/>
      <c r="V5" s="3798"/>
      <c r="W5" s="3798"/>
      <c r="X5" s="1498"/>
      <c r="Y5" s="3794"/>
      <c r="Z5" s="3795"/>
      <c r="AA5" s="3780"/>
      <c r="AB5" s="3780"/>
      <c r="AC5" s="3780"/>
    </row>
    <row r="6" spans="1:29" ht="15.75" thickBot="1">
      <c r="A6" s="509"/>
      <c r="B6" s="510"/>
      <c r="C6" s="3806" t="s">
        <v>2897</v>
      </c>
      <c r="D6" s="3800"/>
      <c r="E6" s="3811" t="s">
        <v>2897</v>
      </c>
      <c r="F6" s="3808"/>
      <c r="G6" s="3806" t="s">
        <v>2897</v>
      </c>
      <c r="H6" s="3800"/>
      <c r="I6" s="3806" t="s">
        <v>2897</v>
      </c>
      <c r="J6" s="3800"/>
      <c r="K6" s="506" t="s">
        <v>522</v>
      </c>
      <c r="L6" s="2011"/>
      <c r="M6" s="2012"/>
      <c r="N6" s="2012"/>
      <c r="O6" s="2012"/>
      <c r="P6" s="3790"/>
      <c r="Q6" s="3791"/>
      <c r="R6" s="3794"/>
      <c r="S6" s="3795"/>
      <c r="T6" s="3796"/>
      <c r="U6" s="3797"/>
      <c r="V6" s="3798"/>
      <c r="W6" s="3798"/>
      <c r="X6" s="1498"/>
      <c r="Y6" s="3796"/>
      <c r="Z6" s="3797"/>
      <c r="AA6" s="3781"/>
      <c r="AB6" s="3781"/>
      <c r="AC6" s="3781"/>
    </row>
    <row r="7" spans="1:29" s="1201" customFormat="1" ht="15.75" thickBot="1">
      <c r="A7" s="2625"/>
      <c r="B7" s="2632" t="s">
        <v>523</v>
      </c>
      <c r="C7" s="511">
        <f>'数据-取费表'!B2</f>
        <v>44412</v>
      </c>
      <c r="D7" s="512">
        <v>100</v>
      </c>
      <c r="E7" s="513"/>
      <c r="F7" s="514">
        <f>SUMIF(52:52,YEAR(E7)&amp;"-"&amp;MONTH(E7),53:53)</f>
        <v>0</v>
      </c>
      <c r="G7" s="513"/>
      <c r="H7" s="512">
        <f>SUMIF(52:52,YEAR(G7)&amp;"-"&amp;MONTH(G7),53:53)</f>
        <v>0</v>
      </c>
      <c r="I7" s="513"/>
      <c r="J7" s="512">
        <f>SUMIF(52:52,YEAR(I7)&amp;"-"&amp;MONTH(I7),53:53)</f>
        <v>0</v>
      </c>
      <c r="K7" s="516"/>
      <c r="L7" s="2013"/>
      <c r="M7" s="2014"/>
      <c r="N7" s="2014"/>
      <c r="O7" s="2014"/>
      <c r="P7" s="3803" t="s">
        <v>524</v>
      </c>
      <c r="Q7" s="3805"/>
      <c r="R7" s="1499" t="s">
        <v>8</v>
      </c>
      <c r="S7" s="1500">
        <f t="shared" ref="S7:S15" si="0">F7</f>
        <v>0</v>
      </c>
      <c r="T7" s="1499" t="s">
        <v>8</v>
      </c>
      <c r="U7" s="1500">
        <f t="shared" ref="U7:U15" si="1">H7</f>
        <v>0</v>
      </c>
      <c r="V7" s="1499" t="s">
        <v>8</v>
      </c>
      <c r="W7" s="1500">
        <f t="shared" ref="W7:W15" si="2">J7</f>
        <v>0</v>
      </c>
      <c r="X7" s="1501"/>
      <c r="Y7" s="3803" t="s">
        <v>524</v>
      </c>
      <c r="Z7" s="3804"/>
      <c r="AA7" s="1502" t="e">
        <f>D7/F7</f>
        <v>#DIV/0!</v>
      </c>
      <c r="AB7" s="1502" t="e">
        <f>D7/H7</f>
        <v>#DIV/0!</v>
      </c>
      <c r="AC7" s="1502" t="e">
        <f>D7/J7</f>
        <v>#DIV/0!</v>
      </c>
    </row>
    <row r="8" spans="1:29" s="1201" customFormat="1" ht="15.75" thickBot="1">
      <c r="A8" s="2626"/>
      <c r="B8" s="2633" t="s">
        <v>525</v>
      </c>
      <c r="C8" s="517" t="s">
        <v>570</v>
      </c>
      <c r="D8" s="512">
        <v>100</v>
      </c>
      <c r="E8" s="517"/>
      <c r="F8" s="514">
        <f>SUMIF(55:55,E8,56:56)-SUMIF(55:55,C8,56:56)+100</f>
        <v>0</v>
      </c>
      <c r="G8" s="517"/>
      <c r="H8" s="512">
        <f>SUMIF(55:55,G8,56:56)-SUMIF(55:55,C8,56:56)+100</f>
        <v>0</v>
      </c>
      <c r="I8" s="517"/>
      <c r="J8" s="512">
        <f>SUMIF(55:55,I8,56:56)-SUMIF(55:55,C8,56:56)+100</f>
        <v>0</v>
      </c>
      <c r="K8" s="516"/>
      <c r="L8" s="2013"/>
      <c r="M8" s="2014"/>
      <c r="N8" s="2014"/>
      <c r="O8" s="2014"/>
      <c r="P8" s="3803" t="s">
        <v>527</v>
      </c>
      <c r="Q8" s="3804"/>
      <c r="R8" s="1499" t="s">
        <v>8</v>
      </c>
      <c r="S8" s="1500">
        <f t="shared" si="0"/>
        <v>0</v>
      </c>
      <c r="T8" s="1499" t="s">
        <v>8</v>
      </c>
      <c r="U8" s="1500">
        <f t="shared" si="1"/>
        <v>0</v>
      </c>
      <c r="V8" s="1499" t="s">
        <v>8</v>
      </c>
      <c r="W8" s="1500">
        <f t="shared" si="2"/>
        <v>0</v>
      </c>
      <c r="X8" s="1501"/>
      <c r="Y8" s="3803" t="s">
        <v>527</v>
      </c>
      <c r="Z8" s="3804"/>
      <c r="AA8" s="1502" t="e">
        <f t="shared" ref="AA8:AA40" si="3">D8/F8</f>
        <v>#DIV/0!</v>
      </c>
      <c r="AB8" s="1502" t="e">
        <f t="shared" ref="AB8:AB40" si="4">D8/H8</f>
        <v>#DIV/0!</v>
      </c>
      <c r="AC8" s="1502" t="e">
        <f t="shared" ref="AC8:AC40" si="5">D8/J8</f>
        <v>#DIV/0!</v>
      </c>
    </row>
    <row r="9" spans="1:29" s="1201" customFormat="1" ht="15">
      <c r="A9" s="2627"/>
      <c r="B9" s="2634" t="s">
        <v>2735</v>
      </c>
      <c r="C9" s="844"/>
      <c r="D9" s="250">
        <v>100</v>
      </c>
      <c r="E9" s="847"/>
      <c r="F9" s="250">
        <f>SUMIF(57:57,E9,58:58)-SUMIF(57:57,C9,58:58)+100</f>
        <v>100</v>
      </c>
      <c r="G9" s="845"/>
      <c r="H9" s="250">
        <f>SUMIF(57:57,G9,58:58)-SUMIF(57:57,C9,58:58)+100</f>
        <v>100</v>
      </c>
      <c r="I9" s="845"/>
      <c r="J9" s="250">
        <f>SUMIF(57:57,I9,58:58)-SUMIF(57:57,C9,58:58)+100</f>
        <v>100</v>
      </c>
      <c r="K9" s="516"/>
      <c r="L9" s="2013"/>
      <c r="M9" s="2014"/>
      <c r="N9" s="2014"/>
      <c r="O9" s="2015"/>
      <c r="P9" s="3772" t="s">
        <v>529</v>
      </c>
      <c r="Q9" s="1132" t="str">
        <f t="shared" ref="Q9:Q15" si="6">B9</f>
        <v>用途</v>
      </c>
      <c r="R9" s="1499" t="s">
        <v>8</v>
      </c>
      <c r="S9" s="1500">
        <f t="shared" si="0"/>
        <v>100</v>
      </c>
      <c r="T9" s="1499" t="s">
        <v>8</v>
      </c>
      <c r="U9" s="1500">
        <f t="shared" si="1"/>
        <v>100</v>
      </c>
      <c r="V9" s="1499" t="s">
        <v>8</v>
      </c>
      <c r="W9" s="1500">
        <f t="shared" si="2"/>
        <v>100</v>
      </c>
      <c r="X9" s="1501"/>
      <c r="Y9" s="3675" t="s">
        <v>530</v>
      </c>
      <c r="Z9" s="1131" t="str">
        <f t="shared" ref="Z9:Z15" si="7">Q9</f>
        <v>用途</v>
      </c>
      <c r="AA9" s="1502">
        <f t="shared" si="3"/>
        <v>1</v>
      </c>
      <c r="AB9" s="1502">
        <f t="shared" si="4"/>
        <v>1</v>
      </c>
      <c r="AC9" s="1502">
        <f t="shared" si="5"/>
        <v>1</v>
      </c>
    </row>
    <row r="10" spans="1:29" s="1290" customFormat="1" ht="27">
      <c r="A10" s="2628"/>
      <c r="B10" s="2633" t="s">
        <v>2736</v>
      </c>
      <c r="C10" s="848"/>
      <c r="D10" s="251">
        <v>100</v>
      </c>
      <c r="E10" s="848"/>
      <c r="F10" s="251">
        <f>SUMIF(59:59,E10,60:60)-SUMIF(59:59,C10,60:60)+100</f>
        <v>100</v>
      </c>
      <c r="G10" s="849"/>
      <c r="H10" s="251">
        <f>SUMIF(59:59,G10,60:60)-SUMIF(59:59,C10,60:60)+100</f>
        <v>100</v>
      </c>
      <c r="I10" s="848"/>
      <c r="J10" s="251">
        <f>SUMIF(59:59,I10,60:60)-SUMIF(59:59,C10,60:60)+100</f>
        <v>100</v>
      </c>
      <c r="K10" s="576"/>
      <c r="L10" s="2016"/>
      <c r="M10" s="2055"/>
      <c r="N10" s="2055"/>
      <c r="O10" s="2017"/>
      <c r="P10" s="3772"/>
      <c r="Q10" s="1132" t="str">
        <f t="shared" si="6"/>
        <v>土地使用年限（年）</v>
      </c>
      <c r="R10" s="1499" t="s">
        <v>8</v>
      </c>
      <c r="S10" s="1500">
        <f t="shared" si="0"/>
        <v>100</v>
      </c>
      <c r="T10" s="1499" t="s">
        <v>8</v>
      </c>
      <c r="U10" s="1500">
        <f t="shared" si="1"/>
        <v>100</v>
      </c>
      <c r="V10" s="1499" t="s">
        <v>8</v>
      </c>
      <c r="W10" s="1500">
        <f t="shared" si="2"/>
        <v>100</v>
      </c>
      <c r="X10" s="1501"/>
      <c r="Y10" s="3675"/>
      <c r="Z10" s="1131" t="str">
        <f t="shared" si="7"/>
        <v>土地使用年限（年）</v>
      </c>
      <c r="AA10" s="1502">
        <f t="shared" si="3"/>
        <v>1</v>
      </c>
      <c r="AB10" s="1502">
        <f t="shared" si="4"/>
        <v>1</v>
      </c>
      <c r="AC10" s="1502">
        <f t="shared" si="5"/>
        <v>1</v>
      </c>
    </row>
    <row r="11" spans="1:29" ht="15">
      <c r="A11" s="2629"/>
      <c r="B11" s="2633" t="s">
        <v>2737</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8"/>
      <c r="M11" s="2012"/>
      <c r="N11" s="2012"/>
      <c r="O11" s="2019"/>
      <c r="P11" s="3772"/>
      <c r="Q11" s="1132" t="str">
        <f t="shared" si="6"/>
        <v>容积率</v>
      </c>
      <c r="R11" s="1499" t="s">
        <v>8</v>
      </c>
      <c r="S11" s="1500" t="e">
        <f t="shared" si="0"/>
        <v>#N/A</v>
      </c>
      <c r="T11" s="1499" t="s">
        <v>8</v>
      </c>
      <c r="U11" s="1500" t="e">
        <f t="shared" si="1"/>
        <v>#N/A</v>
      </c>
      <c r="V11" s="1499" t="s">
        <v>8</v>
      </c>
      <c r="W11" s="1500" t="e">
        <f t="shared" si="2"/>
        <v>#N/A</v>
      </c>
      <c r="X11" s="1501"/>
      <c r="Y11" s="3675"/>
      <c r="Z11" s="1131" t="str">
        <f t="shared" si="7"/>
        <v>容积率</v>
      </c>
      <c r="AA11" s="1502" t="e">
        <f t="shared" si="3"/>
        <v>#N/A</v>
      </c>
      <c r="AB11" s="1502" t="e">
        <f t="shared" si="4"/>
        <v>#N/A</v>
      </c>
      <c r="AC11" s="1502" t="e">
        <f t="shared" si="5"/>
        <v>#N/A</v>
      </c>
    </row>
    <row r="12" spans="1:29" s="1201" customFormat="1" ht="15">
      <c r="A12" s="2630"/>
      <c r="B12" s="2636">
        <v>111</v>
      </c>
      <c r="C12" s="520"/>
      <c r="D12" s="530">
        <v>100</v>
      </c>
      <c r="E12" s="531"/>
      <c r="F12" s="251">
        <f>SUMIF(64:64,E12,65:65)-SUMIF(64:64,C12,65:65)+100</f>
        <v>100</v>
      </c>
      <c r="G12" s="907"/>
      <c r="H12" s="251">
        <f>SUMIF(64:64,G12,65:65)-SUMIF(64:64,C12,65:65)+100</f>
        <v>100</v>
      </c>
      <c r="I12" s="867"/>
      <c r="J12" s="251">
        <f>SUMIF(64:64,I12,65:65)-SUMIF(64:64,C12,65:65)+100</f>
        <v>100</v>
      </c>
      <c r="K12" s="573"/>
      <c r="L12" s="2013"/>
      <c r="M12" s="2014"/>
      <c r="N12" s="2014"/>
      <c r="O12" s="2015"/>
      <c r="P12" s="3772"/>
      <c r="Q12" s="1132">
        <f t="shared" si="6"/>
        <v>111</v>
      </c>
      <c r="R12" s="1499" t="s">
        <v>8</v>
      </c>
      <c r="S12" s="1500">
        <f t="shared" si="0"/>
        <v>100</v>
      </c>
      <c r="T12" s="1499" t="s">
        <v>8</v>
      </c>
      <c r="U12" s="1500">
        <f t="shared" si="1"/>
        <v>100</v>
      </c>
      <c r="V12" s="1499" t="s">
        <v>8</v>
      </c>
      <c r="W12" s="1500">
        <f t="shared" si="2"/>
        <v>100</v>
      </c>
      <c r="X12" s="1501"/>
      <c r="Y12" s="3675"/>
      <c r="Z12" s="1131">
        <f t="shared" si="7"/>
        <v>111</v>
      </c>
      <c r="AA12" s="1502">
        <f>D12/F12</f>
        <v>1</v>
      </c>
      <c r="AB12" s="1502">
        <f>D12/H12</f>
        <v>1</v>
      </c>
      <c r="AC12" s="1502">
        <f>D12/J12</f>
        <v>1</v>
      </c>
    </row>
    <row r="13" spans="1:29" ht="15">
      <c r="A13" s="2630"/>
      <c r="B13" s="2636">
        <v>111</v>
      </c>
      <c r="C13" s="531"/>
      <c r="D13" s="532">
        <v>100</v>
      </c>
      <c r="E13" s="531"/>
      <c r="F13" s="251">
        <f>SUMIF(66:66,E13,67:67)-SUMIF(66:66,C13,67:67)+100</f>
        <v>100</v>
      </c>
      <c r="G13" s="907"/>
      <c r="H13" s="532">
        <f>SUMIF(66:66,G13,67:67)-SUMIF(66:66,C13,67:67)+100</f>
        <v>100</v>
      </c>
      <c r="I13" s="867"/>
      <c r="J13" s="532">
        <f>SUMIF(66:66,I13,67:67)-SUMIF(66:66,C13,67:67)+100</f>
        <v>100</v>
      </c>
      <c r="K13" s="573"/>
      <c r="L13" s="2020"/>
      <c r="M13" s="2012"/>
      <c r="N13" s="2012"/>
      <c r="O13" s="2019"/>
      <c r="P13" s="3772"/>
      <c r="Q13" s="1132">
        <f t="shared" si="6"/>
        <v>111</v>
      </c>
      <c r="R13" s="1499" t="s">
        <v>8</v>
      </c>
      <c r="S13" s="1500">
        <f t="shared" si="0"/>
        <v>100</v>
      </c>
      <c r="T13" s="1499" t="s">
        <v>8</v>
      </c>
      <c r="U13" s="1500">
        <f t="shared" si="1"/>
        <v>100</v>
      </c>
      <c r="V13" s="1499" t="s">
        <v>8</v>
      </c>
      <c r="W13" s="1500">
        <f t="shared" si="2"/>
        <v>100</v>
      </c>
      <c r="X13" s="1501"/>
      <c r="Y13" s="3675"/>
      <c r="Z13" s="1131">
        <f t="shared" si="7"/>
        <v>111</v>
      </c>
      <c r="AA13" s="1502">
        <f t="shared" si="3"/>
        <v>1</v>
      </c>
      <c r="AB13" s="1502">
        <f t="shared" si="4"/>
        <v>1</v>
      </c>
      <c r="AC13" s="1502">
        <f t="shared" si="5"/>
        <v>1</v>
      </c>
    </row>
    <row r="14" spans="1:29" ht="15.75" thickBot="1">
      <c r="A14" s="2631"/>
      <c r="B14" s="2637">
        <v>111</v>
      </c>
      <c r="C14" s="537"/>
      <c r="D14" s="538">
        <v>100</v>
      </c>
      <c r="E14" s="537"/>
      <c r="F14" s="538">
        <f>SUMIF(68:68,E14,69:69)-SUMIF(68:68,C14,69:69)+100</f>
        <v>100</v>
      </c>
      <c r="G14" s="907"/>
      <c r="H14" s="538">
        <f>SUMIF(68:68,G14,69:69)-SUMIF(68:68,C14,69:69)+100</f>
        <v>100</v>
      </c>
      <c r="I14" s="867"/>
      <c r="J14" s="538">
        <f>SUMIF(68:68,I14,69:69)-SUMIF(68:68,C14,69:69)+100</f>
        <v>100</v>
      </c>
      <c r="K14" s="573"/>
      <c r="L14" s="2020"/>
      <c r="M14" s="2012"/>
      <c r="N14" s="2012"/>
      <c r="O14" s="2019"/>
      <c r="P14" s="3772"/>
      <c r="Q14" s="1132">
        <f t="shared" si="6"/>
        <v>111</v>
      </c>
      <c r="R14" s="1499" t="s">
        <v>8</v>
      </c>
      <c r="S14" s="1500">
        <f t="shared" si="0"/>
        <v>100</v>
      </c>
      <c r="T14" s="1499" t="s">
        <v>8</v>
      </c>
      <c r="U14" s="1500">
        <f t="shared" si="1"/>
        <v>100</v>
      </c>
      <c r="V14" s="1499" t="s">
        <v>8</v>
      </c>
      <c r="W14" s="1500">
        <f t="shared" si="2"/>
        <v>100</v>
      </c>
      <c r="X14" s="1501"/>
      <c r="Y14" s="3675"/>
      <c r="Z14" s="1131">
        <f t="shared" si="7"/>
        <v>111</v>
      </c>
      <c r="AA14" s="1502">
        <f t="shared" si="3"/>
        <v>1</v>
      </c>
      <c r="AB14" s="1502">
        <f t="shared" si="4"/>
        <v>1</v>
      </c>
      <c r="AC14" s="1502">
        <f t="shared" si="5"/>
        <v>1</v>
      </c>
    </row>
    <row r="15" spans="1:29" ht="57">
      <c r="A15" s="2623" t="s">
        <v>2733</v>
      </c>
      <c r="B15" s="162" t="s">
        <v>783</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0"/>
      <c r="M15" s="2012"/>
      <c r="N15" s="2012"/>
      <c r="O15" s="2019"/>
      <c r="P15" s="3774" t="s">
        <v>534</v>
      </c>
      <c r="Q15" s="1503" t="str">
        <f t="shared" si="6"/>
        <v>产业集聚程度</v>
      </c>
      <c r="R15" s="1504" t="s">
        <v>8</v>
      </c>
      <c r="S15" s="1505">
        <f t="shared" si="0"/>
        <v>100</v>
      </c>
      <c r="T15" s="1504" t="s">
        <v>8</v>
      </c>
      <c r="U15" s="1505">
        <f t="shared" si="1"/>
        <v>100</v>
      </c>
      <c r="V15" s="1504" t="s">
        <v>8</v>
      </c>
      <c r="W15" s="1505">
        <f t="shared" si="2"/>
        <v>100</v>
      </c>
      <c r="X15" s="1498"/>
      <c r="Y15" s="3774" t="s">
        <v>534</v>
      </c>
      <c r="Z15" s="1506" t="str">
        <f t="shared" si="7"/>
        <v>产业集聚程度</v>
      </c>
      <c r="AA15" s="1507">
        <f t="shared" si="3"/>
        <v>1</v>
      </c>
      <c r="AB15" s="1507">
        <f t="shared" si="4"/>
        <v>1</v>
      </c>
      <c r="AC15" s="1507">
        <f t="shared" si="5"/>
        <v>1</v>
      </c>
    </row>
    <row r="16" spans="1:29" ht="15">
      <c r="A16" s="524"/>
      <c r="B16" s="856"/>
      <c r="C16" s="568"/>
      <c r="D16" s="547"/>
      <c r="E16" s="568"/>
      <c r="F16" s="549"/>
      <c r="G16" s="568"/>
      <c r="H16" s="551"/>
      <c r="I16" s="568"/>
      <c r="J16" s="547"/>
      <c r="K16" s="886"/>
      <c r="L16" s="2020"/>
      <c r="M16" s="2012"/>
      <c r="N16" s="2012"/>
      <c r="O16" s="2019"/>
      <c r="P16" s="3775"/>
      <c r="Q16" s="1503"/>
      <c r="R16" s="1504"/>
      <c r="S16" s="1505"/>
      <c r="T16" s="1504"/>
      <c r="U16" s="1505"/>
      <c r="V16" s="1504"/>
      <c r="W16" s="1505"/>
      <c r="X16" s="1498"/>
      <c r="Y16" s="3775"/>
      <c r="Z16" s="1506"/>
      <c r="AA16" s="1507">
        <v>1</v>
      </c>
      <c r="AB16" s="1507">
        <v>1</v>
      </c>
      <c r="AC16" s="1507">
        <v>1</v>
      </c>
    </row>
    <row r="17" spans="1:29" ht="85.5">
      <c r="A17" s="524"/>
      <c r="B17" s="858" t="s">
        <v>296</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0"/>
      <c r="M17" s="2012"/>
      <c r="N17" s="2012"/>
      <c r="O17" s="2019"/>
      <c r="P17" s="3775"/>
      <c r="Q17" s="1503" t="str">
        <f>B17</f>
        <v>交通便捷度</v>
      </c>
      <c r="R17" s="1504" t="s">
        <v>8</v>
      </c>
      <c r="S17" s="1505">
        <f>F17</f>
        <v>100</v>
      </c>
      <c r="T17" s="1504" t="s">
        <v>8</v>
      </c>
      <c r="U17" s="1505">
        <f>H17</f>
        <v>100</v>
      </c>
      <c r="V17" s="1504" t="s">
        <v>8</v>
      </c>
      <c r="W17" s="1505">
        <f>J17</f>
        <v>100</v>
      </c>
      <c r="X17" s="1498"/>
      <c r="Y17" s="3775"/>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0"/>
      <c r="M18" s="2012"/>
      <c r="N18" s="2012"/>
      <c r="O18" s="2019"/>
      <c r="P18" s="3775"/>
      <c r="Q18" s="1503"/>
      <c r="R18" s="1504"/>
      <c r="S18" s="1505"/>
      <c r="T18" s="1504"/>
      <c r="U18" s="1505"/>
      <c r="V18" s="1504"/>
      <c r="W18" s="1505"/>
      <c r="X18" s="1498"/>
      <c r="Y18" s="3775"/>
      <c r="Z18" s="1506"/>
      <c r="AA18" s="1507">
        <v>1</v>
      </c>
      <c r="AB18" s="1507">
        <v>1</v>
      </c>
      <c r="AC18" s="1507">
        <v>1</v>
      </c>
    </row>
    <row r="19" spans="1:29" ht="42.75">
      <c r="A19" s="524"/>
      <c r="B19" s="2443" t="s">
        <v>2527</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0"/>
      <c r="M19" s="2012"/>
      <c r="N19" s="2012"/>
      <c r="O19" s="2019"/>
      <c r="P19" s="3775"/>
      <c r="Q19" s="1503" t="str">
        <f>B19</f>
        <v>公共配套设施</v>
      </c>
      <c r="R19" s="1504" t="s">
        <v>8</v>
      </c>
      <c r="S19" s="1505">
        <f>F19</f>
        <v>100</v>
      </c>
      <c r="T19" s="1504" t="s">
        <v>8</v>
      </c>
      <c r="U19" s="1505">
        <f>H19</f>
        <v>100</v>
      </c>
      <c r="V19" s="1504" t="s">
        <v>8</v>
      </c>
      <c r="W19" s="1505">
        <f>J19</f>
        <v>100</v>
      </c>
      <c r="X19" s="1498"/>
      <c r="Y19" s="3775"/>
      <c r="Z19" s="1506" t="str">
        <f>Q19</f>
        <v>公共配套设施</v>
      </c>
      <c r="AA19" s="1507">
        <f t="shared" si="3"/>
        <v>1</v>
      </c>
      <c r="AB19" s="1507">
        <f t="shared" si="4"/>
        <v>1</v>
      </c>
      <c r="AC19" s="1507">
        <f t="shared" si="5"/>
        <v>1</v>
      </c>
    </row>
    <row r="20" spans="1:29" ht="15">
      <c r="A20" s="524"/>
      <c r="B20" s="558"/>
      <c r="C20" s="568"/>
      <c r="D20" s="547"/>
      <c r="E20" s="548"/>
      <c r="F20" s="549"/>
      <c r="G20" s="550"/>
      <c r="H20" s="547"/>
      <c r="I20" s="548"/>
      <c r="J20" s="547"/>
      <c r="K20" s="886"/>
      <c r="L20" s="2020"/>
      <c r="M20" s="2012"/>
      <c r="N20" s="2012"/>
      <c r="O20" s="2019"/>
      <c r="P20" s="3775"/>
      <c r="Q20" s="1503"/>
      <c r="R20" s="1504"/>
      <c r="S20" s="1505"/>
      <c r="T20" s="1504"/>
      <c r="U20" s="1505"/>
      <c r="V20" s="1504"/>
      <c r="W20" s="1505"/>
      <c r="X20" s="1498"/>
      <c r="Y20" s="3775"/>
      <c r="Z20" s="1506"/>
      <c r="AA20" s="1507">
        <v>1</v>
      </c>
      <c r="AB20" s="1507">
        <v>1</v>
      </c>
      <c r="AC20" s="1507">
        <v>1</v>
      </c>
    </row>
    <row r="21" spans="1:29" ht="28.5">
      <c r="A21" s="524"/>
      <c r="B21" s="2431" t="s">
        <v>2539</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0"/>
      <c r="M21" s="2012"/>
      <c r="N21" s="2012"/>
      <c r="O21" s="2019"/>
      <c r="P21" s="3775"/>
      <c r="Q21" s="2425" t="str">
        <f>B21</f>
        <v>基础设施水平</v>
      </c>
      <c r="R21" s="1504" t="s">
        <v>8</v>
      </c>
      <c r="S21" s="1505">
        <f>F21</f>
        <v>100</v>
      </c>
      <c r="T21" s="1504" t="s">
        <v>8</v>
      </c>
      <c r="U21" s="1505">
        <f>H21</f>
        <v>100</v>
      </c>
      <c r="V21" s="1504" t="s">
        <v>8</v>
      </c>
      <c r="W21" s="1505">
        <f>J21</f>
        <v>100</v>
      </c>
      <c r="X21" s="2427"/>
      <c r="Y21" s="3775"/>
      <c r="Z21" s="2426" t="str">
        <f>Q21</f>
        <v>基础设施水平</v>
      </c>
      <c r="AA21" s="1507">
        <f t="shared" ref="AA21" si="8">D21/F21</f>
        <v>1</v>
      </c>
      <c r="AB21" s="1507">
        <f t="shared" ref="AB21" si="9">D21/H21</f>
        <v>1</v>
      </c>
      <c r="AC21" s="1507">
        <f t="shared" ref="AC21" si="10">D21/J21</f>
        <v>1</v>
      </c>
    </row>
    <row r="22" spans="1:29" ht="15">
      <c r="A22" s="524"/>
      <c r="B22" s="570"/>
      <c r="C22" s="860"/>
      <c r="D22" s="547"/>
      <c r="E22" s="568"/>
      <c r="F22" s="549"/>
      <c r="G22" s="568"/>
      <c r="H22" s="547"/>
      <c r="I22" s="568"/>
      <c r="J22" s="547"/>
      <c r="K22" s="2442"/>
      <c r="L22" s="2020"/>
      <c r="M22" s="2012"/>
      <c r="N22" s="2012"/>
      <c r="O22" s="2019"/>
      <c r="P22" s="3775"/>
      <c r="Q22" s="2425"/>
      <c r="R22" s="1504"/>
      <c r="S22" s="1505"/>
      <c r="T22" s="1504"/>
      <c r="U22" s="1505"/>
      <c r="V22" s="1504"/>
      <c r="W22" s="1505"/>
      <c r="X22" s="2427"/>
      <c r="Y22" s="3775"/>
      <c r="Z22" s="2426"/>
      <c r="AA22" s="1507">
        <v>1</v>
      </c>
      <c r="AB22" s="1507">
        <v>1</v>
      </c>
      <c r="AC22" s="1507">
        <v>1</v>
      </c>
    </row>
    <row r="23" spans="1:29" ht="71.25">
      <c r="A23" s="524"/>
      <c r="B23" s="858" t="s">
        <v>772</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0"/>
      <c r="M23" s="2012"/>
      <c r="N23" s="2012"/>
      <c r="O23" s="2019"/>
      <c r="P23" s="3775"/>
      <c r="Q23" s="1503" t="str">
        <f>B23</f>
        <v>环境质量</v>
      </c>
      <c r="R23" s="1504" t="s">
        <v>8</v>
      </c>
      <c r="S23" s="1505">
        <f>F23</f>
        <v>100</v>
      </c>
      <c r="T23" s="1504" t="s">
        <v>8</v>
      </c>
      <c r="U23" s="1505">
        <f>H23</f>
        <v>100</v>
      </c>
      <c r="V23" s="1504" t="s">
        <v>8</v>
      </c>
      <c r="W23" s="1505">
        <f>J23</f>
        <v>100</v>
      </c>
      <c r="X23" s="1498"/>
      <c r="Y23" s="3775"/>
      <c r="Z23" s="1506" t="str">
        <f>Q23</f>
        <v>环境质量</v>
      </c>
      <c r="AA23" s="1507">
        <f t="shared" si="3"/>
        <v>1</v>
      </c>
      <c r="AB23" s="1507">
        <f t="shared" si="4"/>
        <v>1</v>
      </c>
      <c r="AC23" s="1507">
        <f t="shared" si="5"/>
        <v>1</v>
      </c>
    </row>
    <row r="24" spans="1:29" ht="15">
      <c r="A24" s="524"/>
      <c r="B24" s="909"/>
      <c r="C24" s="568"/>
      <c r="D24" s="547"/>
      <c r="E24" s="548"/>
      <c r="F24" s="549"/>
      <c r="G24" s="550"/>
      <c r="H24" s="547"/>
      <c r="I24" s="548"/>
      <c r="J24" s="547"/>
      <c r="K24" s="886"/>
      <c r="L24" s="2020"/>
      <c r="M24" s="2012"/>
      <c r="N24" s="2012"/>
      <c r="O24" s="2019"/>
      <c r="P24" s="3775"/>
      <c r="Q24" s="1503"/>
      <c r="R24" s="1504"/>
      <c r="S24" s="1505"/>
      <c r="T24" s="1504"/>
      <c r="U24" s="1505"/>
      <c r="V24" s="1504"/>
      <c r="W24" s="1505"/>
      <c r="X24" s="1498"/>
      <c r="Y24" s="3775"/>
      <c r="Z24" s="1506"/>
      <c r="AA24" s="1507">
        <v>1</v>
      </c>
      <c r="AB24" s="1507">
        <v>1</v>
      </c>
      <c r="AC24" s="1507">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0"/>
      <c r="M25" s="2012"/>
      <c r="N25" s="2012"/>
      <c r="O25" s="2019"/>
      <c r="P25" s="3775"/>
      <c r="Q25" s="1503">
        <f>B25</f>
        <v>111</v>
      </c>
      <c r="R25" s="1504" t="s">
        <v>8</v>
      </c>
      <c r="S25" s="1505">
        <f>F25</f>
        <v>100</v>
      </c>
      <c r="T25" s="1504" t="s">
        <v>8</v>
      </c>
      <c r="U25" s="1505">
        <f>H25</f>
        <v>100</v>
      </c>
      <c r="V25" s="1504" t="s">
        <v>8</v>
      </c>
      <c r="W25" s="1505">
        <f>J25</f>
        <v>100</v>
      </c>
      <c r="X25" s="1498"/>
      <c r="Y25" s="3775"/>
      <c r="Z25" s="1506">
        <f>Q25</f>
        <v>111</v>
      </c>
      <c r="AA25" s="1507">
        <f t="shared" si="3"/>
        <v>1</v>
      </c>
      <c r="AB25" s="1507">
        <f t="shared" si="4"/>
        <v>1</v>
      </c>
      <c r="AC25" s="1507">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0"/>
      <c r="M26" s="2012"/>
      <c r="N26" s="2012"/>
      <c r="O26" s="2019"/>
      <c r="P26" s="3775"/>
      <c r="Q26" s="1503">
        <f t="shared" ref="Q26:Q40" si="11">B26</f>
        <v>111</v>
      </c>
      <c r="R26" s="1504" t="s">
        <v>8</v>
      </c>
      <c r="S26" s="1505">
        <f>F26</f>
        <v>100</v>
      </c>
      <c r="T26" s="1504" t="s">
        <v>8</v>
      </c>
      <c r="U26" s="1505">
        <f>H26</f>
        <v>100</v>
      </c>
      <c r="V26" s="1504" t="s">
        <v>8</v>
      </c>
      <c r="W26" s="1505">
        <f>J26</f>
        <v>100</v>
      </c>
      <c r="X26" s="1498"/>
      <c r="Y26" s="3775"/>
      <c r="Z26" s="1506">
        <f>Q26</f>
        <v>111</v>
      </c>
      <c r="AA26" s="1507">
        <f t="shared" si="3"/>
        <v>1</v>
      </c>
      <c r="AB26" s="1507">
        <f t="shared" si="4"/>
        <v>1</v>
      </c>
      <c r="AC26" s="1507">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3"/>
      <c r="M27" s="2014"/>
      <c r="N27" s="2014"/>
      <c r="O27" s="2015"/>
      <c r="P27" s="3775"/>
      <c r="Q27" s="1132">
        <f t="shared" si="11"/>
        <v>111</v>
      </c>
      <c r="R27" s="1499" t="s">
        <v>8</v>
      </c>
      <c r="S27" s="1500">
        <f>F27</f>
        <v>100</v>
      </c>
      <c r="T27" s="1499" t="s">
        <v>8</v>
      </c>
      <c r="U27" s="1500">
        <f>H27</f>
        <v>100</v>
      </c>
      <c r="V27" s="1499" t="s">
        <v>8</v>
      </c>
      <c r="W27" s="1500">
        <f>J27</f>
        <v>100</v>
      </c>
      <c r="X27" s="1501"/>
      <c r="Y27" s="3775"/>
      <c r="Z27" s="1131">
        <f>Q27</f>
        <v>111</v>
      </c>
      <c r="AA27" s="1507">
        <f>D27/F27</f>
        <v>1</v>
      </c>
      <c r="AB27" s="1507">
        <f>D27/H27</f>
        <v>1</v>
      </c>
      <c r="AC27" s="1507">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0"/>
      <c r="M28" s="2012"/>
      <c r="N28" s="2012"/>
      <c r="O28" s="2019"/>
      <c r="P28" s="3775"/>
      <c r="Q28" s="1503">
        <f t="shared" si="11"/>
        <v>111</v>
      </c>
      <c r="R28" s="1504" t="s">
        <v>8</v>
      </c>
      <c r="S28" s="1505">
        <f t="shared" ref="S28:S40" si="12">F28</f>
        <v>100</v>
      </c>
      <c r="T28" s="1504" t="s">
        <v>8</v>
      </c>
      <c r="U28" s="1505">
        <f t="shared" ref="U28:U40" si="13">H28</f>
        <v>100</v>
      </c>
      <c r="V28" s="1504" t="s">
        <v>8</v>
      </c>
      <c r="W28" s="1505">
        <f t="shared" ref="W28:W40" si="14">J28</f>
        <v>100</v>
      </c>
      <c r="X28" s="1498"/>
      <c r="Y28" s="3775"/>
      <c r="Z28" s="1506">
        <f t="shared" ref="Z28:Z40" si="15">Q28</f>
        <v>111</v>
      </c>
      <c r="AA28" s="1507">
        <f t="shared" si="3"/>
        <v>1</v>
      </c>
      <c r="AB28" s="1507">
        <f t="shared" si="4"/>
        <v>1</v>
      </c>
      <c r="AC28" s="1507">
        <f t="shared" si="5"/>
        <v>1</v>
      </c>
    </row>
    <row r="29" spans="1:29" ht="15">
      <c r="A29" s="2620" t="s">
        <v>2734</v>
      </c>
      <c r="B29" s="168" t="s">
        <v>774</v>
      </c>
      <c r="C29" s="903"/>
      <c r="D29" s="589">
        <v>100</v>
      </c>
      <c r="E29" s="903"/>
      <c r="F29" s="567">
        <f>SUMIF(88:88,E29,89:89)-SUMIF(88:88,C29,89:89)+100</f>
        <v>100</v>
      </c>
      <c r="G29" s="903"/>
      <c r="H29" s="532">
        <f>SUMIF(88:88,G29,89:89)-SUMIF(88:88,C29,89:89)+100</f>
        <v>100</v>
      </c>
      <c r="I29" s="903"/>
      <c r="J29" s="589">
        <f>SUMIF(88:88,I29,89:89)-SUMIF(88:88,C29,89:89)+100</f>
        <v>100</v>
      </c>
      <c r="K29" s="576"/>
      <c r="L29" s="2020"/>
      <c r="M29" s="2012"/>
      <c r="N29" s="2012"/>
      <c r="O29" s="2019"/>
      <c r="P29" s="3776" t="s">
        <v>544</v>
      </c>
      <c r="Q29" s="1503" t="str">
        <f t="shared" si="11"/>
        <v>建筑类型</v>
      </c>
      <c r="R29" s="1504" t="s">
        <v>8</v>
      </c>
      <c r="S29" s="1505">
        <f t="shared" si="12"/>
        <v>100</v>
      </c>
      <c r="T29" s="1504" t="s">
        <v>8</v>
      </c>
      <c r="U29" s="1505">
        <f t="shared" si="13"/>
        <v>100</v>
      </c>
      <c r="V29" s="1504" t="s">
        <v>8</v>
      </c>
      <c r="W29" s="1505">
        <f t="shared" si="14"/>
        <v>100</v>
      </c>
      <c r="X29" s="1498"/>
      <c r="Y29" s="3777" t="s">
        <v>544</v>
      </c>
      <c r="Z29" s="1506" t="str">
        <f t="shared" si="15"/>
        <v>建筑类型</v>
      </c>
      <c r="AA29" s="1507">
        <f t="shared" si="3"/>
        <v>1</v>
      </c>
      <c r="AB29" s="1507">
        <f t="shared" si="4"/>
        <v>1</v>
      </c>
      <c r="AC29" s="1507">
        <f t="shared" si="5"/>
        <v>1</v>
      </c>
    </row>
    <row r="30" spans="1:29" s="1291" customFormat="1" ht="15">
      <c r="A30" s="595"/>
      <c r="B30" s="519" t="s">
        <v>720</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18"/>
      <c r="M30" s="2048"/>
      <c r="N30" s="2048"/>
      <c r="O30" s="2021"/>
      <c r="P30" s="3777"/>
      <c r="Q30" s="1532" t="str">
        <f t="shared" si="11"/>
        <v>项目建筑规模</v>
      </c>
      <c r="R30" s="1508" t="s">
        <v>8</v>
      </c>
      <c r="S30" s="1509" t="e">
        <f t="shared" si="12"/>
        <v>#N/A</v>
      </c>
      <c r="T30" s="1508" t="s">
        <v>8</v>
      </c>
      <c r="U30" s="1509" t="e">
        <f t="shared" si="13"/>
        <v>#N/A</v>
      </c>
      <c r="V30" s="1508" t="s">
        <v>8</v>
      </c>
      <c r="W30" s="1509" t="e">
        <f t="shared" si="14"/>
        <v>#N/A</v>
      </c>
      <c r="X30" s="1510"/>
      <c r="Y30" s="3777"/>
      <c r="Z30" s="1511" t="str">
        <f t="shared" si="15"/>
        <v>项目建筑规模</v>
      </c>
      <c r="AA30" s="1507" t="e">
        <f t="shared" si="3"/>
        <v>#N/A</v>
      </c>
      <c r="AB30" s="1507" t="e">
        <f t="shared" si="4"/>
        <v>#N/A</v>
      </c>
      <c r="AC30" s="1507" t="e">
        <f t="shared" si="5"/>
        <v>#N/A</v>
      </c>
    </row>
    <row r="31" spans="1:29" ht="15">
      <c r="A31" s="586"/>
      <c r="B31" s="519" t="s">
        <v>721</v>
      </c>
      <c r="C31" s="566"/>
      <c r="D31" s="532">
        <v>100</v>
      </c>
      <c r="E31" s="566"/>
      <c r="F31" s="567">
        <f>SUMIF(93:93,E31,94:94)-SUMIF(93:93,C31,94:94)+100</f>
        <v>100</v>
      </c>
      <c r="G31" s="566"/>
      <c r="H31" s="532">
        <f>SUMIF(93:93,G31,94:94)-SUMIF(93:93,C31,94:94)+100</f>
        <v>100</v>
      </c>
      <c r="I31" s="566"/>
      <c r="J31" s="532">
        <f>SUMIF(93:93,I31,94:94)-SUMIF(93:93,C31,94:94)+100</f>
        <v>100</v>
      </c>
      <c r="K31" s="576"/>
      <c r="L31" s="2020"/>
      <c r="M31" s="2012"/>
      <c r="N31" s="2012"/>
      <c r="O31" s="2019"/>
      <c r="P31" s="3777"/>
      <c r="Q31" s="1503" t="str">
        <f t="shared" si="11"/>
        <v>建筑结构</v>
      </c>
      <c r="R31" s="1504" t="s">
        <v>8</v>
      </c>
      <c r="S31" s="1505">
        <f t="shared" si="12"/>
        <v>100</v>
      </c>
      <c r="T31" s="1504" t="s">
        <v>8</v>
      </c>
      <c r="U31" s="1505">
        <f t="shared" si="13"/>
        <v>100</v>
      </c>
      <c r="V31" s="1504" t="s">
        <v>8</v>
      </c>
      <c r="W31" s="1505">
        <f t="shared" si="14"/>
        <v>100</v>
      </c>
      <c r="X31" s="1498"/>
      <c r="Y31" s="3777"/>
      <c r="Z31" s="1506" t="str">
        <f t="shared" si="15"/>
        <v>建筑结构</v>
      </c>
      <c r="AA31" s="1507">
        <f t="shared" si="3"/>
        <v>1</v>
      </c>
      <c r="AB31" s="1507">
        <f t="shared" si="4"/>
        <v>1</v>
      </c>
      <c r="AC31" s="1507">
        <f t="shared" si="5"/>
        <v>1</v>
      </c>
    </row>
    <row r="32" spans="1:29" ht="15">
      <c r="A32" s="586"/>
      <c r="B32" s="519" t="s">
        <v>757</v>
      </c>
      <c r="C32" s="566"/>
      <c r="D32" s="532">
        <v>100</v>
      </c>
      <c r="E32" s="566"/>
      <c r="F32" s="567">
        <f>SUMIF(95:95,E32,96:96)-SUMIF(95:95,C32,96:96)+100</f>
        <v>100</v>
      </c>
      <c r="G32" s="566"/>
      <c r="H32" s="532">
        <f>SUMIF(95:95,G32,96:96)-SUMIF(95:95,C32,96:96)+100</f>
        <v>100</v>
      </c>
      <c r="I32" s="566"/>
      <c r="J32" s="532">
        <f>SUMIF(95:95,I32,96:96)-SUMIF(95:95,C32,96:96)+100</f>
        <v>100</v>
      </c>
      <c r="K32" s="576"/>
      <c r="L32" s="2020"/>
      <c r="M32" s="2012"/>
      <c r="N32" s="2012"/>
      <c r="O32" s="2019"/>
      <c r="P32" s="3777"/>
      <c r="Q32" s="1503" t="str">
        <f t="shared" si="11"/>
        <v>公共部分装修</v>
      </c>
      <c r="R32" s="1504" t="s">
        <v>8</v>
      </c>
      <c r="S32" s="1505">
        <f t="shared" si="12"/>
        <v>100</v>
      </c>
      <c r="T32" s="1504" t="s">
        <v>8</v>
      </c>
      <c r="U32" s="1505">
        <f t="shared" si="13"/>
        <v>100</v>
      </c>
      <c r="V32" s="1504" t="s">
        <v>8</v>
      </c>
      <c r="W32" s="1505">
        <f t="shared" si="14"/>
        <v>100</v>
      </c>
      <c r="X32" s="1498"/>
      <c r="Y32" s="3777"/>
      <c r="Z32" s="1506" t="str">
        <f t="shared" si="15"/>
        <v>公共部分装修</v>
      </c>
      <c r="AA32" s="1507">
        <f t="shared" si="3"/>
        <v>1</v>
      </c>
      <c r="AB32" s="1507">
        <f t="shared" si="4"/>
        <v>1</v>
      </c>
      <c r="AC32" s="1507">
        <f t="shared" si="5"/>
        <v>1</v>
      </c>
    </row>
    <row r="33" spans="1:29" ht="15">
      <c r="A33" s="586"/>
      <c r="B33" s="519" t="s">
        <v>758</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0"/>
      <c r="M33" s="2012"/>
      <c r="N33" s="2012"/>
      <c r="O33" s="2019"/>
      <c r="P33" s="3777"/>
      <c r="Q33" s="1503" t="str">
        <f t="shared" si="11"/>
        <v>成新度</v>
      </c>
      <c r="R33" s="1504" t="s">
        <v>8</v>
      </c>
      <c r="S33" s="1505" t="e">
        <f t="shared" si="12"/>
        <v>#N/A</v>
      </c>
      <c r="T33" s="1504" t="s">
        <v>8</v>
      </c>
      <c r="U33" s="1505" t="e">
        <f t="shared" si="13"/>
        <v>#N/A</v>
      </c>
      <c r="V33" s="1504" t="s">
        <v>8</v>
      </c>
      <c r="W33" s="1505" t="e">
        <f t="shared" si="14"/>
        <v>#N/A</v>
      </c>
      <c r="X33" s="1498"/>
      <c r="Y33" s="3777"/>
      <c r="Z33" s="1506" t="str">
        <f t="shared" si="15"/>
        <v>成新度</v>
      </c>
      <c r="AA33" s="1507" t="e">
        <f t="shared" si="3"/>
        <v>#N/A</v>
      </c>
      <c r="AB33" s="1507" t="e">
        <f t="shared" si="4"/>
        <v>#N/A</v>
      </c>
      <c r="AC33" s="1507" t="e">
        <f t="shared" si="5"/>
        <v>#N/A</v>
      </c>
    </row>
    <row r="34" spans="1:29" s="1201" customFormat="1" ht="15">
      <c r="A34" s="592"/>
      <c r="B34" s="519" t="s">
        <v>776</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3"/>
      <c r="M34" s="2014"/>
      <c r="N34" s="2014"/>
      <c r="O34" s="2015"/>
      <c r="P34" s="3777"/>
      <c r="Q34" s="1132" t="str">
        <f t="shared" si="11"/>
        <v>物业管理</v>
      </c>
      <c r="R34" s="1499" t="s">
        <v>8</v>
      </c>
      <c r="S34" s="1500">
        <f t="shared" si="12"/>
        <v>100</v>
      </c>
      <c r="T34" s="1499" t="s">
        <v>8</v>
      </c>
      <c r="U34" s="1500">
        <f t="shared" si="13"/>
        <v>100</v>
      </c>
      <c r="V34" s="1499" t="s">
        <v>8</v>
      </c>
      <c r="W34" s="1500">
        <f t="shared" si="14"/>
        <v>100</v>
      </c>
      <c r="X34" s="1501"/>
      <c r="Y34" s="3777"/>
      <c r="Z34" s="1131" t="str">
        <f t="shared" si="15"/>
        <v>物业管理</v>
      </c>
      <c r="AA34" s="1502">
        <f t="shared" si="3"/>
        <v>1</v>
      </c>
      <c r="AB34" s="1502">
        <f t="shared" si="4"/>
        <v>1</v>
      </c>
      <c r="AC34" s="1502">
        <f t="shared" si="5"/>
        <v>1</v>
      </c>
    </row>
    <row r="35" spans="1:29" ht="15">
      <c r="A35" s="586"/>
      <c r="B35" s="1805" t="s">
        <v>2546</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0"/>
      <c r="M35" s="2012"/>
      <c r="N35" s="2012"/>
      <c r="O35" s="2019"/>
      <c r="P35" s="3777" t="s">
        <v>544</v>
      </c>
      <c r="Q35" s="1503" t="str">
        <f t="shared" si="11"/>
        <v>市政基础设施</v>
      </c>
      <c r="R35" s="1504" t="s">
        <v>8</v>
      </c>
      <c r="S35" s="1505">
        <f t="shared" si="12"/>
        <v>100</v>
      </c>
      <c r="T35" s="1504" t="s">
        <v>8</v>
      </c>
      <c r="U35" s="1505">
        <f t="shared" si="13"/>
        <v>100</v>
      </c>
      <c r="V35" s="1504" t="s">
        <v>8</v>
      </c>
      <c r="W35" s="1505">
        <f t="shared" si="14"/>
        <v>100</v>
      </c>
      <c r="X35" s="1498"/>
      <c r="Y35" s="3777" t="s">
        <v>544</v>
      </c>
      <c r="Z35" s="1506" t="str">
        <f t="shared" si="15"/>
        <v>市政基础设施</v>
      </c>
      <c r="AA35" s="1507">
        <f t="shared" si="3"/>
        <v>1</v>
      </c>
      <c r="AB35" s="1507">
        <f t="shared" si="4"/>
        <v>1</v>
      </c>
      <c r="AC35" s="1507">
        <f t="shared" si="5"/>
        <v>1</v>
      </c>
    </row>
    <row r="36" spans="1:29" ht="15">
      <c r="A36" s="586"/>
      <c r="B36" s="519" t="s">
        <v>764</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0"/>
      <c r="M36" s="2012"/>
      <c r="N36" s="2012"/>
      <c r="O36" s="2019"/>
      <c r="P36" s="3777"/>
      <c r="Q36" s="1503" t="str">
        <f t="shared" si="11"/>
        <v>内部装修</v>
      </c>
      <c r="R36" s="1504" t="s">
        <v>8</v>
      </c>
      <c r="S36" s="1505">
        <f t="shared" si="12"/>
        <v>100</v>
      </c>
      <c r="T36" s="1504" t="s">
        <v>8</v>
      </c>
      <c r="U36" s="1505">
        <f t="shared" si="13"/>
        <v>100</v>
      </c>
      <c r="V36" s="1504" t="s">
        <v>8</v>
      </c>
      <c r="W36" s="1505">
        <f t="shared" si="14"/>
        <v>100</v>
      </c>
      <c r="X36" s="1498"/>
      <c r="Y36" s="3777"/>
      <c r="Z36" s="1506" t="str">
        <f t="shared" si="15"/>
        <v>内部装修</v>
      </c>
      <c r="AA36" s="1507">
        <f t="shared" si="3"/>
        <v>1</v>
      </c>
      <c r="AB36" s="1507">
        <f t="shared" si="4"/>
        <v>1</v>
      </c>
      <c r="AC36" s="1507">
        <f t="shared" si="5"/>
        <v>1</v>
      </c>
    </row>
    <row r="37" spans="1:29" ht="15">
      <c r="A37" s="586"/>
      <c r="B37" s="519" t="s">
        <v>784</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0"/>
      <c r="M37" s="2012"/>
      <c r="N37" s="2012"/>
      <c r="O37" s="2019"/>
      <c r="P37" s="3777"/>
      <c r="Q37" s="1503" t="str">
        <f t="shared" si="11"/>
        <v>内部装修状况</v>
      </c>
      <c r="R37" s="1504" t="s">
        <v>8</v>
      </c>
      <c r="S37" s="1505">
        <f t="shared" si="12"/>
        <v>100</v>
      </c>
      <c r="T37" s="1504" t="s">
        <v>8</v>
      </c>
      <c r="U37" s="1505">
        <f t="shared" si="13"/>
        <v>100</v>
      </c>
      <c r="V37" s="1504" t="s">
        <v>8</v>
      </c>
      <c r="W37" s="1505">
        <f t="shared" si="14"/>
        <v>100</v>
      </c>
      <c r="X37" s="1498"/>
      <c r="Y37" s="3777"/>
      <c r="Z37" s="1506" t="str">
        <f t="shared" si="15"/>
        <v>内部装修状况</v>
      </c>
      <c r="AA37" s="1507">
        <f t="shared" si="3"/>
        <v>1</v>
      </c>
      <c r="AB37" s="1507">
        <f t="shared" si="4"/>
        <v>1</v>
      </c>
      <c r="AC37" s="1507">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8"/>
      <c r="M38" s="2048"/>
      <c r="N38" s="2048"/>
      <c r="O38" s="2021"/>
      <c r="P38" s="3777"/>
      <c r="Q38" s="1532">
        <f t="shared" si="11"/>
        <v>111</v>
      </c>
      <c r="R38" s="1508" t="s">
        <v>8</v>
      </c>
      <c r="S38" s="1509">
        <f t="shared" si="12"/>
        <v>100</v>
      </c>
      <c r="T38" s="1508" t="s">
        <v>8</v>
      </c>
      <c r="U38" s="1509">
        <f t="shared" si="13"/>
        <v>100</v>
      </c>
      <c r="V38" s="1508" t="s">
        <v>8</v>
      </c>
      <c r="W38" s="1509">
        <f t="shared" si="14"/>
        <v>100</v>
      </c>
      <c r="X38" s="1510"/>
      <c r="Y38" s="3777"/>
      <c r="Z38" s="1511">
        <f t="shared" si="15"/>
        <v>111</v>
      </c>
      <c r="AA38" s="1507">
        <f t="shared" si="3"/>
        <v>1</v>
      </c>
      <c r="AB38" s="1507">
        <f t="shared" si="4"/>
        <v>1</v>
      </c>
      <c r="AC38" s="1507">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0"/>
      <c r="M39" s="2012"/>
      <c r="N39" s="2012"/>
      <c r="O39" s="2019"/>
      <c r="P39" s="3777"/>
      <c r="Q39" s="1503">
        <f t="shared" si="11"/>
        <v>111</v>
      </c>
      <c r="R39" s="1504" t="s">
        <v>8</v>
      </c>
      <c r="S39" s="1505">
        <f t="shared" si="12"/>
        <v>100</v>
      </c>
      <c r="T39" s="1504" t="s">
        <v>8</v>
      </c>
      <c r="U39" s="1505">
        <f t="shared" si="13"/>
        <v>100</v>
      </c>
      <c r="V39" s="1504" t="s">
        <v>8</v>
      </c>
      <c r="W39" s="1505">
        <f t="shared" si="14"/>
        <v>100</v>
      </c>
      <c r="X39" s="1498"/>
      <c r="Y39" s="3777"/>
      <c r="Z39" s="1506">
        <f t="shared" si="15"/>
        <v>111</v>
      </c>
      <c r="AA39" s="1507">
        <f t="shared" si="3"/>
        <v>1</v>
      </c>
      <c r="AB39" s="1507">
        <f t="shared" si="4"/>
        <v>1</v>
      </c>
      <c r="AC39" s="1507">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0"/>
      <c r="M40" s="2012"/>
      <c r="N40" s="2012"/>
      <c r="O40" s="2019"/>
      <c r="P40" s="3778"/>
      <c r="Q40" s="1503">
        <f t="shared" si="11"/>
        <v>111</v>
      </c>
      <c r="R40" s="1504" t="s">
        <v>8</v>
      </c>
      <c r="S40" s="1505">
        <f t="shared" si="12"/>
        <v>100</v>
      </c>
      <c r="T40" s="1504" t="s">
        <v>8</v>
      </c>
      <c r="U40" s="1505">
        <f t="shared" si="13"/>
        <v>100</v>
      </c>
      <c r="V40" s="1504" t="s">
        <v>8</v>
      </c>
      <c r="W40" s="1505">
        <f t="shared" si="14"/>
        <v>100</v>
      </c>
      <c r="X40" s="1498"/>
      <c r="Y40" s="3778"/>
      <c r="Z40" s="1506">
        <f t="shared" si="15"/>
        <v>111</v>
      </c>
      <c r="AA40" s="1507">
        <f t="shared" si="3"/>
        <v>1</v>
      </c>
      <c r="AB40" s="1507">
        <f t="shared" si="4"/>
        <v>1</v>
      </c>
      <c r="AC40" s="1507">
        <f t="shared" si="5"/>
        <v>1</v>
      </c>
    </row>
    <row r="41" spans="1:29" ht="15">
      <c r="A41" s="599" t="s">
        <v>730</v>
      </c>
      <c r="B41" s="874"/>
      <c r="C41" s="2466" t="s">
        <v>1</v>
      </c>
      <c r="D41" s="2467"/>
      <c r="E41" s="2468"/>
      <c r="F41" s="2469"/>
      <c r="G41" s="2470"/>
      <c r="H41" s="2471"/>
      <c r="I41" s="2468"/>
      <c r="J41" s="2471"/>
      <c r="K41" s="1537"/>
      <c r="L41" s="2022"/>
      <c r="M41" s="2023"/>
      <c r="N41" s="2012"/>
      <c r="O41" s="2023"/>
      <c r="P41" s="3772" t="str">
        <f>A41</f>
        <v>成交单价（元/平方米）</v>
      </c>
      <c r="Q41" s="3772"/>
      <c r="R41" s="3773">
        <f>E41</f>
        <v>0</v>
      </c>
      <c r="S41" s="3773"/>
      <c r="T41" s="3773">
        <f>G41</f>
        <v>0</v>
      </c>
      <c r="U41" s="3773"/>
      <c r="V41" s="3773">
        <f>I41</f>
        <v>0</v>
      </c>
      <c r="W41" s="3773"/>
      <c r="X41" s="1493"/>
      <c r="Y41" s="1512"/>
      <c r="Z41" s="1493"/>
      <c r="AA41" s="1493"/>
      <c r="AB41" s="1493"/>
      <c r="AC41" s="1493"/>
    </row>
    <row r="42" spans="1:29" ht="15.75" thickBot="1">
      <c r="A42" s="607" t="s">
        <v>2739</v>
      </c>
      <c r="B42" s="875"/>
      <c r="C42" s="2472" t="e">
        <f>R43</f>
        <v>#DIV/0!</v>
      </c>
      <c r="D42" s="3008" t="s">
        <v>2964</v>
      </c>
      <c r="E42" s="2473" t="e">
        <f>R42</f>
        <v>#DIV/0!</v>
      </c>
      <c r="F42" s="3009"/>
      <c r="G42" s="2472" t="e">
        <f>T42</f>
        <v>#DIV/0!</v>
      </c>
      <c r="H42" s="3009"/>
      <c r="I42" s="2473" t="e">
        <f>V42</f>
        <v>#DIV/0!</v>
      </c>
      <c r="J42" s="3009"/>
      <c r="K42" s="3017">
        <f>F42+H42+J42</f>
        <v>0</v>
      </c>
      <c r="L42" s="2022"/>
      <c r="M42" s="2023"/>
      <c r="N42" s="2012"/>
      <c r="O42" s="2023"/>
      <c r="P42" s="3772" t="str">
        <f>A42</f>
        <v>比较价格（元/平方米）</v>
      </c>
      <c r="Q42" s="3772"/>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493"/>
      <c r="Y42" s="1493"/>
      <c r="Z42" s="1493"/>
      <c r="AA42" s="1493"/>
      <c r="AB42" s="1493"/>
      <c r="AC42" s="1493"/>
    </row>
    <row r="43" spans="1:29" ht="15.75" thickBot="1">
      <c r="A43" s="611" t="s">
        <v>2899</v>
      </c>
      <c r="B43" s="612"/>
      <c r="C43" s="2474" t="e">
        <f>R43</f>
        <v>#DIV/0!</v>
      </c>
      <c r="D43" s="2474"/>
      <c r="E43" s="2474"/>
      <c r="F43" s="2474"/>
      <c r="G43" s="2474"/>
      <c r="H43" s="2474"/>
      <c r="I43" s="2474"/>
      <c r="J43" s="2474"/>
      <c r="K43" s="1538"/>
      <c r="L43" s="2022"/>
      <c r="M43" s="2023"/>
      <c r="N43" s="2023"/>
      <c r="O43" s="2023"/>
      <c r="P43" s="3769" t="str">
        <f>A43</f>
        <v>估价对象XX用房的比较价格（楼面单价，元/平方米）</v>
      </c>
      <c r="Q43" s="3770"/>
      <c r="R43" s="3771" t="e">
        <f>IF(F1="售价",ROUND(IF(D42="简单平均",AVERAGE(R42:V42),R42*F42+T42*H42+V42*J42),0),ROUND(IF(D42="简单平均",AVERAGE(R42:V42),R42*F42+T42*H42+V42*J42),1))</f>
        <v>#DIV/0!</v>
      </c>
      <c r="S43" s="3771"/>
      <c r="T43" s="3771"/>
      <c r="U43" s="3771"/>
      <c r="V43" s="3771"/>
      <c r="W43" s="3771"/>
      <c r="X43" s="1493"/>
      <c r="Y43" s="1493"/>
      <c r="Z43" s="1493"/>
      <c r="AA43" s="1493"/>
      <c r="AB43" s="1493"/>
      <c r="AC43" s="1493"/>
    </row>
    <row r="44" spans="1:29">
      <c r="A44" s="3207"/>
      <c r="B44" s="3207"/>
      <c r="C44" s="3207"/>
      <c r="D44" s="3207"/>
      <c r="E44" s="3207"/>
      <c r="F44" s="3207"/>
      <c r="G44" s="3209"/>
      <c r="H44" s="3207"/>
      <c r="I44" s="3207"/>
      <c r="J44" s="3207"/>
      <c r="K44" s="3210"/>
      <c r="L44" s="2027"/>
      <c r="M44" s="2023"/>
      <c r="N44" s="2023"/>
      <c r="O44" s="2023"/>
      <c r="P44" s="2023"/>
      <c r="Q44" s="2023"/>
      <c r="R44" s="2023"/>
      <c r="S44" s="2023"/>
      <c r="T44" s="2023"/>
      <c r="U44" s="2023"/>
      <c r="V44" s="2023"/>
      <c r="W44" s="2023"/>
      <c r="X44" s="2023"/>
      <c r="Y44" s="2023"/>
      <c r="Z44" s="2023"/>
      <c r="AA44" s="2023"/>
      <c r="AB44" s="2023"/>
      <c r="AC44" s="2023"/>
    </row>
    <row r="45" spans="1:29">
      <c r="A45" s="3207"/>
      <c r="B45" s="3207"/>
      <c r="C45" s="3207"/>
      <c r="D45" s="3207"/>
      <c r="E45" s="3207"/>
      <c r="F45" s="3207"/>
      <c r="G45" s="3207"/>
      <c r="H45" s="3207"/>
      <c r="I45" s="3207"/>
      <c r="J45" s="3207"/>
      <c r="K45" s="3210"/>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7"/>
      <c r="B46" s="3207"/>
      <c r="C46" s="614" t="s">
        <v>551</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0"/>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7"/>
      <c r="B47" s="3207"/>
      <c r="C47" s="614" t="s">
        <v>552</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0"/>
      <c r="L47" s="2027"/>
      <c r="M47" s="2023"/>
      <c r="N47" s="2023"/>
      <c r="O47" s="2023"/>
      <c r="P47" s="2023"/>
      <c r="Q47" s="2023"/>
      <c r="R47" s="2023"/>
      <c r="S47" s="2023"/>
      <c r="T47" s="2023"/>
      <c r="U47" s="2023"/>
      <c r="V47" s="2023"/>
      <c r="W47" s="2023"/>
      <c r="X47" s="2023"/>
      <c r="Y47" s="2023"/>
      <c r="Z47" s="2023"/>
      <c r="AA47" s="2023"/>
      <c r="AB47" s="2023"/>
      <c r="AC47" s="2023"/>
    </row>
    <row r="48" spans="1:29" s="1296" customFormat="1" ht="13.5" customHeight="1">
      <c r="A48" s="3208"/>
      <c r="B48" s="3208"/>
      <c r="C48" s="614" t="s">
        <v>553</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1"/>
      <c r="L48" s="2030"/>
      <c r="M48" s="2024"/>
      <c r="N48" s="2024"/>
      <c r="O48" s="2024"/>
      <c r="P48" s="2024"/>
      <c r="Q48" s="2024"/>
      <c r="R48" s="2024"/>
      <c r="S48" s="2024"/>
      <c r="T48" s="2024"/>
      <c r="U48" s="2024"/>
      <c r="V48" s="2024"/>
      <c r="W48" s="2024"/>
      <c r="X48" s="2024"/>
      <c r="Y48" s="2024"/>
      <c r="Z48" s="2024"/>
      <c r="AA48" s="2024"/>
      <c r="AB48" s="2024"/>
      <c r="AC48" s="2024"/>
    </row>
    <row r="49" spans="1:29" s="1296"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5" t="s">
        <v>568</v>
      </c>
      <c r="B51" s="1493"/>
      <c r="C51" s="1514"/>
      <c r="D51" s="1514"/>
      <c r="E51" s="1514"/>
      <c r="F51" s="1516"/>
      <c r="G51" s="1516"/>
      <c r="H51" s="1514"/>
      <c r="I51" s="1514"/>
      <c r="J51" s="1514"/>
      <c r="K51" s="1517"/>
      <c r="L51" s="1513"/>
      <c r="M51" s="1514"/>
      <c r="N51" s="2034"/>
      <c r="O51" s="2034"/>
      <c r="P51" s="2034"/>
      <c r="Q51" s="2035"/>
      <c r="R51" s="2023"/>
      <c r="S51" s="2023"/>
      <c r="T51" s="2023"/>
      <c r="U51" s="2023"/>
      <c r="V51" s="2023"/>
      <c r="W51" s="2023"/>
      <c r="X51" s="2023"/>
      <c r="Y51" s="2023"/>
      <c r="Z51" s="2023"/>
      <c r="AA51" s="2023"/>
      <c r="AB51" s="2023"/>
      <c r="AC51" s="2023"/>
    </row>
    <row r="52" spans="1:29" s="1298" customFormat="1" ht="15">
      <c r="A52" s="635" t="s">
        <v>523</v>
      </c>
      <c r="B52" s="636"/>
      <c r="C52" s="2515" t="str">
        <f>YEAR(C7)&amp;"-"&amp;MONTH(C7)</f>
        <v>2021-8</v>
      </c>
      <c r="D52" s="2517">
        <f>EDATE(C52,-1)</f>
        <v>44378</v>
      </c>
      <c r="E52" s="2517">
        <f t="shared" ref="E52:O52" si="16">EDATE(D52,-1)</f>
        <v>44348</v>
      </c>
      <c r="F52" s="2517">
        <f t="shared" si="16"/>
        <v>44317</v>
      </c>
      <c r="G52" s="2517">
        <f t="shared" si="16"/>
        <v>44287</v>
      </c>
      <c r="H52" s="2517">
        <f t="shared" si="16"/>
        <v>44256</v>
      </c>
      <c r="I52" s="2517">
        <f t="shared" si="16"/>
        <v>44228</v>
      </c>
      <c r="J52" s="2517">
        <f t="shared" si="16"/>
        <v>44197</v>
      </c>
      <c r="K52" s="2517">
        <f t="shared" si="16"/>
        <v>44166</v>
      </c>
      <c r="L52" s="2517">
        <f t="shared" si="16"/>
        <v>44136</v>
      </c>
      <c r="M52" s="2517">
        <f t="shared" si="16"/>
        <v>44105</v>
      </c>
      <c r="N52" s="2517">
        <f t="shared" si="16"/>
        <v>44075</v>
      </c>
      <c r="O52" s="2517">
        <f t="shared" si="16"/>
        <v>44044</v>
      </c>
      <c r="P52" s="2037"/>
      <c r="Q52" s="2038"/>
      <c r="R52" s="2038"/>
      <c r="S52" s="2038"/>
      <c r="T52" s="2038"/>
      <c r="U52" s="2038"/>
      <c r="V52" s="2038"/>
      <c r="W52" s="2038"/>
      <c r="X52" s="2038"/>
      <c r="Y52" s="2038"/>
      <c r="Z52" s="2038"/>
      <c r="AA52" s="2038"/>
      <c r="AB52" s="2038"/>
      <c r="AC52" s="2038"/>
    </row>
    <row r="53" spans="1:29" s="1201" customFormat="1" ht="15">
      <c r="A53" s="637"/>
      <c r="B53" s="638"/>
      <c r="C53" s="639">
        <v>100</v>
      </c>
      <c r="D53" s="640"/>
      <c r="E53" s="640"/>
      <c r="F53" s="640"/>
      <c r="G53" s="640"/>
      <c r="H53" s="640"/>
      <c r="I53" s="640"/>
      <c r="J53" s="640"/>
      <c r="K53" s="640"/>
      <c r="L53" s="640"/>
      <c r="M53" s="641"/>
      <c r="N53" s="640"/>
      <c r="O53" s="642"/>
      <c r="P53" s="2035"/>
      <c r="Q53" s="1901"/>
      <c r="R53" s="1901"/>
      <c r="S53" s="1901"/>
      <c r="T53" s="1901"/>
      <c r="U53" s="1901"/>
      <c r="V53" s="1901"/>
      <c r="W53" s="1901"/>
      <c r="X53" s="1901"/>
      <c r="Y53" s="1901"/>
      <c r="Z53" s="1901"/>
      <c r="AA53" s="1901"/>
      <c r="AB53" s="1901"/>
      <c r="AC53" s="1901"/>
    </row>
    <row r="54" spans="1:29" s="1201" customFormat="1" ht="15.75" thickBot="1">
      <c r="A54" s="643" t="s">
        <v>569</v>
      </c>
      <c r="B54" s="644"/>
      <c r="C54" s="645"/>
      <c r="D54" s="646"/>
      <c r="E54" s="646"/>
      <c r="F54" s="646"/>
      <c r="G54" s="646"/>
      <c r="H54" s="646"/>
      <c r="I54" s="646"/>
      <c r="J54" s="646"/>
      <c r="K54" s="646"/>
      <c r="L54" s="646"/>
      <c r="M54" s="647"/>
      <c r="N54" s="646"/>
      <c r="O54" s="648"/>
      <c r="P54" s="2035"/>
      <c r="Q54" s="2035"/>
      <c r="R54" s="1901"/>
      <c r="S54" s="1901"/>
      <c r="T54" s="1901"/>
      <c r="U54" s="1901"/>
      <c r="V54" s="1901"/>
      <c r="W54" s="1901"/>
      <c r="X54" s="1901"/>
      <c r="Y54" s="1901"/>
      <c r="Z54" s="1901"/>
      <c r="AA54" s="1901"/>
      <c r="AB54" s="1901"/>
      <c r="AC54" s="1901"/>
    </row>
    <row r="55" spans="1:29" s="1201" customFormat="1" ht="15">
      <c r="A55" s="649" t="s">
        <v>525</v>
      </c>
      <c r="B55" s="638"/>
      <c r="C55" s="650" t="s">
        <v>570</v>
      </c>
      <c r="D55" s="651"/>
      <c r="E55" s="651"/>
      <c r="F55" s="651"/>
      <c r="G55" s="651"/>
      <c r="H55" s="651"/>
      <c r="I55" s="651"/>
      <c r="J55" s="651"/>
      <c r="K55" s="651"/>
      <c r="L55" s="652"/>
      <c r="M55" s="653"/>
      <c r="N55" s="2039"/>
      <c r="O55" s="2039"/>
      <c r="P55" s="2040"/>
      <c r="Q55" s="2035"/>
      <c r="R55" s="1901"/>
      <c r="S55" s="1901"/>
      <c r="T55" s="1901"/>
      <c r="U55" s="1901"/>
      <c r="V55" s="1901"/>
      <c r="W55" s="1901"/>
      <c r="X55" s="1901"/>
      <c r="Y55" s="1901"/>
      <c r="Z55" s="1901"/>
      <c r="AA55" s="1901"/>
      <c r="AB55" s="1901"/>
      <c r="AC55" s="1901"/>
    </row>
    <row r="56" spans="1:29" s="1201" customFormat="1" ht="15.75" thickBot="1">
      <c r="A56" s="649"/>
      <c r="B56" s="638"/>
      <c r="C56" s="639">
        <v>100</v>
      </c>
      <c r="D56" s="640"/>
      <c r="E56" s="640"/>
      <c r="F56" s="640"/>
      <c r="G56" s="640"/>
      <c r="H56" s="640"/>
      <c r="I56" s="640"/>
      <c r="J56" s="640"/>
      <c r="K56" s="640"/>
      <c r="L56" s="640"/>
      <c r="M56" s="642"/>
      <c r="N56" s="2039"/>
      <c r="O56" s="2039"/>
      <c r="P56" s="2035"/>
      <c r="Q56" s="2035"/>
      <c r="R56" s="1901"/>
      <c r="S56" s="1901"/>
      <c r="T56" s="1901"/>
      <c r="U56" s="1901"/>
      <c r="V56" s="1901"/>
      <c r="W56" s="1901"/>
      <c r="X56" s="1901"/>
      <c r="Y56" s="1901"/>
      <c r="Z56" s="1901"/>
      <c r="AA56" s="1901"/>
      <c r="AB56" s="1901"/>
      <c r="AC56" s="1901"/>
    </row>
    <row r="57" spans="1:29">
      <c r="A57" s="654" t="s">
        <v>571</v>
      </c>
      <c r="B57" s="655" t="s">
        <v>528</v>
      </c>
      <c r="C57" s="694">
        <f>C9</f>
        <v>0</v>
      </c>
      <c r="D57" s="590"/>
      <c r="E57" s="590"/>
      <c r="F57" s="590"/>
      <c r="G57" s="590"/>
      <c r="H57" s="590"/>
      <c r="I57" s="590"/>
      <c r="J57" s="590"/>
      <c r="K57" s="656"/>
      <c r="L57" s="657"/>
      <c r="M57" s="658"/>
      <c r="N57" s="2041"/>
      <c r="O57" s="2041"/>
      <c r="P57" s="2042"/>
      <c r="Q57" s="2035"/>
      <c r="R57" s="2023"/>
      <c r="S57" s="2023"/>
      <c r="T57" s="2023"/>
      <c r="U57" s="2023"/>
      <c r="V57" s="2023"/>
      <c r="W57" s="2023"/>
      <c r="X57" s="2023"/>
      <c r="Y57" s="2023"/>
      <c r="Z57" s="2023"/>
      <c r="AA57" s="2023"/>
      <c r="AB57" s="2023"/>
      <c r="AC57" s="2023"/>
    </row>
    <row r="58" spans="1:29" ht="15.75" thickBot="1">
      <c r="A58" s="659"/>
      <c r="B58" s="660"/>
      <c r="C58" s="661"/>
      <c r="D58" s="661"/>
      <c r="E58" s="661"/>
      <c r="F58" s="661"/>
      <c r="G58" s="661"/>
      <c r="H58" s="661"/>
      <c r="I58" s="661"/>
      <c r="J58" s="661"/>
      <c r="K58" s="661"/>
      <c r="L58" s="661"/>
      <c r="M58" s="662"/>
      <c r="N58" s="2043"/>
      <c r="O58" s="2043"/>
      <c r="P58" s="2042"/>
      <c r="Q58" s="2035"/>
      <c r="R58" s="2023"/>
      <c r="S58" s="2023"/>
      <c r="T58" s="2023"/>
      <c r="U58" s="2023"/>
      <c r="V58" s="2023"/>
      <c r="W58" s="2023"/>
      <c r="X58" s="2023"/>
      <c r="Y58" s="2023"/>
      <c r="Z58" s="2023"/>
      <c r="AA58" s="2023"/>
      <c r="AB58" s="2023"/>
      <c r="AC58" s="2023"/>
    </row>
    <row r="59" spans="1:29" ht="27.75" thickTop="1">
      <c r="A59" s="659"/>
      <c r="B59" s="663" t="s">
        <v>531</v>
      </c>
      <c r="C59" s="664" t="s">
        <v>731</v>
      </c>
      <c r="D59" s="664" t="s">
        <v>732</v>
      </c>
      <c r="E59" s="664" t="s">
        <v>733</v>
      </c>
      <c r="F59" s="664" t="s">
        <v>734</v>
      </c>
      <c r="G59" s="664" t="s">
        <v>735</v>
      </c>
      <c r="H59" s="664" t="s">
        <v>736</v>
      </c>
      <c r="I59" s="664" t="s">
        <v>737</v>
      </c>
      <c r="J59" s="664"/>
      <c r="K59" s="665"/>
      <c r="L59" s="666"/>
      <c r="M59" s="667"/>
      <c r="N59" s="2041"/>
      <c r="O59" s="2041"/>
      <c r="P59" s="2042"/>
      <c r="Q59" s="2035"/>
      <c r="R59" s="2023"/>
      <c r="S59" s="2023"/>
      <c r="T59" s="2023"/>
      <c r="U59" s="2023"/>
      <c r="V59" s="2023"/>
      <c r="W59" s="2023"/>
      <c r="X59" s="2023"/>
      <c r="Y59" s="2023"/>
      <c r="Z59" s="2023"/>
      <c r="AA59" s="2023"/>
      <c r="AB59" s="2023"/>
      <c r="AC59" s="2023"/>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3"/>
      <c r="O60" s="2043"/>
      <c r="P60" s="2042"/>
      <c r="Q60" s="2035"/>
      <c r="R60" s="2023"/>
      <c r="S60" s="2023"/>
      <c r="T60" s="2023"/>
      <c r="U60" s="2023"/>
      <c r="V60" s="2023"/>
      <c r="W60" s="2023"/>
      <c r="X60" s="2023"/>
      <c r="Y60" s="2023"/>
      <c r="Z60" s="2023"/>
      <c r="AA60" s="2023"/>
      <c r="AB60" s="2023"/>
      <c r="AC60" s="2023"/>
    </row>
    <row r="61" spans="1:29" ht="15.75" thickTop="1">
      <c r="A61" s="659"/>
      <c r="B61" s="671" t="s">
        <v>532</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9"/>
      <c r="B62" s="673"/>
      <c r="C62" s="533"/>
      <c r="D62" s="533"/>
      <c r="E62" s="533"/>
      <c r="F62" s="533"/>
      <c r="G62" s="533"/>
      <c r="H62" s="533"/>
      <c r="I62" s="533"/>
      <c r="J62" s="533"/>
      <c r="K62" s="674"/>
      <c r="L62" s="675"/>
      <c r="M62" s="676"/>
      <c r="N62" s="2041"/>
      <c r="O62" s="2041"/>
      <c r="P62" s="2042"/>
      <c r="Q62" s="2035"/>
      <c r="R62" s="2023"/>
      <c r="S62" s="2023"/>
      <c r="T62" s="2023"/>
      <c r="U62" s="2023"/>
      <c r="V62" s="2023"/>
      <c r="W62" s="2023"/>
      <c r="X62" s="2023"/>
      <c r="Y62" s="2023"/>
      <c r="Z62" s="2023"/>
      <c r="AA62" s="2023"/>
      <c r="AB62" s="2023"/>
      <c r="AC62" s="2023"/>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3"/>
      <c r="O63" s="2043"/>
      <c r="P63" s="2042"/>
      <c r="Q63" s="2035"/>
      <c r="R63" s="2023"/>
      <c r="S63" s="2023"/>
      <c r="T63" s="2023"/>
      <c r="U63" s="2023"/>
      <c r="V63" s="2023"/>
      <c r="W63" s="2023"/>
      <c r="X63" s="2023"/>
      <c r="Y63" s="2023"/>
      <c r="Z63" s="2023"/>
      <c r="AA63" s="2023"/>
      <c r="AB63" s="2023"/>
      <c r="AC63" s="2023"/>
    </row>
    <row r="64" spans="1:29" s="1291" customFormat="1" ht="15.75" thickTop="1">
      <c r="A64" s="677"/>
      <c r="B64" s="663">
        <f>B12</f>
        <v>111</v>
      </c>
      <c r="C64" s="678"/>
      <c r="D64" s="678"/>
      <c r="E64" s="678"/>
      <c r="F64" s="678"/>
      <c r="G64" s="678"/>
      <c r="H64" s="679"/>
      <c r="I64" s="679"/>
      <c r="J64" s="679"/>
      <c r="K64" s="679"/>
      <c r="L64" s="680"/>
      <c r="M64" s="681"/>
      <c r="N64" s="2044"/>
      <c r="O64" s="2044"/>
      <c r="P64" s="2045"/>
      <c r="Q64" s="2046"/>
      <c r="R64" s="2047"/>
      <c r="S64" s="2047"/>
      <c r="T64" s="2047"/>
      <c r="U64" s="2047"/>
      <c r="V64" s="2047"/>
      <c r="W64" s="2047"/>
      <c r="X64" s="2047"/>
      <c r="Y64" s="2047"/>
      <c r="Z64" s="2047"/>
      <c r="AA64" s="2047"/>
      <c r="AB64" s="2047"/>
      <c r="AC64" s="2047"/>
    </row>
    <row r="65" spans="1:29" s="1291" customFormat="1" ht="15.75" thickBot="1">
      <c r="A65" s="677"/>
      <c r="B65" s="668"/>
      <c r="C65" s="682"/>
      <c r="D65" s="661"/>
      <c r="E65" s="661"/>
      <c r="F65" s="661"/>
      <c r="G65" s="661"/>
      <c r="H65" s="661"/>
      <c r="I65" s="661"/>
      <c r="J65" s="661"/>
      <c r="K65" s="661"/>
      <c r="L65" s="661"/>
      <c r="M65" s="662"/>
      <c r="N65" s="2043"/>
      <c r="O65" s="2043"/>
      <c r="P65" s="2045"/>
      <c r="Q65" s="2046"/>
      <c r="R65" s="2047"/>
      <c r="S65" s="2047"/>
      <c r="T65" s="2047"/>
      <c r="U65" s="2047"/>
      <c r="V65" s="2047"/>
      <c r="W65" s="2047"/>
      <c r="X65" s="2047"/>
      <c r="Y65" s="2047"/>
      <c r="Z65" s="2047"/>
      <c r="AA65" s="2047"/>
      <c r="AB65" s="2047"/>
      <c r="AC65" s="2047"/>
    </row>
    <row r="66" spans="1:29" s="1291" customFormat="1" ht="15.75" thickTop="1">
      <c r="A66" s="677"/>
      <c r="B66" s="663">
        <f>B13</f>
        <v>111</v>
      </c>
      <c r="C66" s="678"/>
      <c r="D66" s="678"/>
      <c r="E66" s="678"/>
      <c r="F66" s="678"/>
      <c r="G66" s="678"/>
      <c r="H66" s="679"/>
      <c r="I66" s="679"/>
      <c r="J66" s="679"/>
      <c r="K66" s="679"/>
      <c r="L66" s="680"/>
      <c r="M66" s="681"/>
      <c r="N66" s="2044"/>
      <c r="O66" s="2044"/>
      <c r="P66" s="2048"/>
      <c r="Q66" s="2049"/>
      <c r="R66" s="2047"/>
      <c r="S66" s="2047"/>
      <c r="T66" s="2047"/>
      <c r="U66" s="2047"/>
      <c r="V66" s="2047"/>
      <c r="W66" s="2047"/>
      <c r="X66" s="2047"/>
      <c r="Y66" s="2047"/>
      <c r="Z66" s="2047"/>
      <c r="AA66" s="2047"/>
      <c r="AB66" s="2047"/>
      <c r="AC66" s="2047"/>
    </row>
    <row r="67" spans="1:29" s="1291" customFormat="1" ht="15.75" thickBot="1">
      <c r="A67" s="677"/>
      <c r="B67" s="668"/>
      <c r="C67" s="682"/>
      <c r="D67" s="661"/>
      <c r="E67" s="661"/>
      <c r="F67" s="661"/>
      <c r="G67" s="682"/>
      <c r="H67" s="683"/>
      <c r="I67" s="683"/>
      <c r="J67" s="683"/>
      <c r="K67" s="683"/>
      <c r="L67" s="683"/>
      <c r="M67" s="684"/>
      <c r="N67" s="2044"/>
      <c r="O67" s="2044"/>
      <c r="P67" s="2045"/>
      <c r="Q67" s="2046"/>
      <c r="R67" s="2047"/>
      <c r="S67" s="2047"/>
      <c r="T67" s="2047"/>
      <c r="U67" s="2047"/>
      <c r="V67" s="2047"/>
      <c r="W67" s="2047"/>
      <c r="X67" s="2047"/>
      <c r="Y67" s="2047"/>
      <c r="Z67" s="2047"/>
      <c r="AA67" s="2047"/>
      <c r="AB67" s="2047"/>
      <c r="AC67" s="2047"/>
    </row>
    <row r="68" spans="1:29" s="1291" customFormat="1" ht="15.75" thickTop="1">
      <c r="A68" s="677"/>
      <c r="B68" s="671">
        <f>B14</f>
        <v>111</v>
      </c>
      <c r="C68" s="651"/>
      <c r="D68" s="651"/>
      <c r="E68" s="651"/>
      <c r="F68" s="651"/>
      <c r="G68" s="651"/>
      <c r="H68" s="685"/>
      <c r="I68" s="685"/>
      <c r="J68" s="685"/>
      <c r="K68" s="685"/>
      <c r="L68" s="686"/>
      <c r="M68" s="687"/>
      <c r="N68" s="2044"/>
      <c r="O68" s="2044"/>
      <c r="P68" s="2050"/>
      <c r="Q68" s="2046"/>
      <c r="R68" s="2047"/>
      <c r="S68" s="2047"/>
      <c r="T68" s="2047"/>
      <c r="U68" s="2047"/>
      <c r="V68" s="2047"/>
      <c r="W68" s="2047"/>
      <c r="X68" s="2047"/>
      <c r="Y68" s="2047"/>
      <c r="Z68" s="2047"/>
      <c r="AA68" s="2047"/>
      <c r="AB68" s="2047"/>
      <c r="AC68" s="2047"/>
    </row>
    <row r="69" spans="1:29" s="1291" customFormat="1" ht="15.75" thickBot="1">
      <c r="A69" s="688"/>
      <c r="B69" s="689"/>
      <c r="C69" s="690"/>
      <c r="D69" s="690"/>
      <c r="E69" s="690"/>
      <c r="F69" s="690"/>
      <c r="G69" s="690"/>
      <c r="H69" s="691"/>
      <c r="I69" s="691"/>
      <c r="J69" s="691"/>
      <c r="K69" s="691"/>
      <c r="L69" s="691"/>
      <c r="M69" s="692"/>
      <c r="N69" s="2044"/>
      <c r="O69" s="2044"/>
      <c r="P69" s="2045"/>
      <c r="Q69" s="2046"/>
      <c r="R69" s="2047"/>
      <c r="S69" s="2047"/>
      <c r="T69" s="2047"/>
      <c r="U69" s="2047"/>
      <c r="V69" s="2047"/>
      <c r="W69" s="2047"/>
      <c r="X69" s="2047"/>
      <c r="Y69" s="2047"/>
      <c r="Z69" s="2047"/>
      <c r="AA69" s="2047"/>
      <c r="AB69" s="2047"/>
      <c r="AC69" s="2047"/>
    </row>
    <row r="70" spans="1:29">
      <c r="A70" s="654" t="s">
        <v>533</v>
      </c>
      <c r="B70" s="655" t="s">
        <v>579</v>
      </c>
      <c r="C70" s="693" t="s">
        <v>573</v>
      </c>
      <c r="D70" s="693" t="s">
        <v>574</v>
      </c>
      <c r="E70" s="693" t="s">
        <v>575</v>
      </c>
      <c r="F70" s="693" t="s">
        <v>576</v>
      </c>
      <c r="G70" s="693" t="s">
        <v>577</v>
      </c>
      <c r="H70" s="694"/>
      <c r="I70" s="694"/>
      <c r="J70" s="694"/>
      <c r="K70" s="695"/>
      <c r="L70" s="696"/>
      <c r="M70" s="697"/>
      <c r="N70" s="2041"/>
      <c r="O70" s="2041"/>
      <c r="P70" s="2051"/>
      <c r="Q70" s="2035"/>
      <c r="R70" s="2023"/>
      <c r="S70" s="2023"/>
      <c r="T70" s="2023"/>
      <c r="U70" s="2023"/>
      <c r="V70" s="2023"/>
      <c r="W70" s="2023"/>
      <c r="X70" s="2023"/>
      <c r="Y70" s="2023"/>
      <c r="Z70" s="2023"/>
      <c r="AA70" s="2023"/>
      <c r="AB70" s="2023"/>
      <c r="AC70" s="2023"/>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3"/>
      <c r="O71" s="2043"/>
      <c r="P71" s="2042"/>
      <c r="Q71" s="2035"/>
      <c r="R71" s="2023"/>
      <c r="S71" s="2023"/>
      <c r="T71" s="2023"/>
      <c r="U71" s="2023"/>
      <c r="V71" s="2023"/>
      <c r="W71" s="2023"/>
      <c r="X71" s="2023"/>
      <c r="Y71" s="2023"/>
      <c r="Z71" s="2023"/>
      <c r="AA71" s="2023"/>
      <c r="AB71" s="2023"/>
      <c r="AC71" s="2023"/>
    </row>
    <row r="72" spans="1:29" ht="15.75" thickTop="1">
      <c r="A72" s="659"/>
      <c r="B72" s="663" t="s">
        <v>580</v>
      </c>
      <c r="C72" s="698" t="s">
        <v>573</v>
      </c>
      <c r="D72" s="698" t="s">
        <v>574</v>
      </c>
      <c r="E72" s="698" t="s">
        <v>575</v>
      </c>
      <c r="F72" s="698" t="s">
        <v>576</v>
      </c>
      <c r="G72" s="698" t="s">
        <v>577</v>
      </c>
      <c r="H72" s="664"/>
      <c r="I72" s="664"/>
      <c r="J72" s="664"/>
      <c r="K72" s="665"/>
      <c r="L72" s="666"/>
      <c r="M72" s="667"/>
      <c r="N72" s="2041"/>
      <c r="O72" s="2041"/>
      <c r="P72" s="2042"/>
      <c r="Q72" s="2035"/>
      <c r="R72" s="2023"/>
      <c r="S72" s="2023"/>
      <c r="T72" s="2023"/>
      <c r="U72" s="2023"/>
      <c r="V72" s="2023"/>
      <c r="W72" s="2023"/>
      <c r="X72" s="2023"/>
      <c r="Y72" s="2023"/>
      <c r="Z72" s="2023"/>
      <c r="AA72" s="2023"/>
      <c r="AB72" s="2023"/>
      <c r="AC72" s="2023"/>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3"/>
      <c r="O73" s="2043"/>
      <c r="P73" s="2042"/>
      <c r="Q73" s="2035"/>
      <c r="R73" s="2023"/>
      <c r="S73" s="2023"/>
      <c r="T73" s="2023"/>
      <c r="U73" s="2023"/>
      <c r="V73" s="2023"/>
      <c r="W73" s="2023"/>
      <c r="X73" s="2023"/>
      <c r="Y73" s="2023"/>
      <c r="Z73" s="2023"/>
      <c r="AA73" s="2023"/>
      <c r="AB73" s="2023"/>
      <c r="AC73" s="2023"/>
    </row>
    <row r="74" spans="1:29" ht="15.75" thickTop="1">
      <c r="A74" s="659"/>
      <c r="B74" s="1806" t="s">
        <v>2538</v>
      </c>
      <c r="C74" s="698" t="s">
        <v>573</v>
      </c>
      <c r="D74" s="698" t="s">
        <v>574</v>
      </c>
      <c r="E74" s="698" t="s">
        <v>575</v>
      </c>
      <c r="F74" s="698" t="s">
        <v>576</v>
      </c>
      <c r="G74" s="698" t="s">
        <v>577</v>
      </c>
      <c r="H74" s="664"/>
      <c r="I74" s="664"/>
      <c r="J74" s="664"/>
      <c r="K74" s="665"/>
      <c r="L74" s="666"/>
      <c r="M74" s="667"/>
      <c r="N74" s="2041"/>
      <c r="O74" s="2041"/>
      <c r="P74" s="2042"/>
      <c r="Q74" s="2035"/>
      <c r="R74" s="2023"/>
      <c r="S74" s="2023"/>
      <c r="T74" s="2023"/>
      <c r="U74" s="2023"/>
      <c r="V74" s="2023"/>
      <c r="W74" s="2023"/>
      <c r="X74" s="2023"/>
      <c r="Y74" s="2023"/>
      <c r="Z74" s="2023"/>
      <c r="AA74" s="2023"/>
      <c r="AB74" s="2023"/>
      <c r="AC74" s="2023"/>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3"/>
      <c r="O75" s="2043"/>
      <c r="P75" s="2042"/>
      <c r="Q75" s="2035"/>
      <c r="R75" s="2023"/>
      <c r="S75" s="2023"/>
      <c r="T75" s="2023"/>
      <c r="U75" s="2023"/>
      <c r="V75" s="2023"/>
      <c r="W75" s="2023"/>
      <c r="X75" s="2023"/>
      <c r="Y75" s="2023"/>
      <c r="Z75" s="2023"/>
      <c r="AA75" s="2023"/>
      <c r="AB75" s="2023"/>
      <c r="AC75" s="2023"/>
    </row>
    <row r="76" spans="1:29" ht="15.75" thickTop="1">
      <c r="A76" s="659"/>
      <c r="B76" s="2437" t="s">
        <v>2539</v>
      </c>
      <c r="C76" s="2438" t="s">
        <v>2540</v>
      </c>
      <c r="D76" s="2438" t="s">
        <v>2541</v>
      </c>
      <c r="E76" s="2438" t="s">
        <v>2542</v>
      </c>
      <c r="F76" s="2438" t="s">
        <v>2543</v>
      </c>
      <c r="G76" s="2438" t="s">
        <v>2544</v>
      </c>
      <c r="H76" s="922"/>
      <c r="I76" s="922"/>
      <c r="J76" s="922"/>
      <c r="K76" s="922"/>
      <c r="L76" s="922"/>
      <c r="M76" s="551"/>
      <c r="N76" s="2043"/>
      <c r="O76" s="2043"/>
      <c r="P76" s="2042"/>
      <c r="Q76" s="2035"/>
      <c r="R76" s="2023"/>
      <c r="S76" s="2023"/>
      <c r="T76" s="2023"/>
      <c r="U76" s="2023"/>
      <c r="V76" s="2023"/>
      <c r="W76" s="2023"/>
      <c r="X76" s="2023"/>
      <c r="Y76" s="2023"/>
      <c r="Z76" s="2023"/>
      <c r="AA76" s="2023"/>
      <c r="AB76" s="2023"/>
      <c r="AC76" s="2023"/>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3"/>
      <c r="O77" s="2043"/>
      <c r="P77" s="2042"/>
      <c r="Q77" s="2035"/>
      <c r="R77" s="2023"/>
      <c r="S77" s="2023"/>
      <c r="T77" s="2023"/>
      <c r="U77" s="2023"/>
      <c r="V77" s="2023"/>
      <c r="W77" s="2023"/>
      <c r="X77" s="2023"/>
      <c r="Y77" s="2023"/>
      <c r="Z77" s="2023"/>
      <c r="AA77" s="2023"/>
      <c r="AB77" s="2023"/>
      <c r="AC77" s="2023"/>
    </row>
    <row r="78" spans="1:29" ht="15.75" thickTop="1">
      <c r="A78" s="659"/>
      <c r="B78" s="663" t="s">
        <v>778</v>
      </c>
      <c r="C78" s="698" t="s">
        <v>573</v>
      </c>
      <c r="D78" s="698" t="s">
        <v>574</v>
      </c>
      <c r="E78" s="698" t="s">
        <v>575</v>
      </c>
      <c r="F78" s="698" t="s">
        <v>576</v>
      </c>
      <c r="G78" s="698" t="s">
        <v>577</v>
      </c>
      <c r="H78" s="664"/>
      <c r="I78" s="664"/>
      <c r="J78" s="664"/>
      <c r="K78" s="665"/>
      <c r="L78" s="666"/>
      <c r="M78" s="667"/>
      <c r="N78" s="2041"/>
      <c r="O78" s="2041"/>
      <c r="P78" s="2042"/>
      <c r="Q78" s="2035"/>
      <c r="R78" s="2023"/>
      <c r="S78" s="2023"/>
      <c r="T78" s="2023"/>
      <c r="U78" s="2023"/>
      <c r="V78" s="2023"/>
      <c r="W78" s="2023"/>
      <c r="X78" s="2023"/>
      <c r="Y78" s="2023"/>
      <c r="Z78" s="2023"/>
      <c r="AA78" s="2023"/>
      <c r="AB78" s="2023"/>
      <c r="AC78" s="2023"/>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3"/>
      <c r="O79" s="2043"/>
      <c r="P79" s="2042"/>
      <c r="Q79" s="2035"/>
      <c r="R79" s="2023"/>
      <c r="S79" s="2023"/>
      <c r="T79" s="2023"/>
      <c r="U79" s="2023"/>
      <c r="V79" s="2023"/>
      <c r="W79" s="2023"/>
      <c r="X79" s="2023"/>
      <c r="Y79" s="2023"/>
      <c r="Z79" s="2023"/>
      <c r="AA79" s="2023"/>
      <c r="AB79" s="2023"/>
      <c r="AC79" s="2023"/>
    </row>
    <row r="80" spans="1:29" s="1201" customFormat="1" ht="15.75" thickTop="1">
      <c r="A80" s="699"/>
      <c r="B80" s="663">
        <f>B25</f>
        <v>111</v>
      </c>
      <c r="C80" s="678"/>
      <c r="D80" s="678"/>
      <c r="E80" s="678"/>
      <c r="F80" s="678"/>
      <c r="G80" s="678"/>
      <c r="H80" s="678"/>
      <c r="I80" s="678"/>
      <c r="J80" s="678"/>
      <c r="K80" s="678"/>
      <c r="L80" s="877"/>
      <c r="M80" s="878"/>
      <c r="N80" s="2039"/>
      <c r="O80" s="2039"/>
      <c r="P80" s="2042"/>
      <c r="Q80" s="2035"/>
      <c r="R80" s="1901"/>
      <c r="S80" s="1901"/>
      <c r="T80" s="1901"/>
      <c r="U80" s="1901"/>
      <c r="V80" s="1901"/>
      <c r="W80" s="1901"/>
      <c r="X80" s="1901"/>
      <c r="Y80" s="1901"/>
      <c r="Z80" s="1901"/>
      <c r="AA80" s="1901"/>
      <c r="AB80" s="1901"/>
      <c r="AC80" s="1901"/>
    </row>
    <row r="81" spans="1:29" s="1201" customFormat="1" ht="15.75" thickBot="1">
      <c r="A81" s="699"/>
      <c r="B81" s="668"/>
      <c r="C81" s="682"/>
      <c r="D81" s="661"/>
      <c r="E81" s="661"/>
      <c r="F81" s="661"/>
      <c r="G81" s="661"/>
      <c r="H81" s="661"/>
      <c r="I81" s="661"/>
      <c r="J81" s="661"/>
      <c r="K81" s="661"/>
      <c r="L81" s="661"/>
      <c r="M81" s="662"/>
      <c r="N81" s="2043"/>
      <c r="O81" s="2043"/>
      <c r="P81" s="2042"/>
      <c r="Q81" s="2035"/>
      <c r="R81" s="1901"/>
      <c r="S81" s="1901"/>
      <c r="T81" s="1901"/>
      <c r="U81" s="1901"/>
      <c r="V81" s="1901"/>
      <c r="W81" s="1901"/>
      <c r="X81" s="1901"/>
      <c r="Y81" s="1901"/>
      <c r="Z81" s="1901"/>
      <c r="AA81" s="1901"/>
      <c r="AB81" s="1901"/>
      <c r="AC81" s="1901"/>
    </row>
    <row r="82" spans="1:29" s="1201" customFormat="1" ht="15.75" thickTop="1">
      <c r="A82" s="699"/>
      <c r="B82" s="663">
        <f>B26</f>
        <v>111</v>
      </c>
      <c r="C82" s="678"/>
      <c r="D82" s="678"/>
      <c r="E82" s="678"/>
      <c r="F82" s="678"/>
      <c r="G82" s="678"/>
      <c r="H82" s="678"/>
      <c r="I82" s="678"/>
      <c r="J82" s="678"/>
      <c r="K82" s="678"/>
      <c r="L82" s="877"/>
      <c r="M82" s="878"/>
      <c r="N82" s="2039"/>
      <c r="O82" s="2039"/>
      <c r="P82" s="2042"/>
      <c r="Q82" s="2035"/>
      <c r="R82" s="1901"/>
      <c r="S82" s="1901"/>
      <c r="T82" s="1901"/>
      <c r="U82" s="1901"/>
      <c r="V82" s="1901"/>
      <c r="W82" s="1901"/>
      <c r="X82" s="1901"/>
      <c r="Y82" s="1901"/>
      <c r="Z82" s="1901"/>
      <c r="AA82" s="1901"/>
      <c r="AB82" s="1901"/>
      <c r="AC82" s="1901"/>
    </row>
    <row r="83" spans="1:29" s="1201" customFormat="1" ht="15.75" thickBot="1">
      <c r="A83" s="699"/>
      <c r="B83" s="668"/>
      <c r="C83" s="682"/>
      <c r="D83" s="661"/>
      <c r="E83" s="661"/>
      <c r="F83" s="661"/>
      <c r="G83" s="661"/>
      <c r="H83" s="661"/>
      <c r="I83" s="661"/>
      <c r="J83" s="661"/>
      <c r="K83" s="661"/>
      <c r="L83" s="661"/>
      <c r="M83" s="662"/>
      <c r="N83" s="2043"/>
      <c r="O83" s="2043"/>
      <c r="P83" s="2042"/>
      <c r="Q83" s="2035"/>
      <c r="R83" s="1901"/>
      <c r="S83" s="1901"/>
      <c r="T83" s="1901"/>
      <c r="U83" s="1901"/>
      <c r="V83" s="1901"/>
      <c r="W83" s="1901"/>
      <c r="X83" s="1901"/>
      <c r="Y83" s="1901"/>
      <c r="Z83" s="1901"/>
      <c r="AA83" s="1901"/>
      <c r="AB83" s="1901"/>
      <c r="AC83" s="1901"/>
    </row>
    <row r="84" spans="1:29" s="1291" customFormat="1" ht="15.75" thickTop="1">
      <c r="A84" s="677"/>
      <c r="B84" s="663">
        <f>B27</f>
        <v>111</v>
      </c>
      <c r="C84" s="678"/>
      <c r="D84" s="678"/>
      <c r="E84" s="678"/>
      <c r="F84" s="678"/>
      <c r="G84" s="678"/>
      <c r="H84" s="678"/>
      <c r="I84" s="678"/>
      <c r="J84" s="678"/>
      <c r="K84" s="678"/>
      <c r="L84" s="877"/>
      <c r="M84" s="878"/>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4"/>
      <c r="O85" s="2044"/>
      <c r="P85" s="2045"/>
      <c r="Q85" s="2046"/>
      <c r="R85" s="2047"/>
      <c r="S85" s="2047"/>
      <c r="T85" s="2047"/>
      <c r="U85" s="2047"/>
      <c r="V85" s="2047"/>
      <c r="W85" s="2047"/>
      <c r="X85" s="2047"/>
      <c r="Y85" s="2047"/>
      <c r="Z85" s="2047"/>
      <c r="AA85" s="2047"/>
      <c r="AB85" s="2047"/>
      <c r="AC85" s="2047"/>
    </row>
    <row r="86" spans="1:29" ht="15.75" thickTop="1">
      <c r="A86" s="659"/>
      <c r="B86" s="671">
        <f>B28</f>
        <v>111</v>
      </c>
      <c r="C86" s="651"/>
      <c r="D86" s="651"/>
      <c r="E86" s="651"/>
      <c r="F86" s="651"/>
      <c r="G86" s="712"/>
      <c r="H86" s="712"/>
      <c r="I86" s="712"/>
      <c r="J86" s="712"/>
      <c r="K86" s="713"/>
      <c r="L86" s="714"/>
      <c r="M86" s="715"/>
      <c r="N86" s="2041"/>
      <c r="O86" s="2041"/>
      <c r="P86" s="2042"/>
      <c r="Q86" s="2035"/>
      <c r="R86" s="2023"/>
      <c r="S86" s="2023"/>
      <c r="T86" s="2023"/>
      <c r="U86" s="2023"/>
      <c r="V86" s="2023"/>
      <c r="W86" s="2023"/>
      <c r="X86" s="2023"/>
      <c r="Y86" s="2023"/>
      <c r="Z86" s="2023"/>
      <c r="AA86" s="2023"/>
      <c r="AB86" s="2023"/>
      <c r="AC86" s="2023"/>
    </row>
    <row r="87" spans="1:29" ht="15.75" thickBot="1">
      <c r="A87" s="880"/>
      <c r="B87" s="689"/>
      <c r="C87" s="690"/>
      <c r="D87" s="690"/>
      <c r="E87" s="690"/>
      <c r="F87" s="690"/>
      <c r="G87" s="716"/>
      <c r="H87" s="716"/>
      <c r="I87" s="716"/>
      <c r="J87" s="716"/>
      <c r="K87" s="716"/>
      <c r="L87" s="716"/>
      <c r="M87" s="717"/>
      <c r="N87" s="2043"/>
      <c r="O87" s="2043"/>
      <c r="P87" s="2042"/>
      <c r="Q87" s="2035"/>
      <c r="R87" s="2023"/>
      <c r="S87" s="2023"/>
      <c r="T87" s="2023"/>
      <c r="U87" s="2023"/>
      <c r="V87" s="2023"/>
      <c r="W87" s="2023"/>
      <c r="X87" s="2023"/>
      <c r="Y87" s="2023"/>
      <c r="Z87" s="2023"/>
      <c r="AA87" s="2023"/>
      <c r="AB87" s="2023"/>
      <c r="AC87" s="2023"/>
    </row>
    <row r="88" spans="1:29">
      <c r="A88" s="654" t="s">
        <v>545</v>
      </c>
      <c r="B88" s="655" t="s">
        <v>741</v>
      </c>
      <c r="C88" s="590"/>
      <c r="D88" s="590"/>
      <c r="E88" s="590"/>
      <c r="F88" s="590"/>
      <c r="G88" s="590"/>
      <c r="H88" s="590"/>
      <c r="I88" s="590"/>
      <c r="J88" s="590"/>
      <c r="K88" s="656"/>
      <c r="L88" s="657"/>
      <c r="M88" s="658"/>
      <c r="N88" s="2041"/>
      <c r="O88" s="2041"/>
      <c r="P88" s="2042"/>
      <c r="Q88" s="2035"/>
      <c r="R88" s="2023"/>
      <c r="S88" s="2023"/>
      <c r="T88" s="2023"/>
      <c r="U88" s="2023"/>
      <c r="V88" s="2023"/>
      <c r="W88" s="2023"/>
      <c r="X88" s="2023"/>
      <c r="Y88" s="2023"/>
      <c r="Z88" s="2023"/>
      <c r="AA88" s="2023"/>
      <c r="AB88" s="2023"/>
      <c r="AC88" s="2023"/>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9"/>
      <c r="B90" s="663" t="s">
        <v>742</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39"/>
      <c r="O90" s="2039"/>
      <c r="P90" s="2042"/>
      <c r="Q90" s="2035"/>
      <c r="R90" s="2023"/>
      <c r="S90" s="2023"/>
      <c r="T90" s="2023"/>
      <c r="U90" s="2023"/>
      <c r="V90" s="2023"/>
      <c r="W90" s="2023"/>
      <c r="X90" s="2023"/>
      <c r="Y90" s="2023"/>
      <c r="Z90" s="2023"/>
      <c r="AA90" s="2023"/>
      <c r="AB90" s="2023"/>
      <c r="AC90" s="2023"/>
    </row>
    <row r="91" spans="1:29" s="1291" customFormat="1">
      <c r="A91" s="718"/>
      <c r="B91" s="719"/>
      <c r="C91" s="720"/>
      <c r="D91" s="720"/>
      <c r="E91" s="720"/>
      <c r="F91" s="720"/>
      <c r="G91" s="720"/>
      <c r="H91" s="720"/>
      <c r="I91" s="720"/>
      <c r="J91" s="721"/>
      <c r="K91" s="721"/>
      <c r="L91" s="722"/>
      <c r="M91" s="723"/>
      <c r="N91" s="2044"/>
      <c r="O91" s="2044"/>
      <c r="P91" s="2045"/>
      <c r="Q91" s="2046"/>
      <c r="R91" s="2047"/>
      <c r="S91" s="2047"/>
      <c r="T91" s="2047"/>
      <c r="U91" s="2047"/>
      <c r="V91" s="2047"/>
      <c r="W91" s="2047"/>
      <c r="X91" s="2047"/>
      <c r="Y91" s="2047"/>
      <c r="Z91" s="2047"/>
      <c r="AA91" s="2047"/>
      <c r="AB91" s="2047"/>
      <c r="AC91" s="2047"/>
    </row>
    <row r="92" spans="1:29" s="1291" customFormat="1" ht="15.75" thickBot="1">
      <c r="A92" s="677"/>
      <c r="B92" s="668"/>
      <c r="C92" s="682"/>
      <c r="D92" s="661"/>
      <c r="E92" s="661"/>
      <c r="F92" s="661"/>
      <c r="G92" s="661"/>
      <c r="H92" s="661"/>
      <c r="I92" s="661"/>
      <c r="J92" s="661"/>
      <c r="K92" s="661"/>
      <c r="L92" s="661"/>
      <c r="M92" s="662"/>
      <c r="N92" s="2043"/>
      <c r="O92" s="2043"/>
      <c r="P92" s="2045"/>
      <c r="Q92" s="2046"/>
      <c r="R92" s="2047"/>
      <c r="S92" s="2047"/>
      <c r="T92" s="2047"/>
      <c r="U92" s="2047"/>
      <c r="V92" s="2047"/>
      <c r="W92" s="2047"/>
      <c r="X92" s="2047"/>
      <c r="Y92" s="2047"/>
      <c r="Z92" s="2047"/>
      <c r="AA92" s="2047"/>
      <c r="AB92" s="2047"/>
      <c r="AC92" s="2047"/>
    </row>
    <row r="93" spans="1:29" ht="15" thickTop="1">
      <c r="A93" s="725"/>
      <c r="B93" s="663" t="s">
        <v>743</v>
      </c>
      <c r="C93" s="678"/>
      <c r="D93" s="678"/>
      <c r="E93" s="708"/>
      <c r="F93" s="708"/>
      <c r="G93" s="708"/>
      <c r="H93" s="708"/>
      <c r="I93" s="708"/>
      <c r="J93" s="708"/>
      <c r="K93" s="709"/>
      <c r="L93" s="710"/>
      <c r="M93" s="711"/>
      <c r="N93" s="2041"/>
      <c r="O93" s="2041"/>
      <c r="P93" s="2042"/>
      <c r="Q93" s="2035"/>
      <c r="R93" s="2023"/>
      <c r="S93" s="2023"/>
      <c r="T93" s="2023"/>
      <c r="U93" s="2023"/>
      <c r="V93" s="2023"/>
      <c r="W93" s="2023"/>
      <c r="X93" s="2023"/>
      <c r="Y93" s="2023"/>
      <c r="Z93" s="2023"/>
      <c r="AA93" s="2023"/>
      <c r="AB93" s="2023"/>
      <c r="AC93" s="2023"/>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5"/>
      <c r="B95" s="663" t="s">
        <v>745</v>
      </c>
      <c r="C95" s="678"/>
      <c r="D95" s="678"/>
      <c r="E95" s="678"/>
      <c r="F95" s="708"/>
      <c r="G95" s="708"/>
      <c r="H95" s="708"/>
      <c r="I95" s="708"/>
      <c r="J95" s="708"/>
      <c r="K95" s="709"/>
      <c r="L95" s="710"/>
      <c r="M95" s="711"/>
      <c r="N95" s="2041"/>
      <c r="O95" s="2041"/>
      <c r="P95" s="2042"/>
      <c r="Q95" s="2035"/>
      <c r="R95" s="2023"/>
      <c r="S95" s="2023"/>
      <c r="T95" s="2023"/>
      <c r="U95" s="2023"/>
      <c r="V95" s="2023"/>
      <c r="W95" s="2023"/>
      <c r="X95" s="2023"/>
      <c r="Y95" s="2023"/>
      <c r="Z95" s="2023"/>
      <c r="AA95" s="2023"/>
      <c r="AB95" s="2023"/>
      <c r="AC95" s="2023"/>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5"/>
      <c r="B97" s="663" t="s">
        <v>746</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1"/>
      <c r="O97" s="2041"/>
      <c r="P97" s="2042"/>
      <c r="Q97" s="2035"/>
      <c r="R97" s="2023"/>
      <c r="S97" s="2023"/>
      <c r="T97" s="2023"/>
      <c r="U97" s="2023"/>
      <c r="V97" s="2023"/>
      <c r="W97" s="2023"/>
      <c r="X97" s="2023"/>
      <c r="Y97" s="2023"/>
      <c r="Z97" s="2023"/>
      <c r="AA97" s="2023"/>
      <c r="AB97" s="2023"/>
      <c r="AC97" s="2023"/>
    </row>
    <row r="98" spans="1:29">
      <c r="A98" s="725"/>
      <c r="B98" s="671"/>
      <c r="C98" s="881">
        <v>0.5</v>
      </c>
      <c r="D98" s="881">
        <v>0.6</v>
      </c>
      <c r="E98" s="881">
        <v>0.7</v>
      </c>
      <c r="F98" s="881">
        <v>0.8</v>
      </c>
      <c r="G98" s="881">
        <v>0.9</v>
      </c>
      <c r="H98" s="881">
        <v>1.0001</v>
      </c>
      <c r="I98" s="892"/>
      <c r="J98" s="892"/>
      <c r="K98" s="893"/>
      <c r="L98" s="894"/>
      <c r="M98" s="895"/>
      <c r="N98" s="2041"/>
      <c r="O98" s="2041"/>
      <c r="P98" s="2042"/>
      <c r="Q98" s="2035"/>
      <c r="R98" s="2023"/>
      <c r="S98" s="2023"/>
      <c r="T98" s="2023"/>
      <c r="U98" s="2023"/>
      <c r="V98" s="2023"/>
      <c r="W98" s="2023"/>
      <c r="X98" s="2023"/>
      <c r="Y98" s="2023"/>
      <c r="Z98" s="2023"/>
      <c r="AA98" s="2023"/>
      <c r="AB98" s="2023"/>
      <c r="AC98" s="2023"/>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3"/>
      <c r="O99" s="2043"/>
      <c r="P99" s="2042"/>
      <c r="Q99" s="2035"/>
      <c r="R99" s="2023"/>
      <c r="S99" s="2023"/>
      <c r="T99" s="2023"/>
      <c r="U99" s="2023"/>
      <c r="V99" s="2023"/>
      <c r="W99" s="2023"/>
      <c r="X99" s="2023"/>
      <c r="Y99" s="2023"/>
      <c r="Z99" s="2023"/>
      <c r="AA99" s="2023"/>
      <c r="AB99" s="2023"/>
      <c r="AC99" s="2023"/>
    </row>
    <row r="100" spans="1:29" s="1291" customFormat="1" ht="15" thickTop="1">
      <c r="A100" s="718"/>
      <c r="B100" s="663" t="s">
        <v>747</v>
      </c>
      <c r="C100" s="678"/>
      <c r="D100" s="678"/>
      <c r="E100" s="678"/>
      <c r="F100" s="678"/>
      <c r="G100" s="678"/>
      <c r="H100" s="708"/>
      <c r="I100" s="708"/>
      <c r="J100" s="708"/>
      <c r="K100" s="709"/>
      <c r="L100" s="710"/>
      <c r="M100" s="711"/>
      <c r="N100" s="2044"/>
      <c r="O100" s="2044"/>
      <c r="P100" s="2045"/>
      <c r="Q100" s="2046"/>
      <c r="R100" s="2047"/>
      <c r="S100" s="2047"/>
      <c r="T100" s="2047"/>
      <c r="U100" s="2047"/>
      <c r="V100" s="2047"/>
      <c r="W100" s="2047"/>
      <c r="X100" s="2047"/>
      <c r="Y100" s="2047"/>
      <c r="Z100" s="2047"/>
      <c r="AA100" s="2047"/>
      <c r="AB100" s="2047"/>
      <c r="AC100" s="2047"/>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5"/>
      <c r="B102" s="1806" t="s">
        <v>2537</v>
      </c>
      <c r="C102" s="678"/>
      <c r="D102" s="678"/>
      <c r="E102" s="678"/>
      <c r="F102" s="678"/>
      <c r="G102" s="678"/>
      <c r="H102" s="708"/>
      <c r="I102" s="708"/>
      <c r="J102" s="708"/>
      <c r="K102" s="709"/>
      <c r="L102" s="710"/>
      <c r="M102" s="711"/>
      <c r="N102" s="2041"/>
      <c r="O102" s="2041"/>
      <c r="P102" s="2042"/>
      <c r="Q102" s="2035"/>
      <c r="R102" s="2023"/>
      <c r="S102" s="2023"/>
      <c r="T102" s="2023"/>
      <c r="U102" s="2023"/>
      <c r="V102" s="2023"/>
      <c r="W102" s="2023"/>
      <c r="X102" s="2023"/>
      <c r="Y102" s="2023"/>
      <c r="Z102" s="2023"/>
      <c r="AA102" s="2023"/>
      <c r="AB102" s="2023"/>
      <c r="AC102" s="2023"/>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5"/>
      <c r="B104" s="663" t="s">
        <v>749</v>
      </c>
      <c r="C104" s="678"/>
      <c r="D104" s="678"/>
      <c r="E104" s="678"/>
      <c r="F104" s="678"/>
      <c r="G104" s="678"/>
      <c r="H104" s="708"/>
      <c r="I104" s="708"/>
      <c r="J104" s="708"/>
      <c r="K104" s="709"/>
      <c r="L104" s="710"/>
      <c r="M104" s="711"/>
      <c r="N104" s="2041"/>
      <c r="O104" s="2041"/>
      <c r="P104" s="2042"/>
      <c r="Q104" s="2035"/>
      <c r="R104" s="2023"/>
      <c r="S104" s="2023"/>
      <c r="T104" s="2023"/>
      <c r="U104" s="2023"/>
      <c r="V104" s="2023"/>
      <c r="W104" s="2023"/>
      <c r="X104" s="2023"/>
      <c r="Y104" s="2023"/>
      <c r="Z104" s="2023"/>
      <c r="AA104" s="2023"/>
      <c r="AB104" s="2023"/>
      <c r="AC104" s="2023"/>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3"/>
      <c r="O105" s="2043"/>
      <c r="P105" s="2042"/>
      <c r="Q105" s="2035"/>
      <c r="R105" s="2023"/>
      <c r="S105" s="2023"/>
      <c r="T105" s="2023"/>
      <c r="U105" s="2023"/>
      <c r="V105" s="2023"/>
      <c r="W105" s="2023"/>
      <c r="X105" s="2023"/>
      <c r="Y105" s="2023"/>
      <c r="Z105" s="2023"/>
      <c r="AA105" s="2023"/>
      <c r="AB105" s="2023"/>
      <c r="AC105" s="2023"/>
    </row>
    <row r="106" spans="1:29" ht="27.75" thickTop="1">
      <c r="A106" s="725"/>
      <c r="B106" s="904" t="s">
        <v>785</v>
      </c>
      <c r="C106" s="698" t="s">
        <v>573</v>
      </c>
      <c r="D106" s="698" t="s">
        <v>574</v>
      </c>
      <c r="E106" s="698" t="s">
        <v>575</v>
      </c>
      <c r="F106" s="698" t="s">
        <v>576</v>
      </c>
      <c r="G106" s="698" t="s">
        <v>577</v>
      </c>
      <c r="H106" s="664"/>
      <c r="I106" s="664"/>
      <c r="J106" s="664"/>
      <c r="K106" s="665"/>
      <c r="L106" s="666"/>
      <c r="M106" s="667"/>
      <c r="N106" s="2043"/>
      <c r="O106" s="2043"/>
      <c r="P106" s="2082"/>
      <c r="Q106" s="2083"/>
      <c r="R106" s="2023"/>
      <c r="S106" s="2023"/>
      <c r="T106" s="2023"/>
      <c r="U106" s="2023"/>
      <c r="V106" s="2023"/>
      <c r="W106" s="2023"/>
      <c r="X106" s="2023"/>
      <c r="Y106" s="2023"/>
      <c r="Z106" s="2023"/>
      <c r="AA106" s="2023"/>
      <c r="AB106" s="2023"/>
      <c r="AC106" s="2023"/>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3"/>
      <c r="O107" s="2043"/>
      <c r="P107" s="2042"/>
      <c r="Q107" s="2035"/>
      <c r="R107" s="2023"/>
      <c r="S107" s="2023"/>
      <c r="T107" s="2023"/>
      <c r="U107" s="2023"/>
      <c r="V107" s="2023"/>
      <c r="W107" s="2023"/>
      <c r="X107" s="2023"/>
      <c r="Y107" s="2023"/>
      <c r="Z107" s="2023"/>
      <c r="AA107" s="2023"/>
      <c r="AB107" s="2023"/>
      <c r="AC107" s="2023"/>
    </row>
    <row r="108" spans="1:29" s="1291" customFormat="1" ht="15" thickTop="1">
      <c r="A108" s="718"/>
      <c r="B108" s="663">
        <f>B38</f>
        <v>111</v>
      </c>
      <c r="C108" s="678"/>
      <c r="D108" s="678"/>
      <c r="E108" s="678"/>
      <c r="F108" s="678"/>
      <c r="G108" s="678"/>
      <c r="H108" s="679"/>
      <c r="I108" s="679"/>
      <c r="J108" s="679"/>
      <c r="K108" s="679"/>
      <c r="L108" s="680"/>
      <c r="M108" s="681"/>
      <c r="N108" s="2044"/>
      <c r="O108" s="2044"/>
      <c r="P108" s="2045"/>
      <c r="Q108" s="2046"/>
      <c r="R108" s="2047"/>
      <c r="S108" s="2047"/>
      <c r="T108" s="2047"/>
      <c r="U108" s="2047"/>
      <c r="V108" s="2047"/>
      <c r="W108" s="2047"/>
      <c r="X108" s="2047"/>
      <c r="Y108" s="2047"/>
      <c r="Z108" s="2047"/>
      <c r="AA108" s="2047"/>
      <c r="AB108" s="2047"/>
      <c r="AC108" s="2047"/>
    </row>
    <row r="109" spans="1:29" s="1291" customFormat="1" ht="15.75" thickBot="1">
      <c r="A109" s="677"/>
      <c r="B109" s="660"/>
      <c r="C109" s="682"/>
      <c r="D109" s="661"/>
      <c r="E109" s="661"/>
      <c r="F109" s="661"/>
      <c r="G109" s="682"/>
      <c r="H109" s="683"/>
      <c r="I109" s="683"/>
      <c r="J109" s="683"/>
      <c r="K109" s="683"/>
      <c r="L109" s="683"/>
      <c r="M109" s="684"/>
      <c r="N109" s="2044"/>
      <c r="O109" s="2044"/>
      <c r="P109" s="2045"/>
      <c r="Q109" s="2046"/>
      <c r="R109" s="2047"/>
      <c r="S109" s="2047"/>
      <c r="T109" s="2047"/>
      <c r="U109" s="2047"/>
      <c r="V109" s="2047"/>
      <c r="W109" s="2047"/>
      <c r="X109" s="2047"/>
      <c r="Y109" s="2047"/>
      <c r="Z109" s="2047"/>
      <c r="AA109" s="2047"/>
      <c r="AB109" s="2047"/>
      <c r="AC109" s="2047"/>
    </row>
    <row r="110" spans="1:29" ht="15" thickTop="1">
      <c r="A110" s="725"/>
      <c r="B110" s="663">
        <f>B39</f>
        <v>111</v>
      </c>
      <c r="C110" s="678"/>
      <c r="D110" s="678"/>
      <c r="E110" s="678"/>
      <c r="F110" s="678"/>
      <c r="G110" s="678"/>
      <c r="H110" s="679"/>
      <c r="I110" s="679"/>
      <c r="J110" s="679"/>
      <c r="K110" s="679"/>
      <c r="L110" s="680"/>
      <c r="M110" s="68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82"/>
      <c r="D111" s="661"/>
      <c r="E111" s="661"/>
      <c r="F111" s="661"/>
      <c r="G111" s="682"/>
      <c r="H111" s="683"/>
      <c r="I111" s="683"/>
      <c r="J111" s="683"/>
      <c r="K111" s="683"/>
      <c r="L111" s="683"/>
      <c r="M111" s="684"/>
      <c r="N111" s="2043"/>
      <c r="O111" s="2043"/>
      <c r="P111" s="2042"/>
      <c r="Q111" s="2035"/>
      <c r="R111" s="2023"/>
      <c r="S111" s="2023"/>
      <c r="T111" s="2023"/>
      <c r="U111" s="2023"/>
      <c r="V111" s="2023"/>
      <c r="W111" s="2023"/>
      <c r="X111" s="2023"/>
      <c r="Y111" s="2023"/>
      <c r="Z111" s="2023"/>
      <c r="AA111" s="2023"/>
      <c r="AB111" s="2023"/>
      <c r="AC111" s="2023"/>
    </row>
    <row r="112" spans="1:29" ht="15" thickTop="1">
      <c r="A112" s="725"/>
      <c r="B112" s="671">
        <f>B40</f>
        <v>111</v>
      </c>
      <c r="C112" s="651"/>
      <c r="D112" s="651"/>
      <c r="E112" s="651"/>
      <c r="F112" s="651"/>
      <c r="G112" s="712"/>
      <c r="H112" s="712"/>
      <c r="I112" s="712"/>
      <c r="J112" s="712"/>
      <c r="K112" s="651"/>
      <c r="L112" s="652"/>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880"/>
      <c r="B113" s="689"/>
      <c r="C113" s="690"/>
      <c r="D113" s="690"/>
      <c r="E113" s="690"/>
      <c r="F113" s="690"/>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zoomScale="60" zoomScaleNormal="60" workbookViewId="0">
      <selection activeCell="N21" sqref="N21"/>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910"/>
      <c r="C1" s="496" t="s">
        <v>786</v>
      </c>
      <c r="D1" s="836"/>
      <c r="E1" s="498"/>
      <c r="F1" s="2520"/>
      <c r="G1" s="1528" t="s">
        <v>787</v>
      </c>
      <c r="H1" s="498"/>
      <c r="I1" s="498"/>
      <c r="J1" s="498"/>
      <c r="K1" s="49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788</v>
      </c>
      <c r="B2" s="837"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thickBot="1">
      <c r="A3" s="501" t="s">
        <v>789</v>
      </c>
      <c r="B3" s="502" t="e">
        <f>IF(B37="元/平方米",C39,ROUND(B2*10000/D3,0))</f>
        <v>#DIV/0!</v>
      </c>
      <c r="C3" s="839" t="s">
        <v>790</v>
      </c>
      <c r="D3" s="838">
        <f>SUMIF('数据-汇总表'!$C19:$C33,D1,'数据-汇总表'!$E19:$E33)</f>
        <v>0</v>
      </c>
      <c r="E3" s="1758" t="s">
        <v>2064</v>
      </c>
      <c r="F3" s="838">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6"/>
      <c r="AC3" s="1940"/>
    </row>
    <row r="4" spans="1:29" ht="15">
      <c r="A4" s="504" t="s">
        <v>791</v>
      </c>
      <c r="B4" s="505"/>
      <c r="C4" s="3782" t="s">
        <v>792</v>
      </c>
      <c r="D4" s="3783"/>
      <c r="E4" s="3782" t="s">
        <v>793</v>
      </c>
      <c r="F4" s="3783"/>
      <c r="G4" s="3782" t="s">
        <v>794</v>
      </c>
      <c r="H4" s="3783"/>
      <c r="I4" s="3782" t="s">
        <v>795</v>
      </c>
      <c r="J4" s="3783"/>
      <c r="K4" s="506" t="s">
        <v>796</v>
      </c>
      <c r="L4" s="2011"/>
      <c r="M4" s="2012"/>
      <c r="N4" s="2012"/>
      <c r="O4" s="2012"/>
      <c r="P4" s="3786" t="s">
        <v>797</v>
      </c>
      <c r="Q4" s="3787"/>
      <c r="R4" s="3792" t="s">
        <v>793</v>
      </c>
      <c r="S4" s="3793"/>
      <c r="T4" s="3792" t="s">
        <v>794</v>
      </c>
      <c r="U4" s="3793"/>
      <c r="V4" s="3798" t="s">
        <v>795</v>
      </c>
      <c r="W4" s="3798"/>
      <c r="X4" s="1498"/>
      <c r="Y4" s="3792" t="s">
        <v>797</v>
      </c>
      <c r="Z4" s="3793"/>
      <c r="AA4" s="3779" t="s">
        <v>793</v>
      </c>
      <c r="AB4" s="3780" t="s">
        <v>794</v>
      </c>
      <c r="AC4" s="3779" t="s">
        <v>795</v>
      </c>
    </row>
    <row r="5" spans="1:29" ht="15">
      <c r="A5" s="507"/>
      <c r="B5" s="508"/>
      <c r="C5" s="3801" t="s">
        <v>2893</v>
      </c>
      <c r="D5" s="3802"/>
      <c r="E5" s="3801" t="s">
        <v>2894</v>
      </c>
      <c r="F5" s="3802"/>
      <c r="G5" s="3801" t="s">
        <v>2895</v>
      </c>
      <c r="H5" s="3802"/>
      <c r="I5" s="3801" t="s">
        <v>2896</v>
      </c>
      <c r="J5" s="3802"/>
      <c r="K5" s="506"/>
      <c r="L5" s="2011"/>
      <c r="M5" s="2012"/>
      <c r="N5" s="2012"/>
      <c r="O5" s="2012"/>
      <c r="P5" s="3788"/>
      <c r="Q5" s="3789"/>
      <c r="R5" s="3794"/>
      <c r="S5" s="3795"/>
      <c r="T5" s="3794"/>
      <c r="U5" s="3795"/>
      <c r="V5" s="3798"/>
      <c r="W5" s="3798"/>
      <c r="X5" s="1498"/>
      <c r="Y5" s="3794"/>
      <c r="Z5" s="3795"/>
      <c r="AA5" s="3780"/>
      <c r="AB5" s="3780"/>
      <c r="AC5" s="3780"/>
    </row>
    <row r="6" spans="1:29" ht="15.75" thickBot="1">
      <c r="A6" s="509"/>
      <c r="B6" s="510"/>
      <c r="C6" s="3806" t="s">
        <v>2897</v>
      </c>
      <c r="D6" s="3800"/>
      <c r="E6" s="3823" t="s">
        <v>2897</v>
      </c>
      <c r="F6" s="3824"/>
      <c r="G6" s="3806" t="s">
        <v>2897</v>
      </c>
      <c r="H6" s="3800"/>
      <c r="I6" s="3806" t="s">
        <v>2897</v>
      </c>
      <c r="J6" s="3800"/>
      <c r="K6" s="506" t="s">
        <v>522</v>
      </c>
      <c r="L6" s="2011"/>
      <c r="M6" s="2012"/>
      <c r="N6" s="2012"/>
      <c r="O6" s="2012"/>
      <c r="P6" s="3790"/>
      <c r="Q6" s="3791"/>
      <c r="R6" s="3794"/>
      <c r="S6" s="3795"/>
      <c r="T6" s="3796"/>
      <c r="U6" s="3797"/>
      <c r="V6" s="3798"/>
      <c r="W6" s="3798"/>
      <c r="X6" s="1498"/>
      <c r="Y6" s="3796"/>
      <c r="Z6" s="3797"/>
      <c r="AA6" s="3781"/>
      <c r="AB6" s="3781"/>
      <c r="AC6" s="3781"/>
    </row>
    <row r="7" spans="1:29" s="1201" customFormat="1" ht="15.75" thickBot="1">
      <c r="A7" s="2625"/>
      <c r="B7" s="2632" t="s">
        <v>523</v>
      </c>
      <c r="C7" s="511">
        <f>'数据-取费表'!B2</f>
        <v>44412</v>
      </c>
      <c r="D7" s="512">
        <v>100</v>
      </c>
      <c r="E7" s="513"/>
      <c r="F7" s="514">
        <f>SUMIF(48:48,YEAR(E7)&amp;"-"&amp;MONTH(E7),49:49)</f>
        <v>0</v>
      </c>
      <c r="G7" s="515"/>
      <c r="H7" s="512">
        <f>SUMIF(48:48,YEAR(G7)&amp;"-"&amp;MONTH(G7),49:49)</f>
        <v>0</v>
      </c>
      <c r="I7" s="515"/>
      <c r="J7" s="512">
        <f>SUMIF(48:48,YEAR(I7)&amp;"-"&amp;MONTH(I7),49:49)</f>
        <v>0</v>
      </c>
      <c r="K7" s="516"/>
      <c r="L7" s="2013"/>
      <c r="M7" s="2014"/>
      <c r="N7" s="2014"/>
      <c r="O7" s="2014"/>
      <c r="P7" s="3803" t="s">
        <v>524</v>
      </c>
      <c r="Q7" s="3805"/>
      <c r="R7" s="1499" t="s">
        <v>8</v>
      </c>
      <c r="S7" s="1500">
        <f t="shared" ref="S7:S14" si="0">F7</f>
        <v>0</v>
      </c>
      <c r="T7" s="1499" t="s">
        <v>8</v>
      </c>
      <c r="U7" s="1500">
        <f t="shared" ref="U7:U14" si="1">H7</f>
        <v>0</v>
      </c>
      <c r="V7" s="1499" t="s">
        <v>8</v>
      </c>
      <c r="W7" s="1500">
        <f t="shared" ref="W7:W14" si="2">J7</f>
        <v>0</v>
      </c>
      <c r="X7" s="1501"/>
      <c r="Y7" s="3803" t="s">
        <v>524</v>
      </c>
      <c r="Z7" s="3804"/>
      <c r="AA7" s="1502" t="e">
        <f>D7/F7</f>
        <v>#DIV/0!</v>
      </c>
      <c r="AB7" s="1502" t="e">
        <f>D7/H7</f>
        <v>#DIV/0!</v>
      </c>
      <c r="AC7" s="1502" t="e">
        <f>D7/J7</f>
        <v>#DIV/0!</v>
      </c>
    </row>
    <row r="8" spans="1:29" s="1201" customFormat="1" ht="15.75" thickBot="1">
      <c r="A8" s="2626"/>
      <c r="B8" s="2633" t="s">
        <v>525</v>
      </c>
      <c r="C8" s="517" t="s">
        <v>570</v>
      </c>
      <c r="D8" s="512">
        <v>100</v>
      </c>
      <c r="E8" s="517"/>
      <c r="F8" s="514">
        <f>SUMIF(51:51,E8,52:52)-SUMIF(51:51,C8,52:52)+100</f>
        <v>0</v>
      </c>
      <c r="G8" s="517"/>
      <c r="H8" s="512">
        <f>SUMIF(51:51,G8,52:52)-SUMIF(51:51,C8,52:52)+100</f>
        <v>0</v>
      </c>
      <c r="I8" s="517"/>
      <c r="J8" s="512">
        <f>SUMIF(51:51,I8,52:52)-SUMIF(51:51,C8,52:52)+100</f>
        <v>0</v>
      </c>
      <c r="K8" s="516"/>
      <c r="L8" s="2013"/>
      <c r="M8" s="2014"/>
      <c r="N8" s="2014"/>
      <c r="O8" s="2014"/>
      <c r="P8" s="3803" t="s">
        <v>527</v>
      </c>
      <c r="Q8" s="3804"/>
      <c r="R8" s="1499" t="s">
        <v>8</v>
      </c>
      <c r="S8" s="1500">
        <f t="shared" si="0"/>
        <v>0</v>
      </c>
      <c r="T8" s="1499" t="s">
        <v>8</v>
      </c>
      <c r="U8" s="1500">
        <f t="shared" si="1"/>
        <v>0</v>
      </c>
      <c r="V8" s="1499" t="s">
        <v>8</v>
      </c>
      <c r="W8" s="1500">
        <f t="shared" si="2"/>
        <v>0</v>
      </c>
      <c r="X8" s="1501"/>
      <c r="Y8" s="3803" t="s">
        <v>527</v>
      </c>
      <c r="Z8" s="3804"/>
      <c r="AA8" s="1502" t="e">
        <f t="shared" ref="AA8:AA36" si="3">D8/F8</f>
        <v>#DIV/0!</v>
      </c>
      <c r="AB8" s="1502" t="e">
        <f t="shared" ref="AB8:AB36" si="4">D8/H8</f>
        <v>#DIV/0!</v>
      </c>
      <c r="AC8" s="1502" t="e">
        <f t="shared" ref="AC8:AC36" si="5">D8/J8</f>
        <v>#DIV/0!</v>
      </c>
    </row>
    <row r="9" spans="1:29" s="1201" customFormat="1" ht="15">
      <c r="A9" s="2627"/>
      <c r="B9" s="2634" t="s">
        <v>2735</v>
      </c>
      <c r="C9" s="844"/>
      <c r="D9" s="250">
        <v>100</v>
      </c>
      <c r="E9" s="847"/>
      <c r="F9" s="250">
        <f>SUMIF(53:53,E9,54:54)-SUMIF(53:53,C9,54:54)+100</f>
        <v>100</v>
      </c>
      <c r="G9" s="845"/>
      <c r="H9" s="250">
        <f>SUMIF(53:53,G9,54:54)-SUMIF(53:53,C9,54:54)+100</f>
        <v>100</v>
      </c>
      <c r="I9" s="845"/>
      <c r="J9" s="250">
        <f>SUMIF(53:53,I9,54:54)-SUMIF(53:53,C9,54:54)+100</f>
        <v>100</v>
      </c>
      <c r="K9" s="516"/>
      <c r="L9" s="2013"/>
      <c r="M9" s="2014"/>
      <c r="N9" s="2014"/>
      <c r="O9" s="2015"/>
      <c r="P9" s="3772" t="s">
        <v>529</v>
      </c>
      <c r="Q9" s="1132" t="str">
        <f t="shared" ref="Q9:Q14" si="6">B9</f>
        <v>用途</v>
      </c>
      <c r="R9" s="1499" t="s">
        <v>8</v>
      </c>
      <c r="S9" s="1500">
        <f t="shared" si="0"/>
        <v>100</v>
      </c>
      <c r="T9" s="1499" t="s">
        <v>8</v>
      </c>
      <c r="U9" s="1500">
        <f t="shared" si="1"/>
        <v>100</v>
      </c>
      <c r="V9" s="1499" t="s">
        <v>8</v>
      </c>
      <c r="W9" s="1500">
        <f t="shared" si="2"/>
        <v>100</v>
      </c>
      <c r="X9" s="1501"/>
      <c r="Y9" s="3675" t="s">
        <v>530</v>
      </c>
      <c r="Z9" s="1131" t="str">
        <f t="shared" ref="Z9:Z14" si="7">Q9</f>
        <v>用途</v>
      </c>
      <c r="AA9" s="1502">
        <f t="shared" si="3"/>
        <v>1</v>
      </c>
      <c r="AB9" s="1502">
        <f t="shared" si="4"/>
        <v>1</v>
      </c>
      <c r="AC9" s="1502">
        <f t="shared" si="5"/>
        <v>1</v>
      </c>
    </row>
    <row r="10" spans="1:29" s="1290" customFormat="1" ht="27">
      <c r="A10" s="2628"/>
      <c r="B10" s="2633" t="s">
        <v>2736</v>
      </c>
      <c r="C10" s="848"/>
      <c r="D10" s="251">
        <v>100</v>
      </c>
      <c r="E10" s="848"/>
      <c r="F10" s="251">
        <f>SUMIF(55:55,E10,56:56)-SUMIF(55:55,C10,56:56)+100</f>
        <v>100</v>
      </c>
      <c r="G10" s="849"/>
      <c r="H10" s="251">
        <f>SUMIF(55:55,G10,56:56)-SUMIF(55:55,C10,56:56)+100</f>
        <v>100</v>
      </c>
      <c r="I10" s="848"/>
      <c r="J10" s="251">
        <f>SUMIF(55:55,I10,56:56)-SUMIF(55:55,C10,56:56)+100</f>
        <v>100</v>
      </c>
      <c r="K10" s="576"/>
      <c r="L10" s="2016"/>
      <c r="M10" s="2055"/>
      <c r="N10" s="2055"/>
      <c r="O10" s="2017"/>
      <c r="P10" s="3772"/>
      <c r="Q10" s="1132" t="str">
        <f t="shared" si="6"/>
        <v>土地使用年限（年）</v>
      </c>
      <c r="R10" s="1499" t="s">
        <v>8</v>
      </c>
      <c r="S10" s="1500">
        <f t="shared" si="0"/>
        <v>100</v>
      </c>
      <c r="T10" s="1499" t="s">
        <v>8</v>
      </c>
      <c r="U10" s="1500">
        <f t="shared" si="1"/>
        <v>100</v>
      </c>
      <c r="V10" s="1499" t="s">
        <v>8</v>
      </c>
      <c r="W10" s="1500">
        <f t="shared" si="2"/>
        <v>100</v>
      </c>
      <c r="X10" s="1501"/>
      <c r="Y10" s="3675"/>
      <c r="Z10" s="1131" t="str">
        <f t="shared" si="7"/>
        <v>土地使用年限（年）</v>
      </c>
      <c r="AA10" s="1502">
        <f t="shared" si="3"/>
        <v>1</v>
      </c>
      <c r="AB10" s="1502">
        <f t="shared" si="4"/>
        <v>1</v>
      </c>
      <c r="AC10" s="1502">
        <f t="shared" si="5"/>
        <v>1</v>
      </c>
    </row>
    <row r="11" spans="1:29" ht="15">
      <c r="A11" s="2630"/>
      <c r="B11" s="2636">
        <v>111</v>
      </c>
      <c r="C11" s="520"/>
      <c r="D11" s="251">
        <v>100</v>
      </c>
      <c r="E11" s="520"/>
      <c r="F11" s="251">
        <f>SUMIF(57:57,E11,58:58)-SUMIF(57:57,C11,58:58)+100</f>
        <v>100</v>
      </c>
      <c r="G11" s="520"/>
      <c r="H11" s="251">
        <f>SUMIF(57:57,G11,58:58)-SUMIF(57:57,C11,58:58)+100</f>
        <v>100</v>
      </c>
      <c r="I11" s="520"/>
      <c r="J11" s="251">
        <f>SUMIF(57:57,I11,58:58)-SUMIF(57:57,C11,58:58)+100</f>
        <v>100</v>
      </c>
      <c r="K11" s="573"/>
      <c r="L11" s="2018"/>
      <c r="M11" s="2012"/>
      <c r="N11" s="2012"/>
      <c r="O11" s="2019"/>
      <c r="P11" s="3772"/>
      <c r="Q11" s="1132">
        <f t="shared" si="6"/>
        <v>111</v>
      </c>
      <c r="R11" s="1499" t="s">
        <v>8</v>
      </c>
      <c r="S11" s="1500">
        <f t="shared" si="0"/>
        <v>100</v>
      </c>
      <c r="T11" s="1499" t="s">
        <v>8</v>
      </c>
      <c r="U11" s="1500">
        <f t="shared" si="1"/>
        <v>100</v>
      </c>
      <c r="V11" s="1499" t="s">
        <v>8</v>
      </c>
      <c r="W11" s="1500">
        <f t="shared" si="2"/>
        <v>100</v>
      </c>
      <c r="X11" s="1501"/>
      <c r="Y11" s="3675"/>
      <c r="Z11" s="1131">
        <f t="shared" si="7"/>
        <v>111</v>
      </c>
      <c r="AA11" s="1502">
        <f t="shared" si="3"/>
        <v>1</v>
      </c>
      <c r="AB11" s="1502">
        <f t="shared" si="4"/>
        <v>1</v>
      </c>
      <c r="AC11" s="1502">
        <f t="shared" si="5"/>
        <v>1</v>
      </c>
    </row>
    <row r="12" spans="1:29" s="1201" customFormat="1" ht="15">
      <c r="A12" s="2630"/>
      <c r="B12" s="2636">
        <v>111</v>
      </c>
      <c r="C12" s="520"/>
      <c r="D12" s="530">
        <v>100</v>
      </c>
      <c r="E12" s="520"/>
      <c r="F12" s="251">
        <f>SUMIF(59:59,E12,60:60)-SUMIF(59:59,C12,60:60)+100</f>
        <v>100</v>
      </c>
      <c r="G12" s="520"/>
      <c r="H12" s="251">
        <f>SUMIF(59:59,G12,60:60)-SUMIF(59:59,C12,60:60)+100</f>
        <v>100</v>
      </c>
      <c r="I12" s="520"/>
      <c r="J12" s="251">
        <f>SUMIF(59:59,I12,60:60)-SUMIF(59:59,C12,60:60)+100</f>
        <v>100</v>
      </c>
      <c r="K12" s="573"/>
      <c r="L12" s="2013"/>
      <c r="M12" s="2014"/>
      <c r="N12" s="2014"/>
      <c r="O12" s="2015"/>
      <c r="P12" s="3772"/>
      <c r="Q12" s="1132">
        <f t="shared" si="6"/>
        <v>111</v>
      </c>
      <c r="R12" s="1499" t="s">
        <v>8</v>
      </c>
      <c r="S12" s="1500">
        <f t="shared" si="0"/>
        <v>100</v>
      </c>
      <c r="T12" s="1499" t="s">
        <v>8</v>
      </c>
      <c r="U12" s="1500">
        <f t="shared" si="1"/>
        <v>100</v>
      </c>
      <c r="V12" s="1499" t="s">
        <v>8</v>
      </c>
      <c r="W12" s="1500">
        <f t="shared" si="2"/>
        <v>100</v>
      </c>
      <c r="X12" s="1501"/>
      <c r="Y12" s="3675"/>
      <c r="Z12" s="1131">
        <f t="shared" si="7"/>
        <v>111</v>
      </c>
      <c r="AA12" s="1502">
        <f>D12/F12</f>
        <v>1</v>
      </c>
      <c r="AB12" s="1502">
        <f>D12/H12</f>
        <v>1</v>
      </c>
      <c r="AC12" s="1502">
        <f>D12/J12</f>
        <v>1</v>
      </c>
    </row>
    <row r="13" spans="1:29" ht="15.75" thickBot="1">
      <c r="A13" s="2631"/>
      <c r="B13" s="2637">
        <v>111</v>
      </c>
      <c r="C13" s="531"/>
      <c r="D13" s="532">
        <v>100</v>
      </c>
      <c r="E13" s="520"/>
      <c r="F13" s="251">
        <f>SUMIF(61:61,E13,62:62)-SUMIF(61:61,C13,62:62)+100</f>
        <v>100</v>
      </c>
      <c r="G13" s="520"/>
      <c r="H13" s="532">
        <f>SUMIF(61:61,G13,62:62)-SUMIF(61:61,C13,62:62)+100</f>
        <v>100</v>
      </c>
      <c r="I13" s="520"/>
      <c r="J13" s="532">
        <f>SUMIF(61:61,I13,62:62)-SUMIF(61:61,C13,62:62)+100</f>
        <v>100</v>
      </c>
      <c r="K13" s="573"/>
      <c r="L13" s="2020"/>
      <c r="M13" s="2012"/>
      <c r="N13" s="2012"/>
      <c r="O13" s="2019"/>
      <c r="P13" s="3772"/>
      <c r="Q13" s="1132">
        <f t="shared" si="6"/>
        <v>111</v>
      </c>
      <c r="R13" s="1499" t="s">
        <v>8</v>
      </c>
      <c r="S13" s="1500">
        <f t="shared" si="0"/>
        <v>100</v>
      </c>
      <c r="T13" s="1499" t="s">
        <v>8</v>
      </c>
      <c r="U13" s="1500">
        <f t="shared" si="1"/>
        <v>100</v>
      </c>
      <c r="V13" s="1499" t="s">
        <v>8</v>
      </c>
      <c r="W13" s="1500">
        <f t="shared" si="2"/>
        <v>100</v>
      </c>
      <c r="X13" s="1501"/>
      <c r="Y13" s="3675"/>
      <c r="Z13" s="1131">
        <f t="shared" si="7"/>
        <v>111</v>
      </c>
      <c r="AA13" s="1502">
        <f t="shared" si="3"/>
        <v>1</v>
      </c>
      <c r="AB13" s="1502">
        <f t="shared" si="4"/>
        <v>1</v>
      </c>
      <c r="AC13" s="1502">
        <f t="shared" si="5"/>
        <v>1</v>
      </c>
    </row>
    <row r="14" spans="1:29" ht="171">
      <c r="A14" s="2623" t="s">
        <v>2733</v>
      </c>
      <c r="B14" s="539" t="s">
        <v>537</v>
      </c>
      <c r="C14" s="908" t="str">
        <f>IF(B1="工业",估价对象房地状况!G4,估价对象房地状况!C6)</f>
        <v>紧邻地铁16号线（西北旺站），周边有333路、384路、438路、570路、575路、623路、902路、908路、909路、快速直达专线152路、专143路等多条公交线路，交通便捷度好</v>
      </c>
      <c r="D14" s="541">
        <v>100</v>
      </c>
      <c r="E14" s="542"/>
      <c r="F14" s="543">
        <f>SUMIF(63:63,E15,64:64)-SUMIF(63:63,C15,64:64)+100</f>
        <v>100</v>
      </c>
      <c r="G14" s="544"/>
      <c r="H14" s="541">
        <f>SUMIF(63:63,G15,64:64)-SUMIF(63:63,C15,64:64)+100</f>
        <v>100</v>
      </c>
      <c r="I14" s="542"/>
      <c r="J14" s="541">
        <f>SUMIF(63:63,I15,64:64)-SUMIF(63:63,C15,64:64)+100</f>
        <v>100</v>
      </c>
      <c r="K14" s="885"/>
      <c r="L14" s="2020"/>
      <c r="M14" s="2012"/>
      <c r="N14" s="2012"/>
      <c r="O14" s="2019"/>
      <c r="P14" s="3774" t="s">
        <v>534</v>
      </c>
      <c r="Q14" s="1503" t="str">
        <f t="shared" si="6"/>
        <v>交通便捷度</v>
      </c>
      <c r="R14" s="1504" t="s">
        <v>8</v>
      </c>
      <c r="S14" s="1505">
        <f t="shared" si="0"/>
        <v>100</v>
      </c>
      <c r="T14" s="1504" t="s">
        <v>8</v>
      </c>
      <c r="U14" s="1505">
        <f t="shared" si="1"/>
        <v>100</v>
      </c>
      <c r="V14" s="1504" t="s">
        <v>8</v>
      </c>
      <c r="W14" s="1505">
        <f t="shared" si="2"/>
        <v>100</v>
      </c>
      <c r="X14" s="1498"/>
      <c r="Y14" s="3774" t="s">
        <v>534</v>
      </c>
      <c r="Z14" s="1506" t="str">
        <f t="shared" si="7"/>
        <v>交通便捷度</v>
      </c>
      <c r="AA14" s="1507">
        <f t="shared" si="3"/>
        <v>1</v>
      </c>
      <c r="AB14" s="1507">
        <f t="shared" si="4"/>
        <v>1</v>
      </c>
      <c r="AC14" s="1507">
        <f t="shared" si="5"/>
        <v>1</v>
      </c>
    </row>
    <row r="15" spans="1:29" ht="15">
      <c r="A15" s="507"/>
      <c r="B15" s="911"/>
      <c r="C15" s="568"/>
      <c r="D15" s="547"/>
      <c r="E15" s="568"/>
      <c r="F15" s="549"/>
      <c r="G15" s="568"/>
      <c r="H15" s="551"/>
      <c r="I15" s="568"/>
      <c r="J15" s="547"/>
      <c r="K15" s="886"/>
      <c r="L15" s="2020"/>
      <c r="M15" s="2012"/>
      <c r="N15" s="2012"/>
      <c r="O15" s="2019"/>
      <c r="P15" s="3775"/>
      <c r="Q15" s="1503"/>
      <c r="R15" s="1504"/>
      <c r="S15" s="1505"/>
      <c r="T15" s="1504"/>
      <c r="U15" s="1505"/>
      <c r="V15" s="1504"/>
      <c r="W15" s="1505"/>
      <c r="X15" s="1498"/>
      <c r="Y15" s="3775"/>
      <c r="Z15" s="1506"/>
      <c r="AA15" s="1507">
        <v>1</v>
      </c>
      <c r="AB15" s="1507">
        <v>1</v>
      </c>
      <c r="AC15" s="1507">
        <v>1</v>
      </c>
    </row>
    <row r="16" spans="1:29" ht="299.25">
      <c r="A16" s="507"/>
      <c r="B16" s="2443" t="s">
        <v>2527</v>
      </c>
      <c r="C16" s="859" t="str">
        <f>IF(B1="工业",估价对象房地状况!G5,估价对象房地状况!C7)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6" s="557">
        <v>100</v>
      </c>
      <c r="E16" s="564"/>
      <c r="F16" s="563">
        <f>SUMIF(65:65,E17,66:66)-SUMIF(65:65,C17,66:66)+100</f>
        <v>100</v>
      </c>
      <c r="G16" s="564"/>
      <c r="H16" s="557">
        <f>SUMIF(65:65,G17,66:66)-SUMIF(65:65,C17,66:66)+100</f>
        <v>100</v>
      </c>
      <c r="I16" s="562"/>
      <c r="J16" s="557">
        <f>SUMIF(65:65,I17,66:66)-SUMIF(65:65,C17,66:66)+100</f>
        <v>100</v>
      </c>
      <c r="K16" s="885"/>
      <c r="L16" s="2020"/>
      <c r="M16" s="2012"/>
      <c r="N16" s="2012"/>
      <c r="O16" s="2019"/>
      <c r="P16" s="3775"/>
      <c r="Q16" s="1503" t="str">
        <f>B16</f>
        <v>公共配套设施</v>
      </c>
      <c r="R16" s="1504" t="s">
        <v>8</v>
      </c>
      <c r="S16" s="1505">
        <f>F16</f>
        <v>100</v>
      </c>
      <c r="T16" s="1504" t="s">
        <v>8</v>
      </c>
      <c r="U16" s="1505">
        <f>H16</f>
        <v>100</v>
      </c>
      <c r="V16" s="1504" t="s">
        <v>8</v>
      </c>
      <c r="W16" s="1505">
        <f>J16</f>
        <v>100</v>
      </c>
      <c r="X16" s="1498"/>
      <c r="Y16" s="3775"/>
      <c r="Z16" s="1506" t="str">
        <f>Q16</f>
        <v>公共配套设施</v>
      </c>
      <c r="AA16" s="1507">
        <f t="shared" si="3"/>
        <v>1</v>
      </c>
      <c r="AB16" s="1507">
        <f t="shared" si="4"/>
        <v>1</v>
      </c>
      <c r="AC16" s="1507">
        <f t="shared" si="5"/>
        <v>1</v>
      </c>
    </row>
    <row r="17" spans="1:29" ht="15">
      <c r="A17" s="507"/>
      <c r="B17" s="558"/>
      <c r="C17" s="860"/>
      <c r="D17" s="547"/>
      <c r="E17" s="568"/>
      <c r="F17" s="549"/>
      <c r="G17" s="568"/>
      <c r="H17" s="547"/>
      <c r="I17" s="568"/>
      <c r="J17" s="547"/>
      <c r="K17" s="886"/>
      <c r="L17" s="2020"/>
      <c r="M17" s="2012"/>
      <c r="N17" s="2012"/>
      <c r="O17" s="2019"/>
      <c r="P17" s="3775"/>
      <c r="Q17" s="1503"/>
      <c r="R17" s="1504"/>
      <c r="S17" s="1505"/>
      <c r="T17" s="1504"/>
      <c r="U17" s="1505"/>
      <c r="V17" s="1504"/>
      <c r="W17" s="1505"/>
      <c r="X17" s="1498"/>
      <c r="Y17" s="3775"/>
      <c r="Z17" s="1506"/>
      <c r="AA17" s="1507">
        <v>1</v>
      </c>
      <c r="AB17" s="1507">
        <v>1</v>
      </c>
      <c r="AC17" s="1507">
        <v>1</v>
      </c>
    </row>
    <row r="18" spans="1:29" ht="15">
      <c r="A18" s="507"/>
      <c r="B18" s="2431" t="s">
        <v>2539</v>
      </c>
      <c r="C18" s="859" t="str">
        <f>IF(B1="工业",估价对象房地状况!G6,估价对象房地状况!C8)</f>
        <v>七通</v>
      </c>
      <c r="D18" s="551">
        <v>100</v>
      </c>
      <c r="E18" s="564"/>
      <c r="F18" s="563">
        <f>SUMIF(67:67,E19,68:68)-SUMIF(67:67,C19,68:68)+100</f>
        <v>100</v>
      </c>
      <c r="G18" s="564"/>
      <c r="H18" s="557">
        <f>SUMIF(67:67,G19,68:68)-SUMIF(67:67,C19,68:68)+100</f>
        <v>100</v>
      </c>
      <c r="I18" s="562"/>
      <c r="J18" s="557">
        <f>SUMIF(67:67,I19,68:68)-SUMIF(67:67,C19,68:68)+100</f>
        <v>100</v>
      </c>
      <c r="K18" s="885"/>
      <c r="L18" s="2020"/>
      <c r="M18" s="2012"/>
      <c r="N18" s="2012"/>
      <c r="O18" s="2019"/>
      <c r="P18" s="3775"/>
      <c r="Q18" s="2425" t="str">
        <f>B18</f>
        <v>基础设施水平</v>
      </c>
      <c r="R18" s="1504" t="s">
        <v>8</v>
      </c>
      <c r="S18" s="1505">
        <f>F18</f>
        <v>100</v>
      </c>
      <c r="T18" s="1504" t="s">
        <v>8</v>
      </c>
      <c r="U18" s="1505">
        <f>H18</f>
        <v>100</v>
      </c>
      <c r="V18" s="1504" t="s">
        <v>8</v>
      </c>
      <c r="W18" s="1505">
        <f>J18</f>
        <v>100</v>
      </c>
      <c r="X18" s="2427"/>
      <c r="Y18" s="3775"/>
      <c r="Z18" s="2426" t="str">
        <f>Q18</f>
        <v>基础设施水平</v>
      </c>
      <c r="AA18" s="1507">
        <f t="shared" ref="AA18" si="8">D18/F18</f>
        <v>1</v>
      </c>
      <c r="AB18" s="1507">
        <f t="shared" ref="AB18" si="9">D18/H18</f>
        <v>1</v>
      </c>
      <c r="AC18" s="1507">
        <f t="shared" ref="AC18" si="10">D18/J18</f>
        <v>1</v>
      </c>
    </row>
    <row r="19" spans="1:29" ht="15">
      <c r="A19" s="507"/>
      <c r="B19" s="570"/>
      <c r="C19" s="860"/>
      <c r="D19" s="551"/>
      <c r="E19" s="568"/>
      <c r="F19" s="549"/>
      <c r="G19" s="568"/>
      <c r="H19" s="547"/>
      <c r="I19" s="568"/>
      <c r="J19" s="547"/>
      <c r="K19" s="2442"/>
      <c r="L19" s="2020"/>
      <c r="M19" s="2012"/>
      <c r="N19" s="2012"/>
      <c r="O19" s="2019"/>
      <c r="P19" s="3775"/>
      <c r="Q19" s="2425"/>
      <c r="R19" s="1504"/>
      <c r="S19" s="1505"/>
      <c r="T19" s="1504"/>
      <c r="U19" s="1505"/>
      <c r="V19" s="1504"/>
      <c r="W19" s="1505"/>
      <c r="X19" s="2427"/>
      <c r="Y19" s="3775"/>
      <c r="Z19" s="2426"/>
      <c r="AA19" s="1507">
        <v>1</v>
      </c>
      <c r="AB19" s="1507">
        <v>1</v>
      </c>
      <c r="AC19" s="1507">
        <v>1</v>
      </c>
    </row>
    <row r="20" spans="1:29" ht="156.75">
      <c r="A20" s="507"/>
      <c r="B20" s="552" t="s">
        <v>798</v>
      </c>
      <c r="C20" s="859" t="str">
        <f>IF(B1="工业",估价对象房地状况!G7,估价对象房地状况!C9)</f>
        <v>区域自然环境：百望山、药用植物园、百旺公园、首师大附中口袋公园、中关村公园、小关村公园、京密引水渠等；人文环境：西北旺镇政府；综合评价环境状况较好</v>
      </c>
      <c r="D20" s="557">
        <v>100</v>
      </c>
      <c r="E20" s="554"/>
      <c r="F20" s="555">
        <f>SUMIF(69:69,E21,70:70)-SUMIF(69:69,C21,70:70)+100</f>
        <v>100</v>
      </c>
      <c r="G20" s="556"/>
      <c r="H20" s="551">
        <f>SUMIF(69:69,G21,70:70)-SUMIF(69:69,C21,70:70)+100</f>
        <v>100</v>
      </c>
      <c r="I20" s="554"/>
      <c r="J20" s="551">
        <f>SUMIF(69:69,I21,70:70)-SUMIF(69:69,C21,70:70)+100</f>
        <v>100</v>
      </c>
      <c r="K20" s="885"/>
      <c r="L20" s="2020"/>
      <c r="M20" s="2012"/>
      <c r="N20" s="2012"/>
      <c r="O20" s="2019"/>
      <c r="P20" s="3775"/>
      <c r="Q20" s="1503" t="str">
        <f>B20</f>
        <v>自然及人文环境</v>
      </c>
      <c r="R20" s="1504" t="s">
        <v>8</v>
      </c>
      <c r="S20" s="1505">
        <f>F20</f>
        <v>100</v>
      </c>
      <c r="T20" s="1504" t="s">
        <v>8</v>
      </c>
      <c r="U20" s="1505">
        <f>H20</f>
        <v>100</v>
      </c>
      <c r="V20" s="1504" t="s">
        <v>8</v>
      </c>
      <c r="W20" s="1505">
        <f>J20</f>
        <v>100</v>
      </c>
      <c r="X20" s="1498"/>
      <c r="Y20" s="3775"/>
      <c r="Z20" s="1506" t="str">
        <f>Q20</f>
        <v>自然及人文环境</v>
      </c>
      <c r="AA20" s="1507">
        <f t="shared" si="3"/>
        <v>1</v>
      </c>
      <c r="AB20" s="1507">
        <f t="shared" si="4"/>
        <v>1</v>
      </c>
      <c r="AC20" s="1507">
        <f t="shared" si="5"/>
        <v>1</v>
      </c>
    </row>
    <row r="21" spans="1:29" ht="15">
      <c r="A21" s="507"/>
      <c r="B21" s="558"/>
      <c r="C21" s="568"/>
      <c r="D21" s="547"/>
      <c r="E21" s="568"/>
      <c r="F21" s="549"/>
      <c r="G21" s="568"/>
      <c r="H21" s="547"/>
      <c r="I21" s="568"/>
      <c r="J21" s="547"/>
      <c r="K21" s="886"/>
      <c r="L21" s="2020"/>
      <c r="M21" s="2012"/>
      <c r="N21" s="2012"/>
      <c r="O21" s="2019"/>
      <c r="P21" s="3775"/>
      <c r="Q21" s="1503"/>
      <c r="R21" s="1504"/>
      <c r="S21" s="1505"/>
      <c r="T21" s="1504"/>
      <c r="U21" s="1505"/>
      <c r="V21" s="1504"/>
      <c r="W21" s="1505"/>
      <c r="X21" s="1498"/>
      <c r="Y21" s="3775"/>
      <c r="Z21" s="1506"/>
      <c r="AA21" s="1507">
        <v>1</v>
      </c>
      <c r="AB21" s="1507">
        <v>1</v>
      </c>
      <c r="AC21" s="1507">
        <v>1</v>
      </c>
    </row>
    <row r="22" spans="1:29" ht="15">
      <c r="A22" s="507"/>
      <c r="B22" s="552" t="s">
        <v>799</v>
      </c>
      <c r="C22" s="575"/>
      <c r="D22" s="551">
        <v>100</v>
      </c>
      <c r="E22" s="575"/>
      <c r="F22" s="567">
        <f>SUMIF(71:71,E22,72:72)-SUMIF(71:71,C22,72:72)+100</f>
        <v>100</v>
      </c>
      <c r="G22" s="575"/>
      <c r="H22" s="532">
        <f>SUMIF(71:71,G22,72:72)-SUMIF(71:71,C22,72:72)+100</f>
        <v>100</v>
      </c>
      <c r="I22" s="575"/>
      <c r="J22" s="532">
        <f>SUMIF(71:71,I22,72:72)-SUMIF(71:71,C22,72:72)+100</f>
        <v>100</v>
      </c>
      <c r="K22" s="576"/>
      <c r="L22" s="2020"/>
      <c r="M22" s="2012"/>
      <c r="N22" s="2012"/>
      <c r="O22" s="2019"/>
      <c r="P22" s="3775"/>
      <c r="Q22" s="1503" t="str">
        <f>B22</f>
        <v>楼层</v>
      </c>
      <c r="R22" s="1504" t="s">
        <v>8</v>
      </c>
      <c r="S22" s="1505">
        <f>F22</f>
        <v>100</v>
      </c>
      <c r="T22" s="1504" t="s">
        <v>8</v>
      </c>
      <c r="U22" s="1505">
        <f>H22</f>
        <v>100</v>
      </c>
      <c r="V22" s="1504" t="s">
        <v>8</v>
      </c>
      <c r="W22" s="1505">
        <f>J22</f>
        <v>100</v>
      </c>
      <c r="X22" s="1498"/>
      <c r="Y22" s="3775"/>
      <c r="Z22" s="1506" t="str">
        <f>Q22</f>
        <v>楼层</v>
      </c>
      <c r="AA22" s="1507">
        <f t="shared" si="3"/>
        <v>1</v>
      </c>
      <c r="AB22" s="1507">
        <f t="shared" si="4"/>
        <v>1</v>
      </c>
      <c r="AC22" s="1507">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0"/>
      <c r="M23" s="2012"/>
      <c r="N23" s="2012"/>
      <c r="O23" s="2019"/>
      <c r="P23" s="3775"/>
      <c r="Q23" s="1503">
        <f>B23</f>
        <v>111</v>
      </c>
      <c r="R23" s="1504" t="s">
        <v>8</v>
      </c>
      <c r="S23" s="1505">
        <f>F23</f>
        <v>100</v>
      </c>
      <c r="T23" s="1504" t="s">
        <v>8</v>
      </c>
      <c r="U23" s="1505">
        <f>H23</f>
        <v>100</v>
      </c>
      <c r="V23" s="1504" t="s">
        <v>8</v>
      </c>
      <c r="W23" s="1505">
        <f>J23</f>
        <v>100</v>
      </c>
      <c r="X23" s="1498"/>
      <c r="Y23" s="3775"/>
      <c r="Z23" s="1506">
        <f>Q23</f>
        <v>111</v>
      </c>
      <c r="AA23" s="1507">
        <f t="shared" si="3"/>
        <v>1</v>
      </c>
      <c r="AB23" s="1507">
        <f t="shared" si="4"/>
        <v>1</v>
      </c>
      <c r="AC23" s="1507">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0"/>
      <c r="M24" s="2012"/>
      <c r="N24" s="2012"/>
      <c r="O24" s="2019"/>
      <c r="P24" s="3775"/>
      <c r="Q24" s="1503">
        <f t="shared" ref="Q24:Q36" si="11">B24</f>
        <v>111</v>
      </c>
      <c r="R24" s="1504" t="s">
        <v>8</v>
      </c>
      <c r="S24" s="1505">
        <f>F24</f>
        <v>100</v>
      </c>
      <c r="T24" s="1504" t="s">
        <v>8</v>
      </c>
      <c r="U24" s="1505">
        <f>H24</f>
        <v>100</v>
      </c>
      <c r="V24" s="1504" t="s">
        <v>8</v>
      </c>
      <c r="W24" s="1505">
        <f>J24</f>
        <v>100</v>
      </c>
      <c r="X24" s="1498"/>
      <c r="Y24" s="3775"/>
      <c r="Z24" s="1506">
        <f>Q24</f>
        <v>111</v>
      </c>
      <c r="AA24" s="1507">
        <f t="shared" si="3"/>
        <v>1</v>
      </c>
      <c r="AB24" s="1507">
        <f t="shared" si="4"/>
        <v>1</v>
      </c>
      <c r="AC24" s="1507">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3"/>
      <c r="M25" s="2014"/>
      <c r="N25" s="2014"/>
      <c r="O25" s="2015"/>
      <c r="P25" s="3775"/>
      <c r="Q25" s="1132">
        <f t="shared" si="11"/>
        <v>111</v>
      </c>
      <c r="R25" s="1499" t="s">
        <v>8</v>
      </c>
      <c r="S25" s="1500">
        <f>F25</f>
        <v>100</v>
      </c>
      <c r="T25" s="1499" t="s">
        <v>8</v>
      </c>
      <c r="U25" s="1500">
        <f>H25</f>
        <v>100</v>
      </c>
      <c r="V25" s="1499" t="s">
        <v>8</v>
      </c>
      <c r="W25" s="1500">
        <f>J25</f>
        <v>100</v>
      </c>
      <c r="X25" s="1501"/>
      <c r="Y25" s="3775"/>
      <c r="Z25" s="1131">
        <f>Q25</f>
        <v>111</v>
      </c>
      <c r="AA25" s="1507">
        <f>D25/F25</f>
        <v>1</v>
      </c>
      <c r="AB25" s="1507">
        <f>D25/H25</f>
        <v>1</v>
      </c>
      <c r="AC25" s="1507">
        <f>D25/J25</f>
        <v>1</v>
      </c>
    </row>
    <row r="26" spans="1:29" ht="15">
      <c r="A26" s="2620" t="s">
        <v>2734</v>
      </c>
      <c r="B26" s="166" t="s">
        <v>800</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0"/>
      <c r="M26" s="2012"/>
      <c r="N26" s="2012"/>
      <c r="O26" s="2019"/>
      <c r="P26" s="3776"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777" t="s">
        <v>544</v>
      </c>
      <c r="Z26" s="1506" t="str">
        <f t="shared" ref="Z26:Z36" si="15">Q26</f>
        <v>配套类型</v>
      </c>
      <c r="AA26" s="1507">
        <f t="shared" si="3"/>
        <v>1</v>
      </c>
      <c r="AB26" s="1507">
        <f t="shared" si="4"/>
        <v>1</v>
      </c>
      <c r="AC26" s="1507">
        <f t="shared" si="5"/>
        <v>1</v>
      </c>
    </row>
    <row r="27" spans="1:29" s="1291" customFormat="1" ht="15">
      <c r="A27" s="916"/>
      <c r="B27" s="574" t="s">
        <v>801</v>
      </c>
      <c r="C27" s="917"/>
      <c r="D27" s="251">
        <v>100</v>
      </c>
      <c r="E27" s="917"/>
      <c r="F27" s="567">
        <f>SUMIF(81:81,E27,82:82)-SUMIF(81:81,C27,82:82)+100</f>
        <v>100</v>
      </c>
      <c r="G27" s="917"/>
      <c r="H27" s="532">
        <f>SUMIF(81:81,G27,82:82)-SUMIF(81:81,C27,82:82)+100</f>
        <v>100</v>
      </c>
      <c r="I27" s="917"/>
      <c r="J27" s="532">
        <f>SUMIF(81:81,I27,82:82)-SUMIF(81:81,C27,82:82)+100</f>
        <v>100</v>
      </c>
      <c r="K27" s="573"/>
      <c r="L27" s="2018"/>
      <c r="M27" s="2048"/>
      <c r="N27" s="2048"/>
      <c r="O27" s="2021"/>
      <c r="P27" s="3777"/>
      <c r="Q27" s="1532" t="str">
        <f t="shared" si="11"/>
        <v>项目停车位配比</v>
      </c>
      <c r="R27" s="1508" t="s">
        <v>8</v>
      </c>
      <c r="S27" s="1509">
        <f t="shared" si="12"/>
        <v>100</v>
      </c>
      <c r="T27" s="1508" t="s">
        <v>8</v>
      </c>
      <c r="U27" s="1509">
        <f t="shared" si="13"/>
        <v>100</v>
      </c>
      <c r="V27" s="1508" t="s">
        <v>8</v>
      </c>
      <c r="W27" s="1509">
        <f t="shared" si="14"/>
        <v>100</v>
      </c>
      <c r="X27" s="1510"/>
      <c r="Y27" s="3777"/>
      <c r="Z27" s="1511" t="str">
        <f t="shared" si="15"/>
        <v>项目停车位配比</v>
      </c>
      <c r="AA27" s="1507">
        <f t="shared" si="3"/>
        <v>1</v>
      </c>
      <c r="AB27" s="1507">
        <f t="shared" si="4"/>
        <v>1</v>
      </c>
      <c r="AC27" s="1507">
        <f t="shared" si="5"/>
        <v>1</v>
      </c>
    </row>
    <row r="28" spans="1:29" ht="15">
      <c r="A28" s="918"/>
      <c r="B28" s="574" t="s">
        <v>802</v>
      </c>
      <c r="C28" s="566"/>
      <c r="D28" s="532">
        <v>100</v>
      </c>
      <c r="E28" s="566"/>
      <c r="F28" s="567">
        <f>SUMIF(83:83,E28,84:84)-SUMIF(83:83,C28,84:84)+100</f>
        <v>100</v>
      </c>
      <c r="G28" s="566"/>
      <c r="H28" s="532">
        <f>SUMIF(83:83,G28,84:84)-SUMIF(83:83,C28,84:84)+100</f>
        <v>100</v>
      </c>
      <c r="I28" s="566"/>
      <c r="J28" s="532">
        <f>SUMIF(83:83,I28,84:84)-SUMIF(83:83,C28,84:84)+100</f>
        <v>100</v>
      </c>
      <c r="K28" s="576"/>
      <c r="L28" s="2020"/>
      <c r="M28" s="2012"/>
      <c r="N28" s="2012"/>
      <c r="O28" s="2019"/>
      <c r="P28" s="3777"/>
      <c r="Q28" s="1503" t="str">
        <f t="shared" si="11"/>
        <v>公共部分装修</v>
      </c>
      <c r="R28" s="1504" t="s">
        <v>8</v>
      </c>
      <c r="S28" s="1505">
        <f t="shared" si="12"/>
        <v>100</v>
      </c>
      <c r="T28" s="1504" t="s">
        <v>8</v>
      </c>
      <c r="U28" s="1505">
        <f t="shared" si="13"/>
        <v>100</v>
      </c>
      <c r="V28" s="1504" t="s">
        <v>8</v>
      </c>
      <c r="W28" s="1505">
        <f t="shared" si="14"/>
        <v>100</v>
      </c>
      <c r="X28" s="1498"/>
      <c r="Y28" s="3777"/>
      <c r="Z28" s="1506" t="str">
        <f t="shared" si="15"/>
        <v>公共部分装修</v>
      </c>
      <c r="AA28" s="1507">
        <f t="shared" si="3"/>
        <v>1</v>
      </c>
      <c r="AB28" s="1507">
        <f t="shared" si="4"/>
        <v>1</v>
      </c>
      <c r="AC28" s="1507">
        <f t="shared" si="5"/>
        <v>1</v>
      </c>
    </row>
    <row r="29" spans="1:29" ht="15">
      <c r="A29" s="918"/>
      <c r="B29" s="574" t="s">
        <v>803</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0"/>
      <c r="M29" s="2012"/>
      <c r="N29" s="2012"/>
      <c r="O29" s="2019"/>
      <c r="P29" s="3777"/>
      <c r="Q29" s="1503" t="str">
        <f t="shared" si="11"/>
        <v>成新率</v>
      </c>
      <c r="R29" s="1504" t="s">
        <v>8</v>
      </c>
      <c r="S29" s="1505" t="e">
        <f t="shared" si="12"/>
        <v>#N/A</v>
      </c>
      <c r="T29" s="1504" t="s">
        <v>8</v>
      </c>
      <c r="U29" s="1505" t="e">
        <f t="shared" si="13"/>
        <v>#N/A</v>
      </c>
      <c r="V29" s="1504" t="s">
        <v>8</v>
      </c>
      <c r="W29" s="1505" t="e">
        <f t="shared" si="14"/>
        <v>#N/A</v>
      </c>
      <c r="X29" s="1498"/>
      <c r="Y29" s="3777"/>
      <c r="Z29" s="1506" t="str">
        <f t="shared" si="15"/>
        <v>成新率</v>
      </c>
      <c r="AA29" s="1507" t="e">
        <f t="shared" si="3"/>
        <v>#N/A</v>
      </c>
      <c r="AB29" s="1507" t="e">
        <f t="shared" si="4"/>
        <v>#N/A</v>
      </c>
      <c r="AC29" s="1507" t="e">
        <f t="shared" si="5"/>
        <v>#N/A</v>
      </c>
    </row>
    <row r="30" spans="1:29" ht="15">
      <c r="A30" s="918"/>
      <c r="B30" s="574" t="s">
        <v>804</v>
      </c>
      <c r="C30" s="919"/>
      <c r="D30" s="532">
        <v>100</v>
      </c>
      <c r="E30" s="919"/>
      <c r="F30" s="567">
        <f>SUMIF(88:88,E30,89:89)-SUMIF(88:88,C30,89:89)+100</f>
        <v>100</v>
      </c>
      <c r="G30" s="919"/>
      <c r="H30" s="532">
        <f>SUMIF(88:88,E30,89:89)-SUMIF(88:88,C30,89:89)+100</f>
        <v>100</v>
      </c>
      <c r="I30" s="919"/>
      <c r="J30" s="532">
        <f>SUMIF(88:88,E30,89:89)-SUMIF(88:88,C30,89:89)+100</f>
        <v>100</v>
      </c>
      <c r="K30" s="576"/>
      <c r="L30" s="2020"/>
      <c r="M30" s="2012"/>
      <c r="N30" s="2012"/>
      <c r="O30" s="2019"/>
      <c r="P30" s="3777"/>
      <c r="Q30" s="1503" t="str">
        <f t="shared" si="11"/>
        <v>物业等级</v>
      </c>
      <c r="R30" s="1504" t="s">
        <v>8</v>
      </c>
      <c r="S30" s="1505">
        <f t="shared" si="12"/>
        <v>100</v>
      </c>
      <c r="T30" s="1504" t="s">
        <v>8</v>
      </c>
      <c r="U30" s="1505">
        <f t="shared" si="13"/>
        <v>100</v>
      </c>
      <c r="V30" s="1504" t="s">
        <v>8</v>
      </c>
      <c r="W30" s="1505">
        <f t="shared" si="14"/>
        <v>100</v>
      </c>
      <c r="X30" s="1498"/>
      <c r="Y30" s="3777"/>
      <c r="Z30" s="1506" t="str">
        <f t="shared" si="15"/>
        <v>物业等级</v>
      </c>
      <c r="AA30" s="1507">
        <f t="shared" si="3"/>
        <v>1</v>
      </c>
      <c r="AB30" s="1507">
        <f t="shared" si="4"/>
        <v>1</v>
      </c>
      <c r="AC30" s="1507">
        <f t="shared" si="5"/>
        <v>1</v>
      </c>
    </row>
    <row r="31" spans="1:29" s="1201" customFormat="1" ht="15">
      <c r="A31" s="920"/>
      <c r="B31" s="574" t="s">
        <v>805</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3"/>
      <c r="M31" s="2014"/>
      <c r="N31" s="2014"/>
      <c r="O31" s="2015"/>
      <c r="P31" s="3777"/>
      <c r="Q31" s="1132" t="str">
        <f t="shared" si="11"/>
        <v>停车位面积</v>
      </c>
      <c r="R31" s="1499" t="s">
        <v>8</v>
      </c>
      <c r="S31" s="1500" t="e">
        <f t="shared" si="12"/>
        <v>#N/A</v>
      </c>
      <c r="T31" s="1499" t="s">
        <v>8</v>
      </c>
      <c r="U31" s="1500" t="e">
        <f t="shared" si="13"/>
        <v>#N/A</v>
      </c>
      <c r="V31" s="1499" t="s">
        <v>8</v>
      </c>
      <c r="W31" s="1500" t="e">
        <f t="shared" si="14"/>
        <v>#N/A</v>
      </c>
      <c r="X31" s="1501"/>
      <c r="Y31" s="3777"/>
      <c r="Z31" s="1131" t="str">
        <f t="shared" si="15"/>
        <v>停车位面积</v>
      </c>
      <c r="AA31" s="1502" t="e">
        <f t="shared" si="3"/>
        <v>#N/A</v>
      </c>
      <c r="AB31" s="1502" t="e">
        <f t="shared" si="4"/>
        <v>#N/A</v>
      </c>
      <c r="AC31" s="1502" t="e">
        <f t="shared" si="5"/>
        <v>#N/A</v>
      </c>
    </row>
    <row r="32" spans="1:29" ht="15">
      <c r="A32" s="918"/>
      <c r="B32" s="574" t="s">
        <v>806</v>
      </c>
      <c r="C32" s="566"/>
      <c r="D32" s="532">
        <v>100</v>
      </c>
      <c r="E32" s="566"/>
      <c r="F32" s="567">
        <f>SUMIF(93:93,E32,94:94)-SUMIF(93:93,C32,94:94)+100</f>
        <v>100</v>
      </c>
      <c r="G32" s="566"/>
      <c r="H32" s="532">
        <f>SUMIF(93:93,G32,94:94)-SUMIF(93:93,C32,94:94)+100</f>
        <v>100</v>
      </c>
      <c r="I32" s="566"/>
      <c r="J32" s="532">
        <f>SUMIF(93:93,I32,94:94)-SUMIF(93:93,C32,94:94)+100</f>
        <v>100</v>
      </c>
      <c r="K32" s="576"/>
      <c r="L32" s="2020"/>
      <c r="M32" s="2012"/>
      <c r="N32" s="2012"/>
      <c r="O32" s="2019"/>
      <c r="P32" s="3777" t="s">
        <v>544</v>
      </c>
      <c r="Q32" s="1503" t="str">
        <f t="shared" si="11"/>
        <v>车位类型</v>
      </c>
      <c r="R32" s="1504" t="s">
        <v>8</v>
      </c>
      <c r="S32" s="1505">
        <f t="shared" si="12"/>
        <v>100</v>
      </c>
      <c r="T32" s="1504" t="s">
        <v>8</v>
      </c>
      <c r="U32" s="1505">
        <f t="shared" si="13"/>
        <v>100</v>
      </c>
      <c r="V32" s="1504" t="s">
        <v>8</v>
      </c>
      <c r="W32" s="1505">
        <f t="shared" si="14"/>
        <v>100</v>
      </c>
      <c r="X32" s="1498"/>
      <c r="Y32" s="3777" t="s">
        <v>544</v>
      </c>
      <c r="Z32" s="1506" t="str">
        <f t="shared" si="15"/>
        <v>车位类型</v>
      </c>
      <c r="AA32" s="1507">
        <f t="shared" si="3"/>
        <v>1</v>
      </c>
      <c r="AB32" s="1507">
        <f t="shared" si="4"/>
        <v>1</v>
      </c>
      <c r="AC32" s="1507">
        <f t="shared" si="5"/>
        <v>1</v>
      </c>
    </row>
    <row r="33" spans="1:29" ht="15">
      <c r="A33" s="918"/>
      <c r="B33" s="574" t="s">
        <v>807</v>
      </c>
      <c r="C33" s="566"/>
      <c r="D33" s="532">
        <v>100</v>
      </c>
      <c r="E33" s="566"/>
      <c r="F33" s="567">
        <f>SUMIF(95:95,E33,96:96)-SUMIF(95:95,C33,96:96)+100</f>
        <v>100</v>
      </c>
      <c r="G33" s="566"/>
      <c r="H33" s="532">
        <f>SUMIF(95:95,G33,96:96)-SUMIF(95:95,C33,96:96)+100</f>
        <v>100</v>
      </c>
      <c r="I33" s="566"/>
      <c r="J33" s="532">
        <f>SUMIF(95:95,I33,96:96)-SUMIF(95:95,C33,96:96)+100</f>
        <v>100</v>
      </c>
      <c r="K33" s="576"/>
      <c r="L33" s="2020"/>
      <c r="M33" s="2012"/>
      <c r="N33" s="2012"/>
      <c r="O33" s="2019"/>
      <c r="P33" s="3777"/>
      <c r="Q33" s="1503" t="str">
        <f t="shared" si="11"/>
        <v>是否直接入户</v>
      </c>
      <c r="R33" s="1504" t="s">
        <v>8</v>
      </c>
      <c r="S33" s="1505">
        <f t="shared" si="12"/>
        <v>100</v>
      </c>
      <c r="T33" s="1504" t="s">
        <v>8</v>
      </c>
      <c r="U33" s="1505">
        <f t="shared" si="13"/>
        <v>100</v>
      </c>
      <c r="V33" s="1504" t="s">
        <v>8</v>
      </c>
      <c r="W33" s="1505">
        <f t="shared" si="14"/>
        <v>100</v>
      </c>
      <c r="X33" s="1498"/>
      <c r="Y33" s="3777"/>
      <c r="Z33" s="1506" t="str">
        <f t="shared" si="15"/>
        <v>是否直接入户</v>
      </c>
      <c r="AA33" s="1507">
        <f t="shared" si="3"/>
        <v>1</v>
      </c>
      <c r="AB33" s="1507">
        <f t="shared" si="4"/>
        <v>1</v>
      </c>
      <c r="AC33" s="1507">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0"/>
      <c r="M34" s="2012"/>
      <c r="N34" s="2012"/>
      <c r="O34" s="2019"/>
      <c r="P34" s="3777"/>
      <c r="Q34" s="1503">
        <f t="shared" si="11"/>
        <v>111</v>
      </c>
      <c r="R34" s="1504" t="s">
        <v>8</v>
      </c>
      <c r="S34" s="1505">
        <f t="shared" si="12"/>
        <v>100</v>
      </c>
      <c r="T34" s="1504" t="s">
        <v>8</v>
      </c>
      <c r="U34" s="1505">
        <f t="shared" si="13"/>
        <v>100</v>
      </c>
      <c r="V34" s="1504" t="s">
        <v>8</v>
      </c>
      <c r="W34" s="1505">
        <f t="shared" si="14"/>
        <v>100</v>
      </c>
      <c r="X34" s="1498"/>
      <c r="Y34" s="3777"/>
      <c r="Z34" s="1506">
        <f t="shared" si="15"/>
        <v>111</v>
      </c>
      <c r="AA34" s="1507">
        <f t="shared" si="3"/>
        <v>1</v>
      </c>
      <c r="AB34" s="1507">
        <f t="shared" si="4"/>
        <v>1</v>
      </c>
      <c r="AC34" s="1507">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8"/>
      <c r="M35" s="2048"/>
      <c r="N35" s="2048"/>
      <c r="O35" s="2021"/>
      <c r="P35" s="3777"/>
      <c r="Q35" s="1532">
        <f t="shared" si="11"/>
        <v>111</v>
      </c>
      <c r="R35" s="1508" t="s">
        <v>8</v>
      </c>
      <c r="S35" s="1509">
        <f t="shared" si="12"/>
        <v>100</v>
      </c>
      <c r="T35" s="1508" t="s">
        <v>8</v>
      </c>
      <c r="U35" s="1509">
        <f t="shared" si="13"/>
        <v>100</v>
      </c>
      <c r="V35" s="1508" t="s">
        <v>8</v>
      </c>
      <c r="W35" s="1509">
        <f t="shared" si="14"/>
        <v>100</v>
      </c>
      <c r="X35" s="1510"/>
      <c r="Y35" s="3777"/>
      <c r="Z35" s="1511">
        <f t="shared" si="15"/>
        <v>111</v>
      </c>
      <c r="AA35" s="1507">
        <f t="shared" si="3"/>
        <v>1</v>
      </c>
      <c r="AB35" s="1507">
        <f t="shared" si="4"/>
        <v>1</v>
      </c>
      <c r="AC35" s="1507">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0"/>
      <c r="M36" s="2012"/>
      <c r="N36" s="2012"/>
      <c r="O36" s="2019"/>
      <c r="P36" s="3777"/>
      <c r="Q36" s="1503">
        <f t="shared" si="11"/>
        <v>111</v>
      </c>
      <c r="R36" s="1504" t="s">
        <v>8</v>
      </c>
      <c r="S36" s="1505">
        <f t="shared" si="12"/>
        <v>100</v>
      </c>
      <c r="T36" s="1504" t="s">
        <v>8</v>
      </c>
      <c r="U36" s="1505">
        <f t="shared" si="13"/>
        <v>100</v>
      </c>
      <c r="V36" s="1504" t="s">
        <v>8</v>
      </c>
      <c r="W36" s="1505">
        <f t="shared" si="14"/>
        <v>100</v>
      </c>
      <c r="X36" s="1498"/>
      <c r="Y36" s="3777"/>
      <c r="Z36" s="1506">
        <f t="shared" si="15"/>
        <v>111</v>
      </c>
      <c r="AA36" s="1507">
        <f t="shared" si="3"/>
        <v>1</v>
      </c>
      <c r="AB36" s="1507">
        <f t="shared" si="4"/>
        <v>1</v>
      </c>
      <c r="AC36" s="1507">
        <f t="shared" si="5"/>
        <v>1</v>
      </c>
    </row>
    <row r="37" spans="1:29" ht="15">
      <c r="A37" s="1756" t="s">
        <v>2065</v>
      </c>
      <c r="B37" s="1757" t="s">
        <v>2066</v>
      </c>
      <c r="C37" s="2466" t="s">
        <v>1</v>
      </c>
      <c r="D37" s="2467"/>
      <c r="E37" s="2468"/>
      <c r="F37" s="2469"/>
      <c r="G37" s="2470"/>
      <c r="H37" s="2471"/>
      <c r="I37" s="2468"/>
      <c r="J37" s="2471"/>
      <c r="K37" s="1537"/>
      <c r="L37" s="2022"/>
      <c r="M37" s="2023"/>
      <c r="N37" s="2012"/>
      <c r="O37" s="2023"/>
      <c r="P37" s="3772" t="str">
        <f>A37</f>
        <v>成交单价</v>
      </c>
      <c r="Q37" s="3772"/>
      <c r="R37" s="3773">
        <f>E37</f>
        <v>0</v>
      </c>
      <c r="S37" s="3773"/>
      <c r="T37" s="3773">
        <f>G37</f>
        <v>0</v>
      </c>
      <c r="U37" s="3773"/>
      <c r="V37" s="3773">
        <f>I37</f>
        <v>0</v>
      </c>
      <c r="W37" s="3773"/>
      <c r="X37" s="1493"/>
      <c r="Y37" s="1512"/>
      <c r="Z37" s="1493"/>
      <c r="AA37" s="1493"/>
      <c r="AB37" s="1493"/>
      <c r="AC37" s="1493"/>
    </row>
    <row r="38" spans="1:29" ht="15.75" thickBot="1">
      <c r="A38" s="607" t="s">
        <v>2739</v>
      </c>
      <c r="B38" s="875"/>
      <c r="C38" s="2472" t="e">
        <f>R39</f>
        <v>#DIV/0!</v>
      </c>
      <c r="D38" s="3008" t="s">
        <v>2964</v>
      </c>
      <c r="E38" s="2473" t="e">
        <f>R38</f>
        <v>#DIV/0!</v>
      </c>
      <c r="F38" s="3009"/>
      <c r="G38" s="2472" t="e">
        <f>T38</f>
        <v>#DIV/0!</v>
      </c>
      <c r="H38" s="3009"/>
      <c r="I38" s="2473" t="e">
        <f>V38</f>
        <v>#DIV/0!</v>
      </c>
      <c r="J38" s="3009"/>
      <c r="K38" s="3017">
        <f>F38+H38+J38</f>
        <v>0</v>
      </c>
      <c r="L38" s="2022"/>
      <c r="M38" s="2023"/>
      <c r="N38" s="2023"/>
      <c r="O38" s="2023"/>
      <c r="P38" s="3772" t="str">
        <f>A38</f>
        <v>比较价格（元/平方米）</v>
      </c>
      <c r="Q38" s="3772"/>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1493"/>
      <c r="Y38" s="1493"/>
      <c r="Z38" s="1493"/>
      <c r="AA38" s="1493"/>
      <c r="AB38" s="1493"/>
      <c r="AC38" s="1493"/>
    </row>
    <row r="39" spans="1:29" ht="15.75" thickBot="1">
      <c r="A39" s="611" t="s">
        <v>2899</v>
      </c>
      <c r="B39" s="612"/>
      <c r="C39" s="2474" t="e">
        <f>R39</f>
        <v>#DIV/0!</v>
      </c>
      <c r="D39" s="2474"/>
      <c r="E39" s="2474"/>
      <c r="F39" s="2474"/>
      <c r="G39" s="2474"/>
      <c r="H39" s="2474"/>
      <c r="I39" s="2474"/>
      <c r="J39" s="2474"/>
      <c r="K39" s="1538"/>
      <c r="L39" s="2022"/>
      <c r="M39" s="2023"/>
      <c r="N39" s="2023"/>
      <c r="O39" s="2023"/>
      <c r="P39" s="3769" t="str">
        <f>A39</f>
        <v>估价对象XX用房的比较价格（楼面单价，元/平方米）</v>
      </c>
      <c r="Q39" s="3770"/>
      <c r="R39" s="3771" t="e">
        <f>IF(F1="售价",ROUND(IF(D38="简单平均",AVERAGE(R38:W38),R38*F38+T38*H38+V38*J38),0),ROUND(IF(D38="简单平均",AVERAGE(R38:V38),R38*F38+T38*H38+V38*J38),1))</f>
        <v>#DIV/0!</v>
      </c>
      <c r="S39" s="3771"/>
      <c r="T39" s="3771"/>
      <c r="U39" s="3771"/>
      <c r="V39" s="3771"/>
      <c r="W39" s="3771"/>
      <c r="X39" s="1493"/>
      <c r="Y39" s="1493"/>
      <c r="Z39" s="1493"/>
      <c r="AA39" s="1493"/>
      <c r="AB39" s="1493"/>
      <c r="AC39" s="1493"/>
    </row>
    <row r="40" spans="1:29">
      <c r="A40" s="3207"/>
      <c r="B40" s="3207"/>
      <c r="C40" s="3207"/>
      <c r="D40" s="3207"/>
      <c r="E40" s="3207"/>
      <c r="F40" s="3207"/>
      <c r="G40" s="3209"/>
      <c r="H40" s="3207"/>
      <c r="I40" s="3207"/>
      <c r="J40" s="3207"/>
      <c r="K40" s="3210"/>
      <c r="L40" s="2027"/>
      <c r="M40" s="2023"/>
      <c r="N40" s="2023"/>
      <c r="O40" s="2023"/>
      <c r="P40" s="2023"/>
      <c r="Q40" s="2023"/>
      <c r="R40" s="2023"/>
      <c r="S40" s="2023"/>
      <c r="T40" s="2023"/>
      <c r="U40" s="2023"/>
      <c r="V40" s="2023"/>
      <c r="W40" s="2023"/>
      <c r="X40" s="2023"/>
      <c r="Y40" s="2023"/>
      <c r="Z40" s="2023"/>
      <c r="AA40" s="2023"/>
      <c r="AB40" s="2023"/>
      <c r="AC40" s="2023"/>
    </row>
    <row r="41" spans="1:29">
      <c r="A41" s="3207"/>
      <c r="B41" s="3207"/>
      <c r="C41" s="3207"/>
      <c r="D41" s="3207"/>
      <c r="E41" s="3207"/>
      <c r="F41" s="3207"/>
      <c r="G41" s="3207"/>
      <c r="H41" s="3207"/>
      <c r="I41" s="3207"/>
      <c r="J41" s="3207"/>
      <c r="K41" s="3210"/>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7"/>
      <c r="B42" s="3207"/>
      <c r="C42" s="614" t="s">
        <v>551</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0"/>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7"/>
      <c r="B43" s="3207"/>
      <c r="C43" s="614" t="s">
        <v>552</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0"/>
      <c r="L43" s="2027"/>
      <c r="M43" s="2023"/>
      <c r="N43" s="2023"/>
      <c r="O43" s="2023"/>
      <c r="P43" s="2023"/>
      <c r="Q43" s="2023"/>
      <c r="R43" s="2023"/>
      <c r="S43" s="2023"/>
      <c r="T43" s="2023"/>
      <c r="U43" s="2023"/>
      <c r="V43" s="2023"/>
      <c r="W43" s="2023"/>
      <c r="X43" s="2023"/>
      <c r="Y43" s="2023"/>
      <c r="Z43" s="2023"/>
      <c r="AA43" s="2023"/>
      <c r="AB43" s="2023"/>
      <c r="AC43" s="2023"/>
    </row>
    <row r="44" spans="1:29" s="1296" customFormat="1" ht="13.5" customHeight="1">
      <c r="A44" s="3208"/>
      <c r="B44" s="3208"/>
      <c r="C44" s="614" t="s">
        <v>553</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1"/>
      <c r="L44" s="2030"/>
      <c r="M44" s="2024"/>
      <c r="N44" s="2024"/>
      <c r="O44" s="2024"/>
      <c r="P44" s="2024"/>
      <c r="Q44" s="2024"/>
      <c r="R44" s="2024"/>
      <c r="S44" s="2024"/>
      <c r="T44" s="2024"/>
      <c r="U44" s="2024"/>
      <c r="V44" s="2024"/>
      <c r="W44" s="2024"/>
      <c r="X44" s="2024"/>
      <c r="Y44" s="2024"/>
      <c r="Z44" s="2024"/>
      <c r="AA44" s="2024"/>
      <c r="AB44" s="2024"/>
      <c r="AC44" s="2024"/>
    </row>
    <row r="45" spans="1:29" s="1296"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5" t="s">
        <v>568</v>
      </c>
      <c r="B47" s="1493"/>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8" customFormat="1" ht="15">
      <c r="A48" s="635" t="s">
        <v>523</v>
      </c>
      <c r="B48" s="636"/>
      <c r="C48" s="2515" t="str">
        <f>YEAR(C7)&amp;"-"&amp;MONTH(C7)</f>
        <v>2021-8</v>
      </c>
      <c r="D48" s="2517">
        <f>EDATE(C48,-1)</f>
        <v>44378</v>
      </c>
      <c r="E48" s="2517">
        <f t="shared" ref="E48:O48" si="16">EDATE(D48,-1)</f>
        <v>44348</v>
      </c>
      <c r="F48" s="2517">
        <f t="shared" si="16"/>
        <v>44317</v>
      </c>
      <c r="G48" s="2517">
        <f t="shared" si="16"/>
        <v>44287</v>
      </c>
      <c r="H48" s="2517">
        <f t="shared" si="16"/>
        <v>44256</v>
      </c>
      <c r="I48" s="2517">
        <f t="shared" si="16"/>
        <v>44228</v>
      </c>
      <c r="J48" s="2517">
        <f t="shared" si="16"/>
        <v>44197</v>
      </c>
      <c r="K48" s="2517">
        <f t="shared" si="16"/>
        <v>44166</v>
      </c>
      <c r="L48" s="2517">
        <f t="shared" si="16"/>
        <v>44136</v>
      </c>
      <c r="M48" s="2517">
        <f t="shared" si="16"/>
        <v>44105</v>
      </c>
      <c r="N48" s="2517">
        <f t="shared" si="16"/>
        <v>44075</v>
      </c>
      <c r="O48" s="2517">
        <f t="shared" si="16"/>
        <v>44044</v>
      </c>
      <c r="P48" s="2037"/>
      <c r="Q48" s="2038"/>
      <c r="R48" s="2038"/>
      <c r="S48" s="2038"/>
      <c r="T48" s="2038"/>
      <c r="U48" s="2038"/>
      <c r="V48" s="2038"/>
      <c r="W48" s="2038"/>
      <c r="X48" s="2038"/>
      <c r="Y48" s="2038"/>
      <c r="Z48" s="2038"/>
      <c r="AA48" s="2038"/>
      <c r="AB48" s="2038"/>
      <c r="AC48" s="2038"/>
    </row>
    <row r="49" spans="1:29" s="1201" customFormat="1" ht="15">
      <c r="A49" s="637"/>
      <c r="B49" s="638"/>
      <c r="C49" s="2516">
        <v>100</v>
      </c>
      <c r="D49" s="640"/>
      <c r="E49" s="640"/>
      <c r="F49" s="640"/>
      <c r="G49" s="640"/>
      <c r="H49" s="640"/>
      <c r="I49" s="640"/>
      <c r="J49" s="640"/>
      <c r="K49" s="640"/>
      <c r="L49" s="640"/>
      <c r="M49" s="641"/>
      <c r="N49" s="640"/>
      <c r="O49" s="642"/>
      <c r="P49" s="2035"/>
      <c r="Q49" s="1901"/>
      <c r="R49" s="1901"/>
      <c r="S49" s="1901"/>
      <c r="T49" s="1901"/>
      <c r="U49" s="1901"/>
      <c r="V49" s="1901"/>
      <c r="W49" s="1901"/>
      <c r="X49" s="1901"/>
      <c r="Y49" s="1901"/>
      <c r="Z49" s="1901"/>
      <c r="AA49" s="1901"/>
      <c r="AB49" s="1901"/>
      <c r="AC49" s="1901"/>
    </row>
    <row r="50" spans="1:29" s="1201" customFormat="1" ht="15.75" thickBot="1">
      <c r="A50" s="643" t="s">
        <v>569</v>
      </c>
      <c r="B50" s="644"/>
      <c r="C50" s="645"/>
      <c r="D50" s="646"/>
      <c r="E50" s="646"/>
      <c r="F50" s="646"/>
      <c r="G50" s="646"/>
      <c r="H50" s="646"/>
      <c r="I50" s="646"/>
      <c r="J50" s="646"/>
      <c r="K50" s="646"/>
      <c r="L50" s="646"/>
      <c r="M50" s="647"/>
      <c r="N50" s="646"/>
      <c r="O50" s="648"/>
      <c r="P50" s="2035"/>
      <c r="Q50" s="2035"/>
      <c r="R50" s="1901"/>
      <c r="S50" s="1901"/>
      <c r="T50" s="1901"/>
      <c r="U50" s="1901"/>
      <c r="V50" s="1901"/>
      <c r="W50" s="1901"/>
      <c r="X50" s="1901"/>
      <c r="Y50" s="1901"/>
      <c r="Z50" s="1901"/>
      <c r="AA50" s="1901"/>
      <c r="AB50" s="1901"/>
      <c r="AC50" s="1901"/>
    </row>
    <row r="51" spans="1:29" s="1201" customFormat="1" ht="15">
      <c r="A51" s="649" t="s">
        <v>525</v>
      </c>
      <c r="B51" s="638"/>
      <c r="C51" s="650" t="s">
        <v>570</v>
      </c>
      <c r="D51" s="651"/>
      <c r="E51" s="651"/>
      <c r="F51" s="651"/>
      <c r="G51" s="651"/>
      <c r="H51" s="651"/>
      <c r="I51" s="651"/>
      <c r="J51" s="651"/>
      <c r="K51" s="651"/>
      <c r="L51" s="652"/>
      <c r="M51" s="653"/>
      <c r="N51" s="2039"/>
      <c r="O51" s="2039"/>
      <c r="P51" s="2040"/>
      <c r="Q51" s="2035"/>
      <c r="R51" s="1901"/>
      <c r="S51" s="1901"/>
      <c r="T51" s="1901"/>
      <c r="U51" s="1901"/>
      <c r="V51" s="1901"/>
      <c r="W51" s="1901"/>
      <c r="X51" s="1901"/>
      <c r="Y51" s="1901"/>
      <c r="Z51" s="1901"/>
      <c r="AA51" s="1901"/>
      <c r="AB51" s="1901"/>
      <c r="AC51" s="1901"/>
    </row>
    <row r="52" spans="1:29" s="1201" customFormat="1" ht="15.75" thickBot="1">
      <c r="A52" s="649"/>
      <c r="B52" s="638"/>
      <c r="C52" s="639">
        <v>100</v>
      </c>
      <c r="D52" s="640"/>
      <c r="E52" s="640"/>
      <c r="F52" s="640"/>
      <c r="G52" s="640"/>
      <c r="H52" s="640"/>
      <c r="I52" s="640"/>
      <c r="J52" s="640"/>
      <c r="K52" s="640"/>
      <c r="L52" s="640"/>
      <c r="M52" s="642"/>
      <c r="N52" s="2039"/>
      <c r="O52" s="2039"/>
      <c r="P52" s="2035"/>
      <c r="Q52" s="2035"/>
      <c r="R52" s="1901"/>
      <c r="S52" s="1901"/>
      <c r="T52" s="1901"/>
      <c r="U52" s="1901"/>
      <c r="V52" s="1901"/>
      <c r="W52" s="1901"/>
      <c r="X52" s="1901"/>
      <c r="Y52" s="1901"/>
      <c r="Z52" s="1901"/>
      <c r="AA52" s="1901"/>
      <c r="AB52" s="1901"/>
      <c r="AC52" s="1901"/>
    </row>
    <row r="53" spans="1:29">
      <c r="A53" s="654" t="s">
        <v>571</v>
      </c>
      <c r="B53" s="655" t="s">
        <v>528</v>
      </c>
      <c r="C53" s="694">
        <f>C9</f>
        <v>0</v>
      </c>
      <c r="D53" s="590"/>
      <c r="E53" s="590"/>
      <c r="F53" s="590"/>
      <c r="G53" s="590"/>
      <c r="H53" s="590"/>
      <c r="I53" s="590"/>
      <c r="J53" s="590"/>
      <c r="K53" s="656"/>
      <c r="L53" s="657"/>
      <c r="M53" s="658"/>
      <c r="N53" s="2041"/>
      <c r="O53" s="2041"/>
      <c r="P53" s="2042"/>
      <c r="Q53" s="2035"/>
      <c r="R53" s="2023"/>
      <c r="S53" s="2023"/>
      <c r="T53" s="2023"/>
      <c r="U53" s="2023"/>
      <c r="V53" s="2023"/>
      <c r="W53" s="2023"/>
      <c r="X53" s="2023"/>
      <c r="Y53" s="2023"/>
      <c r="Z53" s="2023"/>
      <c r="AA53" s="2023"/>
      <c r="AB53" s="2023"/>
      <c r="AC53" s="2023"/>
    </row>
    <row r="54" spans="1:29" ht="15.75" thickBot="1">
      <c r="A54" s="659"/>
      <c r="B54" s="660"/>
      <c r="C54" s="661"/>
      <c r="D54" s="661"/>
      <c r="E54" s="661"/>
      <c r="F54" s="661"/>
      <c r="G54" s="661"/>
      <c r="H54" s="661"/>
      <c r="I54" s="661"/>
      <c r="J54" s="661"/>
      <c r="K54" s="661"/>
      <c r="L54" s="661"/>
      <c r="M54" s="662"/>
      <c r="N54" s="2043"/>
      <c r="O54" s="2043"/>
      <c r="P54" s="2042"/>
      <c r="Q54" s="2035"/>
      <c r="R54" s="2023"/>
      <c r="S54" s="2023"/>
      <c r="T54" s="2023"/>
      <c r="U54" s="2023"/>
      <c r="V54" s="2023"/>
      <c r="W54" s="2023"/>
      <c r="X54" s="2023"/>
      <c r="Y54" s="2023"/>
      <c r="Z54" s="2023"/>
      <c r="AA54" s="2023"/>
      <c r="AB54" s="2023"/>
      <c r="AC54" s="2023"/>
    </row>
    <row r="55" spans="1:29" ht="27.75" thickTop="1">
      <c r="A55" s="659"/>
      <c r="B55" s="663" t="s">
        <v>531</v>
      </c>
      <c r="C55" s="664" t="s">
        <v>731</v>
      </c>
      <c r="D55" s="664" t="s">
        <v>732</v>
      </c>
      <c r="E55" s="664" t="s">
        <v>733</v>
      </c>
      <c r="F55" s="664" t="s">
        <v>734</v>
      </c>
      <c r="G55" s="664" t="s">
        <v>735</v>
      </c>
      <c r="H55" s="664" t="s">
        <v>736</v>
      </c>
      <c r="I55" s="664" t="s">
        <v>737</v>
      </c>
      <c r="J55" s="664"/>
      <c r="K55" s="665"/>
      <c r="L55" s="666"/>
      <c r="M55" s="667"/>
      <c r="N55" s="2041"/>
      <c r="O55" s="2041"/>
      <c r="P55" s="2042"/>
      <c r="Q55" s="2035"/>
      <c r="R55" s="2023"/>
      <c r="S55" s="2023"/>
      <c r="T55" s="2023"/>
      <c r="U55" s="2023"/>
      <c r="V55" s="2023"/>
      <c r="W55" s="2023"/>
      <c r="X55" s="2023"/>
      <c r="Y55" s="2023"/>
      <c r="Z55" s="2023"/>
      <c r="AA55" s="2023"/>
      <c r="AB55" s="2023"/>
      <c r="AC55" s="2023"/>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3"/>
      <c r="O56" s="2043"/>
      <c r="P56" s="2042"/>
      <c r="Q56" s="2035"/>
      <c r="R56" s="2023"/>
      <c r="S56" s="2023"/>
      <c r="T56" s="2023"/>
      <c r="U56" s="2023"/>
      <c r="V56" s="2023"/>
      <c r="W56" s="2023"/>
      <c r="X56" s="2023"/>
      <c r="Y56" s="2023"/>
      <c r="Z56" s="2023"/>
      <c r="AA56" s="2023"/>
      <c r="AB56" s="2023"/>
      <c r="AC56" s="2023"/>
    </row>
    <row r="57" spans="1:29" ht="15.75" thickTop="1">
      <c r="A57" s="659"/>
      <c r="B57" s="922">
        <f>B11</f>
        <v>111</v>
      </c>
      <c r="C57" s="533"/>
      <c r="D57" s="533"/>
      <c r="E57" s="533"/>
      <c r="F57" s="533"/>
      <c r="G57" s="533"/>
      <c r="H57" s="533"/>
      <c r="I57" s="533"/>
      <c r="J57" s="533"/>
      <c r="K57" s="674"/>
      <c r="L57" s="675"/>
      <c r="M57" s="676"/>
      <c r="N57" s="2041"/>
      <c r="O57" s="2041"/>
      <c r="P57" s="2042"/>
      <c r="Q57" s="2035"/>
      <c r="R57" s="2023"/>
      <c r="S57" s="2023"/>
      <c r="T57" s="2023"/>
      <c r="U57" s="2023"/>
      <c r="V57" s="2023"/>
      <c r="W57" s="2023"/>
      <c r="X57" s="2023"/>
      <c r="Y57" s="2023"/>
      <c r="Z57" s="2023"/>
      <c r="AA57" s="2023"/>
      <c r="AB57" s="2023"/>
      <c r="AC57" s="2023"/>
    </row>
    <row r="58" spans="1:29" ht="15.75" thickBot="1">
      <c r="A58" s="659"/>
      <c r="B58" s="660"/>
      <c r="C58" s="682"/>
      <c r="D58" s="661"/>
      <c r="E58" s="661"/>
      <c r="F58" s="661"/>
      <c r="G58" s="661"/>
      <c r="H58" s="661"/>
      <c r="I58" s="661"/>
      <c r="J58" s="661"/>
      <c r="K58" s="661"/>
      <c r="L58" s="661"/>
      <c r="M58" s="662"/>
      <c r="N58" s="2043"/>
      <c r="O58" s="2043"/>
      <c r="P58" s="2042"/>
      <c r="Q58" s="2035"/>
      <c r="R58" s="2023"/>
      <c r="S58" s="2023"/>
      <c r="T58" s="2023"/>
      <c r="U58" s="2023"/>
      <c r="V58" s="2023"/>
      <c r="W58" s="2023"/>
      <c r="X58" s="2023"/>
      <c r="Y58" s="2023"/>
      <c r="Z58" s="2023"/>
      <c r="AA58" s="2023"/>
      <c r="AB58" s="2023"/>
      <c r="AC58" s="2023"/>
    </row>
    <row r="59" spans="1:29" s="1291" customFormat="1" ht="15.75" thickTop="1">
      <c r="A59" s="677"/>
      <c r="B59" s="663">
        <f>B12</f>
        <v>111</v>
      </c>
      <c r="C59" s="533"/>
      <c r="D59" s="533"/>
      <c r="E59" s="533"/>
      <c r="F59" s="533"/>
      <c r="G59" s="678"/>
      <c r="H59" s="679"/>
      <c r="I59" s="679"/>
      <c r="J59" s="679"/>
      <c r="K59" s="679"/>
      <c r="L59" s="680"/>
      <c r="M59" s="681"/>
      <c r="N59" s="2044"/>
      <c r="O59" s="2044"/>
      <c r="P59" s="2045"/>
      <c r="Q59" s="2046"/>
      <c r="R59" s="2047"/>
      <c r="S59" s="2047"/>
      <c r="T59" s="2047"/>
      <c r="U59" s="2047"/>
      <c r="V59" s="2047"/>
      <c r="W59" s="2047"/>
      <c r="X59" s="2047"/>
      <c r="Y59" s="2047"/>
      <c r="Z59" s="2047"/>
      <c r="AA59" s="2047"/>
      <c r="AB59" s="2047"/>
      <c r="AC59" s="2047"/>
    </row>
    <row r="60" spans="1:29" s="1291" customFormat="1" ht="15.75" thickBot="1">
      <c r="A60" s="677"/>
      <c r="B60" s="668"/>
      <c r="C60" s="682"/>
      <c r="D60" s="661"/>
      <c r="E60" s="661"/>
      <c r="F60" s="661"/>
      <c r="G60" s="661"/>
      <c r="H60" s="661"/>
      <c r="I60" s="661"/>
      <c r="J60" s="661"/>
      <c r="K60" s="661"/>
      <c r="L60" s="661"/>
      <c r="M60" s="662"/>
      <c r="N60" s="2043"/>
      <c r="O60" s="2043"/>
      <c r="P60" s="2045"/>
      <c r="Q60" s="2046"/>
      <c r="R60" s="2047"/>
      <c r="S60" s="2047"/>
      <c r="T60" s="2047"/>
      <c r="U60" s="2047"/>
      <c r="V60" s="2047"/>
      <c r="W60" s="2047"/>
      <c r="X60" s="2047"/>
      <c r="Y60" s="2047"/>
      <c r="Z60" s="2047"/>
      <c r="AA60" s="2047"/>
      <c r="AB60" s="2047"/>
      <c r="AC60" s="2047"/>
    </row>
    <row r="61" spans="1:29" s="1291" customFormat="1" ht="15.75" thickTop="1">
      <c r="A61" s="677"/>
      <c r="B61" s="663">
        <f>B13</f>
        <v>111</v>
      </c>
      <c r="C61" s="678"/>
      <c r="D61" s="678"/>
      <c r="E61" s="678"/>
      <c r="F61" s="678"/>
      <c r="G61" s="678"/>
      <c r="H61" s="679"/>
      <c r="I61" s="679"/>
      <c r="J61" s="679"/>
      <c r="K61" s="679"/>
      <c r="L61" s="680"/>
      <c r="M61" s="681"/>
      <c r="N61" s="2044"/>
      <c r="O61" s="2044"/>
      <c r="P61" s="2048"/>
      <c r="Q61" s="2049"/>
      <c r="R61" s="2047"/>
      <c r="S61" s="2047"/>
      <c r="T61" s="2047"/>
      <c r="U61" s="2047"/>
      <c r="V61" s="2047"/>
      <c r="W61" s="2047"/>
      <c r="X61" s="2047"/>
      <c r="Y61" s="2047"/>
      <c r="Z61" s="2047"/>
      <c r="AA61" s="2047"/>
      <c r="AB61" s="2047"/>
      <c r="AC61" s="2047"/>
    </row>
    <row r="62" spans="1:29" s="1291" customFormat="1" ht="15.75" thickBot="1">
      <c r="A62" s="677"/>
      <c r="B62" s="668"/>
      <c r="C62" s="682"/>
      <c r="D62" s="682"/>
      <c r="E62" s="682"/>
      <c r="F62" s="682"/>
      <c r="G62" s="682"/>
      <c r="H62" s="683"/>
      <c r="I62" s="683"/>
      <c r="J62" s="683"/>
      <c r="K62" s="683"/>
      <c r="L62" s="683"/>
      <c r="M62" s="684"/>
      <c r="N62" s="2044"/>
      <c r="O62" s="2044"/>
      <c r="P62" s="2045"/>
      <c r="Q62" s="2046"/>
      <c r="R62" s="2047"/>
      <c r="S62" s="2047"/>
      <c r="T62" s="2047"/>
      <c r="U62" s="2047"/>
      <c r="V62" s="2047"/>
      <c r="W62" s="2047"/>
      <c r="X62" s="2047"/>
      <c r="Y62" s="2047"/>
      <c r="Z62" s="2047"/>
      <c r="AA62" s="2047"/>
      <c r="AB62" s="2047"/>
      <c r="AC62" s="2047"/>
    </row>
    <row r="63" spans="1:29" ht="15" thickTop="1">
      <c r="A63" s="654" t="s">
        <v>533</v>
      </c>
      <c r="B63" s="655" t="s">
        <v>580</v>
      </c>
      <c r="C63" s="693" t="s">
        <v>573</v>
      </c>
      <c r="D63" s="693" t="s">
        <v>574</v>
      </c>
      <c r="E63" s="693" t="s">
        <v>575</v>
      </c>
      <c r="F63" s="693" t="s">
        <v>576</v>
      </c>
      <c r="G63" s="693" t="s">
        <v>577</v>
      </c>
      <c r="H63" s="694"/>
      <c r="I63" s="694"/>
      <c r="J63" s="694"/>
      <c r="K63" s="695"/>
      <c r="L63" s="696"/>
      <c r="M63" s="697"/>
      <c r="N63" s="2041"/>
      <c r="O63" s="2041"/>
      <c r="P63" s="2051"/>
      <c r="Q63" s="2035"/>
      <c r="R63" s="2023"/>
      <c r="S63" s="2023"/>
      <c r="T63" s="2023"/>
      <c r="U63" s="2023"/>
      <c r="V63" s="2023"/>
      <c r="W63" s="2023"/>
      <c r="X63" s="2023"/>
      <c r="Y63" s="2023"/>
      <c r="Z63" s="2023"/>
      <c r="AA63" s="2023"/>
      <c r="AB63" s="2023"/>
      <c r="AC63" s="2023"/>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3"/>
      <c r="O64" s="2043"/>
      <c r="P64" s="2042"/>
      <c r="Q64" s="2035"/>
      <c r="R64" s="2023"/>
      <c r="S64" s="2023"/>
      <c r="T64" s="2023"/>
      <c r="U64" s="2023"/>
      <c r="V64" s="2023"/>
      <c r="W64" s="2023"/>
      <c r="X64" s="2023"/>
      <c r="Y64" s="2023"/>
      <c r="Z64" s="2023"/>
      <c r="AA64" s="2023"/>
      <c r="AB64" s="2023"/>
      <c r="AC64" s="2023"/>
    </row>
    <row r="65" spans="1:29" ht="15.75" thickTop="1">
      <c r="A65" s="659"/>
      <c r="B65" s="1806" t="s">
        <v>2538</v>
      </c>
      <c r="C65" s="698" t="s">
        <v>573</v>
      </c>
      <c r="D65" s="698" t="s">
        <v>574</v>
      </c>
      <c r="E65" s="698" t="s">
        <v>575</v>
      </c>
      <c r="F65" s="698" t="s">
        <v>576</v>
      </c>
      <c r="G65" s="698" t="s">
        <v>577</v>
      </c>
      <c r="H65" s="664"/>
      <c r="I65" s="664"/>
      <c r="J65" s="664"/>
      <c r="K65" s="665"/>
      <c r="L65" s="666"/>
      <c r="M65" s="667"/>
      <c r="N65" s="2041"/>
      <c r="O65" s="2041"/>
      <c r="P65" s="2042"/>
      <c r="Q65" s="2035"/>
      <c r="R65" s="2023"/>
      <c r="S65" s="2023"/>
      <c r="T65" s="2023"/>
      <c r="U65" s="2023"/>
      <c r="V65" s="2023"/>
      <c r="W65" s="2023"/>
      <c r="X65" s="2023"/>
      <c r="Y65" s="2023"/>
      <c r="Z65" s="2023"/>
      <c r="AA65" s="2023"/>
      <c r="AB65" s="2023"/>
      <c r="AC65" s="2023"/>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3"/>
      <c r="O66" s="2043"/>
      <c r="P66" s="2042"/>
      <c r="Q66" s="2035"/>
      <c r="R66" s="2023"/>
      <c r="S66" s="2023"/>
      <c r="T66" s="2023"/>
      <c r="U66" s="2023"/>
      <c r="V66" s="2023"/>
      <c r="W66" s="2023"/>
      <c r="X66" s="2023"/>
      <c r="Y66" s="2023"/>
      <c r="Z66" s="2023"/>
      <c r="AA66" s="2023"/>
      <c r="AB66" s="2023"/>
      <c r="AC66" s="2023"/>
    </row>
    <row r="67" spans="1:29" ht="15.75" thickTop="1">
      <c r="A67" s="659"/>
      <c r="B67" s="2437" t="s">
        <v>2539</v>
      </c>
      <c r="C67" s="2438" t="s">
        <v>2540</v>
      </c>
      <c r="D67" s="2438" t="s">
        <v>2541</v>
      </c>
      <c r="E67" s="2438" t="s">
        <v>2542</v>
      </c>
      <c r="F67" s="2438" t="s">
        <v>2543</v>
      </c>
      <c r="G67" s="2438" t="s">
        <v>2544</v>
      </c>
      <c r="H67" s="664"/>
      <c r="I67" s="664"/>
      <c r="J67" s="664"/>
      <c r="K67" s="664"/>
      <c r="L67" s="664"/>
      <c r="M67" s="2441"/>
      <c r="N67" s="2043"/>
      <c r="O67" s="2043"/>
      <c r="P67" s="2042"/>
      <c r="Q67" s="2035"/>
      <c r="R67" s="2023"/>
      <c r="S67" s="2023"/>
      <c r="T67" s="2023"/>
      <c r="U67" s="2023"/>
      <c r="V67" s="2023"/>
      <c r="W67" s="2023"/>
      <c r="X67" s="2023"/>
      <c r="Y67" s="2023"/>
      <c r="Z67" s="2023"/>
      <c r="AA67" s="2023"/>
      <c r="AB67" s="2023"/>
      <c r="AC67" s="2023"/>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3"/>
      <c r="O68" s="2043"/>
      <c r="P68" s="2042"/>
      <c r="Q68" s="2035"/>
      <c r="R68" s="2023"/>
      <c r="S68" s="2023"/>
      <c r="T68" s="2023"/>
      <c r="U68" s="2023"/>
      <c r="V68" s="2023"/>
      <c r="W68" s="2023"/>
      <c r="X68" s="2023"/>
      <c r="Y68" s="2023"/>
      <c r="Z68" s="2023"/>
      <c r="AA68" s="2023"/>
      <c r="AB68" s="2023"/>
      <c r="AC68" s="2023"/>
    </row>
    <row r="69" spans="1:29" ht="15.75" thickTop="1">
      <c r="A69" s="659"/>
      <c r="B69" s="663" t="s">
        <v>738</v>
      </c>
      <c r="C69" s="698" t="s">
        <v>573</v>
      </c>
      <c r="D69" s="698" t="s">
        <v>574</v>
      </c>
      <c r="E69" s="698" t="s">
        <v>575</v>
      </c>
      <c r="F69" s="698" t="s">
        <v>576</v>
      </c>
      <c r="G69" s="698" t="s">
        <v>577</v>
      </c>
      <c r="H69" s="664"/>
      <c r="I69" s="664"/>
      <c r="J69" s="664"/>
      <c r="K69" s="665"/>
      <c r="L69" s="666"/>
      <c r="M69" s="667"/>
      <c r="N69" s="2041"/>
      <c r="O69" s="2041"/>
      <c r="P69" s="2042"/>
      <c r="Q69" s="2035"/>
      <c r="R69" s="2023"/>
      <c r="S69" s="2023"/>
      <c r="T69" s="2023"/>
      <c r="U69" s="2023"/>
      <c r="V69" s="2023"/>
      <c r="W69" s="2023"/>
      <c r="X69" s="2023"/>
      <c r="Y69" s="2023"/>
      <c r="Z69" s="2023"/>
      <c r="AA69" s="2023"/>
      <c r="AB69" s="2023"/>
      <c r="AC69" s="2023"/>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3"/>
      <c r="O70" s="2043"/>
      <c r="P70" s="2042"/>
      <c r="Q70" s="2035"/>
      <c r="R70" s="2023"/>
      <c r="S70" s="2023"/>
      <c r="T70" s="2023"/>
      <c r="U70" s="2023"/>
      <c r="V70" s="2023"/>
      <c r="W70" s="2023"/>
      <c r="X70" s="2023"/>
      <c r="Y70" s="2023"/>
      <c r="Z70" s="2023"/>
      <c r="AA70" s="2023"/>
      <c r="AB70" s="2023"/>
      <c r="AC70" s="2023"/>
    </row>
    <row r="71" spans="1:29" ht="15.75" thickTop="1">
      <c r="A71" s="659"/>
      <c r="B71" s="663" t="s">
        <v>739</v>
      </c>
      <c r="C71" s="678"/>
      <c r="D71" s="678"/>
      <c r="E71" s="678"/>
      <c r="F71" s="678"/>
      <c r="G71" s="678"/>
      <c r="H71" s="708"/>
      <c r="I71" s="708"/>
      <c r="J71" s="708"/>
      <c r="K71" s="709"/>
      <c r="L71" s="710"/>
      <c r="M71" s="711"/>
      <c r="N71" s="2041"/>
      <c r="O71" s="2041"/>
      <c r="P71" s="2042"/>
      <c r="Q71" s="2035"/>
      <c r="R71" s="2023"/>
      <c r="S71" s="2023"/>
      <c r="T71" s="2023"/>
      <c r="U71" s="2023"/>
      <c r="V71" s="2023"/>
      <c r="W71" s="2023"/>
      <c r="X71" s="2023"/>
      <c r="Y71" s="2023"/>
      <c r="Z71" s="2023"/>
      <c r="AA71" s="2023"/>
      <c r="AB71" s="2023"/>
      <c r="AC71" s="2023"/>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3"/>
      <c r="O72" s="2043"/>
      <c r="P72" s="2042"/>
      <c r="Q72" s="2035"/>
      <c r="R72" s="2023"/>
      <c r="S72" s="2023"/>
      <c r="T72" s="2023"/>
      <c r="U72" s="2023"/>
      <c r="V72" s="2023"/>
      <c r="W72" s="2023"/>
      <c r="X72" s="2023"/>
      <c r="Y72" s="2023"/>
      <c r="Z72" s="2023"/>
      <c r="AA72" s="2023"/>
      <c r="AB72" s="2023"/>
      <c r="AC72" s="2023"/>
    </row>
    <row r="73" spans="1:29" s="1201" customFormat="1" ht="15.75" thickTop="1">
      <c r="A73" s="699"/>
      <c r="B73" s="663">
        <f>B23</f>
        <v>111</v>
      </c>
      <c r="C73" s="533"/>
      <c r="D73" s="533"/>
      <c r="E73" s="533"/>
      <c r="F73" s="533"/>
      <c r="G73" s="678"/>
      <c r="H73" s="678"/>
      <c r="I73" s="678"/>
      <c r="J73" s="678"/>
      <c r="K73" s="678"/>
      <c r="L73" s="877"/>
      <c r="M73" s="878"/>
      <c r="N73" s="2039"/>
      <c r="O73" s="2039"/>
      <c r="P73" s="2042"/>
      <c r="Q73" s="2035"/>
      <c r="R73" s="1901"/>
      <c r="S73" s="1901"/>
      <c r="T73" s="1901"/>
      <c r="U73" s="1901"/>
      <c r="V73" s="1901"/>
      <c r="W73" s="1901"/>
      <c r="X73" s="1901"/>
      <c r="Y73" s="1901"/>
      <c r="Z73" s="1901"/>
      <c r="AA73" s="1901"/>
      <c r="AB73" s="1901"/>
      <c r="AC73" s="1901"/>
    </row>
    <row r="74" spans="1:29" s="1201" customFormat="1" ht="15.75" thickBot="1">
      <c r="A74" s="699"/>
      <c r="B74" s="668"/>
      <c r="C74" s="682"/>
      <c r="D74" s="661"/>
      <c r="E74" s="661"/>
      <c r="F74" s="661"/>
      <c r="G74" s="661"/>
      <c r="H74" s="661"/>
      <c r="I74" s="661"/>
      <c r="J74" s="661"/>
      <c r="K74" s="661"/>
      <c r="L74" s="661"/>
      <c r="M74" s="662"/>
      <c r="N74" s="2043"/>
      <c r="O74" s="2043"/>
      <c r="P74" s="2042"/>
      <c r="Q74" s="2035"/>
      <c r="R74" s="1901"/>
      <c r="S74" s="1901"/>
      <c r="T74" s="1901"/>
      <c r="U74" s="1901"/>
      <c r="V74" s="1901"/>
      <c r="W74" s="1901"/>
      <c r="X74" s="1901"/>
      <c r="Y74" s="1901"/>
      <c r="Z74" s="1901"/>
      <c r="AA74" s="1901"/>
      <c r="AB74" s="1901"/>
      <c r="AC74" s="1901"/>
    </row>
    <row r="75" spans="1:29" s="1201" customFormat="1" ht="15.75" thickTop="1">
      <c r="A75" s="699"/>
      <c r="B75" s="663">
        <f>B24</f>
        <v>111</v>
      </c>
      <c r="C75" s="533"/>
      <c r="D75" s="533"/>
      <c r="E75" s="533"/>
      <c r="F75" s="533"/>
      <c r="G75" s="678"/>
      <c r="H75" s="678"/>
      <c r="I75" s="678"/>
      <c r="J75" s="678"/>
      <c r="K75" s="678"/>
      <c r="L75" s="678"/>
      <c r="M75" s="878"/>
      <c r="N75" s="2039"/>
      <c r="O75" s="2039"/>
      <c r="P75" s="2042"/>
      <c r="Q75" s="2035"/>
      <c r="R75" s="1901"/>
      <c r="S75" s="1901"/>
      <c r="T75" s="1901"/>
      <c r="U75" s="1901"/>
      <c r="V75" s="1901"/>
      <c r="W75" s="1901"/>
      <c r="X75" s="1901"/>
      <c r="Y75" s="1901"/>
      <c r="Z75" s="1901"/>
      <c r="AA75" s="1901"/>
      <c r="AB75" s="1901"/>
      <c r="AC75" s="1901"/>
    </row>
    <row r="76" spans="1:29" s="1201" customFormat="1" ht="15.75" thickBot="1">
      <c r="A76" s="699"/>
      <c r="B76" s="668"/>
      <c r="C76" s="682"/>
      <c r="D76" s="661"/>
      <c r="E76" s="661"/>
      <c r="F76" s="661"/>
      <c r="G76" s="661"/>
      <c r="H76" s="661"/>
      <c r="I76" s="661"/>
      <c r="J76" s="661"/>
      <c r="K76" s="661"/>
      <c r="L76" s="661"/>
      <c r="M76" s="662"/>
      <c r="N76" s="2043"/>
      <c r="O76" s="2043"/>
      <c r="P76" s="2042"/>
      <c r="Q76" s="2035"/>
      <c r="R76" s="1901"/>
      <c r="S76" s="1901"/>
      <c r="T76" s="1901"/>
      <c r="U76" s="1901"/>
      <c r="V76" s="1901"/>
      <c r="W76" s="1901"/>
      <c r="X76" s="1901"/>
      <c r="Y76" s="1901"/>
      <c r="Z76" s="1901"/>
      <c r="AA76" s="1901"/>
      <c r="AB76" s="1901"/>
      <c r="AC76" s="1901"/>
    </row>
    <row r="77" spans="1:29" s="1291" customFormat="1" ht="15.75" thickTop="1">
      <c r="A77" s="677"/>
      <c r="B77" s="663">
        <f>B25</f>
        <v>111</v>
      </c>
      <c r="C77" s="678"/>
      <c r="D77" s="678"/>
      <c r="E77" s="678"/>
      <c r="F77" s="678"/>
      <c r="G77" s="678"/>
      <c r="H77" s="679"/>
      <c r="I77" s="679"/>
      <c r="J77" s="679"/>
      <c r="K77" s="679"/>
      <c r="L77" s="680"/>
      <c r="M77" s="681"/>
      <c r="N77" s="2044"/>
      <c r="O77" s="2044"/>
      <c r="P77" s="2045"/>
      <c r="Q77" s="2046"/>
      <c r="R77" s="2047"/>
      <c r="S77" s="2047"/>
      <c r="T77" s="2047"/>
      <c r="U77" s="2047"/>
      <c r="V77" s="2047"/>
      <c r="W77" s="2047"/>
      <c r="X77" s="2047"/>
      <c r="Y77" s="2047"/>
      <c r="Z77" s="2047"/>
      <c r="AA77" s="2047"/>
      <c r="AB77" s="2047"/>
      <c r="AC77" s="2047"/>
    </row>
    <row r="78" spans="1:29" s="1291" customFormat="1" ht="15.75" thickBot="1">
      <c r="A78" s="677"/>
      <c r="B78" s="668"/>
      <c r="C78" s="682"/>
      <c r="D78" s="682"/>
      <c r="E78" s="682"/>
      <c r="F78" s="682"/>
      <c r="G78" s="661"/>
      <c r="H78" s="661"/>
      <c r="I78" s="661"/>
      <c r="J78" s="661"/>
      <c r="K78" s="661"/>
      <c r="L78" s="661"/>
      <c r="M78" s="662"/>
      <c r="N78" s="2044"/>
      <c r="O78" s="2044"/>
      <c r="P78" s="2045"/>
      <c r="Q78" s="2046"/>
      <c r="R78" s="2047"/>
      <c r="S78" s="2047"/>
      <c r="T78" s="2047"/>
      <c r="U78" s="2047"/>
      <c r="V78" s="2047"/>
      <c r="W78" s="2047"/>
      <c r="X78" s="2047"/>
      <c r="Y78" s="2047"/>
      <c r="Z78" s="2047"/>
      <c r="AA78" s="2047"/>
      <c r="AB78" s="2047"/>
      <c r="AC78" s="2047"/>
    </row>
    <row r="79" spans="1:29" ht="27.75" thickTop="1">
      <c r="A79" s="654" t="s">
        <v>545</v>
      </c>
      <c r="B79" s="655" t="s">
        <v>808</v>
      </c>
      <c r="C79" s="694">
        <f>C26</f>
        <v>0</v>
      </c>
      <c r="D79" s="590"/>
      <c r="E79" s="590"/>
      <c r="F79" s="590"/>
      <c r="G79" s="590"/>
      <c r="H79" s="590"/>
      <c r="I79" s="590"/>
      <c r="J79" s="590"/>
      <c r="K79" s="656"/>
      <c r="L79" s="657"/>
      <c r="M79" s="658"/>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9"/>
      <c r="B81" s="663" t="s">
        <v>809</v>
      </c>
      <c r="C81" s="923"/>
      <c r="D81" s="923"/>
      <c r="E81" s="923"/>
      <c r="F81" s="923"/>
      <c r="G81" s="923"/>
      <c r="H81" s="923"/>
      <c r="I81" s="923"/>
      <c r="J81" s="923"/>
      <c r="K81" s="924"/>
      <c r="L81" s="925"/>
      <c r="M81" s="926"/>
      <c r="N81" s="2039"/>
      <c r="O81" s="2039"/>
      <c r="P81" s="2042"/>
      <c r="Q81" s="2035"/>
      <c r="R81" s="2023"/>
      <c r="S81" s="2023"/>
      <c r="T81" s="2023"/>
      <c r="U81" s="2023"/>
      <c r="V81" s="2023"/>
      <c r="W81" s="2023"/>
      <c r="X81" s="2023"/>
      <c r="Y81" s="2023"/>
      <c r="Z81" s="2023"/>
      <c r="AA81" s="2023"/>
      <c r="AB81" s="2023"/>
      <c r="AC81" s="2023"/>
    </row>
    <row r="82" spans="1:29" s="1291" customFormat="1" ht="15.75" thickBot="1">
      <c r="A82" s="677"/>
      <c r="B82" s="668"/>
      <c r="C82" s="682"/>
      <c r="D82" s="661"/>
      <c r="E82" s="661"/>
      <c r="F82" s="661"/>
      <c r="G82" s="661"/>
      <c r="H82" s="661"/>
      <c r="I82" s="661"/>
      <c r="J82" s="661"/>
      <c r="K82" s="661"/>
      <c r="L82" s="661"/>
      <c r="M82" s="662"/>
      <c r="N82" s="2043"/>
      <c r="O82" s="2043"/>
      <c r="P82" s="2045"/>
      <c r="Q82" s="2046"/>
      <c r="R82" s="2047"/>
      <c r="S82" s="2047"/>
      <c r="T82" s="2047"/>
      <c r="U82" s="2047"/>
      <c r="V82" s="2047"/>
      <c r="W82" s="2047"/>
      <c r="X82" s="2047"/>
      <c r="Y82" s="2047"/>
      <c r="Z82" s="2047"/>
      <c r="AA82" s="2047"/>
      <c r="AB82" s="2047"/>
      <c r="AC82" s="2047"/>
    </row>
    <row r="83" spans="1:29" ht="15" thickTop="1">
      <c r="A83" s="725"/>
      <c r="B83" s="663" t="s">
        <v>745</v>
      </c>
      <c r="C83" s="678"/>
      <c r="D83" s="678"/>
      <c r="E83" s="708"/>
      <c r="F83" s="708"/>
      <c r="G83" s="708"/>
      <c r="H83" s="708"/>
      <c r="I83" s="708"/>
      <c r="J83" s="708"/>
      <c r="K83" s="709"/>
      <c r="L83" s="710"/>
      <c r="M83" s="711"/>
      <c r="N83" s="2041"/>
      <c r="O83" s="2041"/>
      <c r="P83" s="2042"/>
      <c r="Q83" s="2035"/>
      <c r="R83" s="2023"/>
      <c r="S83" s="2023"/>
      <c r="T83" s="2023"/>
      <c r="U83" s="2023"/>
      <c r="V83" s="2023"/>
      <c r="W83" s="2023"/>
      <c r="X83" s="2023"/>
      <c r="Y83" s="2023"/>
      <c r="Z83" s="2023"/>
      <c r="AA83" s="2023"/>
      <c r="AB83" s="2023"/>
      <c r="AC83" s="2023"/>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5"/>
      <c r="B85" s="663" t="s">
        <v>810</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1"/>
      <c r="O85" s="2041"/>
      <c r="P85" s="2042"/>
      <c r="Q85" s="2035"/>
      <c r="R85" s="2023"/>
      <c r="S85" s="2023"/>
      <c r="T85" s="2023"/>
      <c r="U85" s="2023"/>
      <c r="V85" s="2023"/>
      <c r="W85" s="2023"/>
      <c r="X85" s="2023"/>
      <c r="Y85" s="2023"/>
      <c r="Z85" s="2023"/>
      <c r="AA85" s="2023"/>
      <c r="AB85" s="2023"/>
      <c r="AC85" s="2023"/>
    </row>
    <row r="86" spans="1:29">
      <c r="A86" s="725"/>
      <c r="B86" s="671"/>
      <c r="C86" s="881">
        <v>0.5</v>
      </c>
      <c r="D86" s="881">
        <v>0.6</v>
      </c>
      <c r="E86" s="881">
        <v>0.7</v>
      </c>
      <c r="F86" s="881">
        <v>0.8</v>
      </c>
      <c r="G86" s="881">
        <v>0.9</v>
      </c>
      <c r="H86" s="881">
        <v>1.0001</v>
      </c>
      <c r="I86" s="892"/>
      <c r="J86" s="892"/>
      <c r="K86" s="893"/>
      <c r="L86" s="894"/>
      <c r="M86" s="895"/>
      <c r="N86" s="2041"/>
      <c r="O86" s="2041"/>
      <c r="P86" s="2042"/>
      <c r="Q86" s="2035"/>
      <c r="R86" s="2023"/>
      <c r="S86" s="2023"/>
      <c r="T86" s="2023"/>
      <c r="U86" s="2023"/>
      <c r="V86" s="2023"/>
      <c r="W86" s="2023"/>
      <c r="X86" s="2023"/>
      <c r="Y86" s="2023"/>
      <c r="Z86" s="2023"/>
      <c r="AA86" s="2023"/>
      <c r="AB86" s="2023"/>
      <c r="AC86" s="2023"/>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5"/>
      <c r="B88" s="671" t="s">
        <v>811</v>
      </c>
      <c r="C88" s="590"/>
      <c r="D88" s="590"/>
      <c r="E88" s="590"/>
      <c r="F88" s="590"/>
      <c r="G88" s="590"/>
      <c r="H88" s="590"/>
      <c r="I88" s="590"/>
      <c r="J88" s="590"/>
      <c r="K88" s="656"/>
      <c r="L88" s="657"/>
      <c r="M88" s="658"/>
      <c r="N88" s="2041"/>
      <c r="O88" s="2041"/>
      <c r="P88" s="2042"/>
      <c r="Q88" s="2035"/>
      <c r="R88" s="2023"/>
      <c r="S88" s="2023"/>
      <c r="T88" s="2023"/>
      <c r="U88" s="2023"/>
      <c r="V88" s="2023"/>
      <c r="W88" s="2023"/>
      <c r="X88" s="2023"/>
      <c r="Y88" s="2023"/>
      <c r="Z88" s="2023"/>
      <c r="AA88" s="2023"/>
      <c r="AB88" s="2023"/>
      <c r="AC88" s="2023"/>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3"/>
      <c r="O89" s="2043"/>
      <c r="P89" s="2042"/>
      <c r="Q89" s="2035"/>
      <c r="R89" s="2023"/>
      <c r="S89" s="2023"/>
      <c r="T89" s="2023"/>
      <c r="U89" s="2023"/>
      <c r="V89" s="2023"/>
      <c r="W89" s="2023"/>
      <c r="X89" s="2023"/>
      <c r="Y89" s="2023"/>
      <c r="Z89" s="2023"/>
      <c r="AA89" s="2023"/>
      <c r="AB89" s="2023"/>
      <c r="AC89" s="2023"/>
    </row>
    <row r="90" spans="1:29" s="1291" customFormat="1" ht="15" thickTop="1">
      <c r="A90" s="718"/>
      <c r="B90" s="663" t="s">
        <v>812</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4"/>
      <c r="O90" s="2044"/>
      <c r="P90" s="2045"/>
      <c r="Q90" s="2046"/>
      <c r="R90" s="2047"/>
      <c r="S90" s="2047"/>
      <c r="T90" s="2047"/>
      <c r="U90" s="2047"/>
      <c r="V90" s="2047"/>
      <c r="W90" s="2047"/>
      <c r="X90" s="2047"/>
      <c r="Y90" s="2047"/>
      <c r="Z90" s="2047"/>
      <c r="AA90" s="2047"/>
      <c r="AB90" s="2047"/>
      <c r="AC90" s="2047"/>
    </row>
    <row r="91" spans="1:29" s="1291" customFormat="1">
      <c r="A91" s="718"/>
      <c r="B91" s="671"/>
      <c r="C91" s="720"/>
      <c r="D91" s="720"/>
      <c r="E91" s="720"/>
      <c r="F91" s="720"/>
      <c r="G91" s="720"/>
      <c r="H91" s="720"/>
      <c r="I91" s="720"/>
      <c r="J91" s="721"/>
      <c r="K91" s="721"/>
      <c r="L91" s="722"/>
      <c r="M91" s="723"/>
      <c r="N91" s="2044"/>
      <c r="O91" s="2044"/>
      <c r="P91" s="2045"/>
      <c r="Q91" s="2046"/>
      <c r="R91" s="2047"/>
      <c r="S91" s="2047"/>
      <c r="T91" s="2047"/>
      <c r="U91" s="2047"/>
      <c r="V91" s="2047"/>
      <c r="W91" s="2047"/>
      <c r="X91" s="2047"/>
      <c r="Y91" s="2047"/>
      <c r="Z91" s="2047"/>
      <c r="AA91" s="2047"/>
      <c r="AB91" s="2047"/>
      <c r="AC91" s="2047"/>
    </row>
    <row r="92" spans="1:29" s="1291" customFormat="1" ht="15.75" thickBot="1">
      <c r="A92" s="677"/>
      <c r="B92" s="668"/>
      <c r="C92" s="682"/>
      <c r="D92" s="661"/>
      <c r="E92" s="661"/>
      <c r="F92" s="661"/>
      <c r="G92" s="661"/>
      <c r="H92" s="661"/>
      <c r="I92" s="661"/>
      <c r="J92" s="661"/>
      <c r="K92" s="661"/>
      <c r="L92" s="661"/>
      <c r="M92" s="662"/>
      <c r="N92" s="2044"/>
      <c r="O92" s="2044"/>
      <c r="P92" s="2045"/>
      <c r="Q92" s="2046"/>
      <c r="R92" s="2047"/>
      <c r="S92" s="2047"/>
      <c r="T92" s="2047"/>
      <c r="U92" s="2047"/>
      <c r="V92" s="2047"/>
      <c r="W92" s="2047"/>
      <c r="X92" s="2047"/>
      <c r="Y92" s="2047"/>
      <c r="Z92" s="2047"/>
      <c r="AA92" s="2047"/>
      <c r="AB92" s="2047"/>
      <c r="AC92" s="2047"/>
    </row>
    <row r="93" spans="1:29" ht="15" thickTop="1">
      <c r="A93" s="725"/>
      <c r="B93" s="663" t="s">
        <v>813</v>
      </c>
      <c r="C93" s="678"/>
      <c r="D93" s="678"/>
      <c r="E93" s="708"/>
      <c r="F93" s="708"/>
      <c r="G93" s="708"/>
      <c r="H93" s="708"/>
      <c r="I93" s="708"/>
      <c r="J93" s="708"/>
      <c r="K93" s="709"/>
      <c r="L93" s="710"/>
      <c r="M93" s="711"/>
      <c r="N93" s="2041"/>
      <c r="O93" s="2041"/>
      <c r="P93" s="2042"/>
      <c r="Q93" s="2035"/>
      <c r="R93" s="2023"/>
      <c r="S93" s="2023"/>
      <c r="T93" s="2023"/>
      <c r="U93" s="2023"/>
      <c r="V93" s="2023"/>
      <c r="W93" s="2023"/>
      <c r="X93" s="2023"/>
      <c r="Y93" s="2023"/>
      <c r="Z93" s="2023"/>
      <c r="AA93" s="2023"/>
      <c r="AB93" s="2023"/>
      <c r="AC93" s="2023"/>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5"/>
      <c r="B95" s="663" t="s">
        <v>814</v>
      </c>
      <c r="C95" s="590"/>
      <c r="D95" s="590"/>
      <c r="E95" s="590"/>
      <c r="F95" s="590"/>
      <c r="G95" s="590"/>
      <c r="H95" s="590"/>
      <c r="I95" s="590"/>
      <c r="J95" s="590"/>
      <c r="K95" s="656"/>
      <c r="L95" s="657"/>
      <c r="M95" s="658"/>
      <c r="N95" s="2041"/>
      <c r="O95" s="2041"/>
      <c r="P95" s="2042"/>
      <c r="Q95" s="2035"/>
      <c r="R95" s="2023"/>
      <c r="S95" s="2023"/>
      <c r="T95" s="2023"/>
      <c r="U95" s="2023"/>
      <c r="V95" s="2023"/>
      <c r="W95" s="2023"/>
      <c r="X95" s="2023"/>
      <c r="Y95" s="2023"/>
      <c r="Z95" s="2023"/>
      <c r="AA95" s="2023"/>
      <c r="AB95" s="2023"/>
      <c r="AC95" s="2023"/>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3"/>
      <c r="O96" s="2043"/>
      <c r="P96" s="2042"/>
      <c r="Q96" s="2035"/>
      <c r="R96" s="2023"/>
      <c r="S96" s="2023"/>
      <c r="T96" s="2023"/>
      <c r="U96" s="2023"/>
      <c r="V96" s="2023"/>
      <c r="W96" s="2023"/>
      <c r="X96" s="2023"/>
      <c r="Y96" s="2023"/>
      <c r="Z96" s="2023"/>
      <c r="AA96" s="2023"/>
      <c r="AB96" s="2023"/>
      <c r="AC96" s="2023"/>
    </row>
    <row r="97" spans="1:29" ht="15" thickTop="1">
      <c r="A97" s="725"/>
      <c r="B97" s="904">
        <f>B34</f>
        <v>111</v>
      </c>
      <c r="C97" s="533"/>
      <c r="D97" s="533"/>
      <c r="E97" s="533"/>
      <c r="F97" s="533"/>
      <c r="G97" s="678"/>
      <c r="H97" s="679"/>
      <c r="I97" s="679"/>
      <c r="J97" s="679"/>
      <c r="K97" s="679"/>
      <c r="L97" s="680"/>
      <c r="M97" s="681"/>
      <c r="N97" s="2043"/>
      <c r="O97" s="2043"/>
      <c r="P97" s="2082"/>
      <c r="Q97" s="2083"/>
      <c r="R97" s="2023"/>
      <c r="S97" s="2023"/>
      <c r="T97" s="2023"/>
      <c r="U97" s="2023"/>
      <c r="V97" s="2023"/>
      <c r="W97" s="2023"/>
      <c r="X97" s="2023"/>
      <c r="Y97" s="2023"/>
      <c r="Z97" s="2023"/>
      <c r="AA97" s="2023"/>
      <c r="AB97" s="2023"/>
      <c r="AC97" s="2023"/>
    </row>
    <row r="98" spans="1:29" ht="15.75" thickBot="1">
      <c r="A98" s="659"/>
      <c r="B98" s="668"/>
      <c r="C98" s="682"/>
      <c r="D98" s="661"/>
      <c r="E98" s="661"/>
      <c r="F98" s="661"/>
      <c r="G98" s="682"/>
      <c r="H98" s="683"/>
      <c r="I98" s="683"/>
      <c r="J98" s="683"/>
      <c r="K98" s="683"/>
      <c r="L98" s="683"/>
      <c r="M98" s="684"/>
      <c r="N98" s="2043"/>
      <c r="O98" s="2043"/>
      <c r="P98" s="2042"/>
      <c r="Q98" s="2035"/>
      <c r="R98" s="2023"/>
      <c r="S98" s="2023"/>
      <c r="T98" s="2023"/>
      <c r="U98" s="2023"/>
      <c r="V98" s="2023"/>
      <c r="W98" s="2023"/>
      <c r="X98" s="2023"/>
      <c r="Y98" s="2023"/>
      <c r="Z98" s="2023"/>
      <c r="AA98" s="2023"/>
      <c r="AB98" s="2023"/>
      <c r="AC98" s="2023"/>
    </row>
    <row r="99" spans="1:29" s="1291" customFormat="1" ht="15" thickTop="1">
      <c r="A99" s="718"/>
      <c r="B99" s="663">
        <f>B35</f>
        <v>111</v>
      </c>
      <c r="C99" s="533"/>
      <c r="D99" s="533"/>
      <c r="E99" s="533"/>
      <c r="F99" s="533"/>
      <c r="G99" s="678"/>
      <c r="H99" s="679"/>
      <c r="I99" s="679"/>
      <c r="J99" s="679"/>
      <c r="K99" s="679"/>
      <c r="L99" s="680"/>
      <c r="M99" s="681"/>
      <c r="N99" s="2044"/>
      <c r="O99" s="2044"/>
      <c r="P99" s="2045"/>
      <c r="Q99" s="2046"/>
      <c r="R99" s="2047"/>
      <c r="S99" s="2047"/>
      <c r="T99" s="2047"/>
      <c r="U99" s="2047"/>
      <c r="V99" s="2047"/>
      <c r="W99" s="2047"/>
      <c r="X99" s="2047"/>
      <c r="Y99" s="2047"/>
      <c r="Z99" s="2047"/>
      <c r="AA99" s="2047"/>
      <c r="AB99" s="2047"/>
      <c r="AC99" s="2047"/>
    </row>
    <row r="100" spans="1:29" s="1291" customFormat="1" ht="15.75" thickBot="1">
      <c r="A100" s="677"/>
      <c r="B100" s="660"/>
      <c r="C100" s="682"/>
      <c r="D100" s="661"/>
      <c r="E100" s="661"/>
      <c r="F100" s="661"/>
      <c r="G100" s="682"/>
      <c r="H100" s="683"/>
      <c r="I100" s="683"/>
      <c r="J100" s="683"/>
      <c r="K100" s="683"/>
      <c r="L100" s="683"/>
      <c r="M100" s="684"/>
      <c r="N100" s="2044"/>
      <c r="O100" s="2044"/>
      <c r="P100" s="2045"/>
      <c r="Q100" s="2046"/>
      <c r="R100" s="2047"/>
      <c r="S100" s="2047"/>
      <c r="T100" s="2047"/>
      <c r="U100" s="2047"/>
      <c r="V100" s="2047"/>
      <c r="W100" s="2047"/>
      <c r="X100" s="2047"/>
      <c r="Y100" s="2047"/>
      <c r="Z100" s="2047"/>
      <c r="AA100" s="2047"/>
      <c r="AB100" s="2047"/>
      <c r="AC100" s="2047"/>
    </row>
    <row r="101" spans="1:29" ht="15" thickTop="1">
      <c r="A101" s="725"/>
      <c r="B101" s="663">
        <f>B36</f>
        <v>111</v>
      </c>
      <c r="C101" s="678"/>
      <c r="D101" s="678"/>
      <c r="E101" s="678"/>
      <c r="F101" s="678"/>
      <c r="G101" s="678"/>
      <c r="H101" s="679"/>
      <c r="I101" s="679"/>
      <c r="J101" s="679"/>
      <c r="K101" s="679"/>
      <c r="L101" s="680"/>
      <c r="M101" s="681"/>
      <c r="N101" s="2041"/>
      <c r="O101" s="2041"/>
      <c r="P101" s="2042"/>
      <c r="Q101" s="2035"/>
      <c r="R101" s="2023"/>
      <c r="S101" s="2023"/>
      <c r="T101" s="2023"/>
      <c r="U101" s="2023"/>
      <c r="V101" s="2023"/>
      <c r="W101" s="2023"/>
      <c r="X101" s="2023"/>
      <c r="Y101" s="2023"/>
      <c r="Z101" s="2023"/>
      <c r="AA101" s="2023"/>
      <c r="AB101" s="2023"/>
      <c r="AC101" s="2023"/>
    </row>
    <row r="102" spans="1:29" ht="15.75" thickBot="1">
      <c r="A102" s="659"/>
      <c r="B102" s="668"/>
      <c r="C102" s="682"/>
      <c r="D102" s="682"/>
      <c r="E102" s="682"/>
      <c r="F102" s="682"/>
      <c r="G102" s="682"/>
      <c r="H102" s="683"/>
      <c r="I102" s="683"/>
      <c r="J102" s="683"/>
      <c r="K102" s="683"/>
      <c r="L102" s="683"/>
      <c r="M102" s="684"/>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910"/>
      <c r="C1" s="496" t="s">
        <v>786</v>
      </c>
      <c r="D1" s="836"/>
      <c r="E1" s="498"/>
      <c r="F1" s="2520"/>
      <c r="G1" s="1528" t="s">
        <v>787</v>
      </c>
      <c r="H1" s="498"/>
      <c r="I1" s="498"/>
      <c r="J1" s="498"/>
      <c r="K1" s="49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788</v>
      </c>
      <c r="B2" s="837"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thickBot="1">
      <c r="A3" s="501" t="s">
        <v>789</v>
      </c>
      <c r="B3" s="502" t="e">
        <f>C37</f>
        <v>#DIV/0!</v>
      </c>
      <c r="C3" s="839" t="s">
        <v>790</v>
      </c>
      <c r="D3" s="838">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6"/>
      <c r="AC3" s="1940"/>
    </row>
    <row r="4" spans="1:29" ht="15">
      <c r="A4" s="504" t="s">
        <v>791</v>
      </c>
      <c r="B4" s="505"/>
      <c r="C4" s="3782" t="s">
        <v>792</v>
      </c>
      <c r="D4" s="3783"/>
      <c r="E4" s="3784" t="s">
        <v>793</v>
      </c>
      <c r="F4" s="3785"/>
      <c r="G4" s="3782" t="s">
        <v>794</v>
      </c>
      <c r="H4" s="3783"/>
      <c r="I4" s="3782" t="s">
        <v>795</v>
      </c>
      <c r="J4" s="3783"/>
      <c r="K4" s="506" t="s">
        <v>796</v>
      </c>
      <c r="L4" s="2011"/>
      <c r="M4" s="2012"/>
      <c r="N4" s="2012"/>
      <c r="O4" s="2012"/>
      <c r="P4" s="3786" t="s">
        <v>797</v>
      </c>
      <c r="Q4" s="3787"/>
      <c r="R4" s="3792" t="s">
        <v>793</v>
      </c>
      <c r="S4" s="3793"/>
      <c r="T4" s="3792" t="s">
        <v>794</v>
      </c>
      <c r="U4" s="3793"/>
      <c r="V4" s="3798" t="s">
        <v>795</v>
      </c>
      <c r="W4" s="3798"/>
      <c r="X4" s="1498"/>
      <c r="Y4" s="3792" t="s">
        <v>797</v>
      </c>
      <c r="Z4" s="3793"/>
      <c r="AA4" s="3779" t="s">
        <v>793</v>
      </c>
      <c r="AB4" s="3780" t="s">
        <v>794</v>
      </c>
      <c r="AC4" s="3779" t="s">
        <v>795</v>
      </c>
    </row>
    <row r="5" spans="1:29" ht="15">
      <c r="A5" s="507"/>
      <c r="B5" s="508"/>
      <c r="C5" s="3801" t="s">
        <v>2893</v>
      </c>
      <c r="D5" s="3802"/>
      <c r="E5" s="3812" t="s">
        <v>2894</v>
      </c>
      <c r="F5" s="3810"/>
      <c r="G5" s="3801" t="s">
        <v>2895</v>
      </c>
      <c r="H5" s="3802"/>
      <c r="I5" s="3801" t="s">
        <v>2896</v>
      </c>
      <c r="J5" s="3802"/>
      <c r="K5" s="506"/>
      <c r="L5" s="2011"/>
      <c r="M5" s="2012"/>
      <c r="N5" s="2012"/>
      <c r="O5" s="2012"/>
      <c r="P5" s="3788"/>
      <c r="Q5" s="3789"/>
      <c r="R5" s="3794"/>
      <c r="S5" s="3795"/>
      <c r="T5" s="3794"/>
      <c r="U5" s="3795"/>
      <c r="V5" s="3798"/>
      <c r="W5" s="3798"/>
      <c r="X5" s="1498"/>
      <c r="Y5" s="3794"/>
      <c r="Z5" s="3795"/>
      <c r="AA5" s="3780"/>
      <c r="AB5" s="3780"/>
      <c r="AC5" s="3780"/>
    </row>
    <row r="6" spans="1:29" ht="15.75" thickBot="1">
      <c r="A6" s="509"/>
      <c r="B6" s="510"/>
      <c r="C6" s="3806" t="s">
        <v>2897</v>
      </c>
      <c r="D6" s="3800"/>
      <c r="E6" s="3811" t="s">
        <v>2897</v>
      </c>
      <c r="F6" s="3808"/>
      <c r="G6" s="3806" t="s">
        <v>2897</v>
      </c>
      <c r="H6" s="3800"/>
      <c r="I6" s="3806" t="s">
        <v>2897</v>
      </c>
      <c r="J6" s="3800"/>
      <c r="K6" s="506" t="s">
        <v>522</v>
      </c>
      <c r="L6" s="2011"/>
      <c r="M6" s="2012"/>
      <c r="N6" s="2012"/>
      <c r="O6" s="2012"/>
      <c r="P6" s="3790"/>
      <c r="Q6" s="3791"/>
      <c r="R6" s="3794"/>
      <c r="S6" s="3795"/>
      <c r="T6" s="3796"/>
      <c r="U6" s="3797"/>
      <c r="V6" s="3798"/>
      <c r="W6" s="3798"/>
      <c r="X6" s="1498"/>
      <c r="Y6" s="3796"/>
      <c r="Z6" s="3797"/>
      <c r="AA6" s="3781"/>
      <c r="AB6" s="3781"/>
      <c r="AC6" s="3781"/>
    </row>
    <row r="7" spans="1:29" s="1201" customFormat="1" ht="15.75" thickBot="1">
      <c r="A7" s="2625"/>
      <c r="B7" s="2632" t="s">
        <v>523</v>
      </c>
      <c r="C7" s="511">
        <f>'数据-取费表'!B2</f>
        <v>44412</v>
      </c>
      <c r="D7" s="512">
        <v>100</v>
      </c>
      <c r="E7" s="513"/>
      <c r="F7" s="514">
        <f>SUMIF(46:46,YEAR(E7)&amp;"-"&amp;MONTH(E7),47:47)</f>
        <v>0</v>
      </c>
      <c r="G7" s="515"/>
      <c r="H7" s="512">
        <f>SUMIF(46:46,YEAR(G7)&amp;"-"&amp;MONTH(G7),47:47)</f>
        <v>0</v>
      </c>
      <c r="I7" s="515"/>
      <c r="J7" s="512">
        <f>SUMIF(46:46,YEAR(I7)&amp;"-"&amp;MONTH(I7),47:47)</f>
        <v>0</v>
      </c>
      <c r="K7" s="516"/>
      <c r="L7" s="2013"/>
      <c r="M7" s="2014"/>
      <c r="N7" s="2014"/>
      <c r="O7" s="2014"/>
      <c r="P7" s="3803" t="s">
        <v>524</v>
      </c>
      <c r="Q7" s="3805"/>
      <c r="R7" s="1499" t="s">
        <v>8</v>
      </c>
      <c r="S7" s="1500">
        <f t="shared" ref="S7:S14" si="0">F7</f>
        <v>0</v>
      </c>
      <c r="T7" s="1499" t="s">
        <v>8</v>
      </c>
      <c r="U7" s="1500">
        <f t="shared" ref="U7:U14" si="1">H7</f>
        <v>0</v>
      </c>
      <c r="V7" s="1499" t="s">
        <v>8</v>
      </c>
      <c r="W7" s="1500">
        <f t="shared" ref="W7:W14" si="2">J7</f>
        <v>0</v>
      </c>
      <c r="X7" s="1501"/>
      <c r="Y7" s="3803" t="s">
        <v>524</v>
      </c>
      <c r="Z7" s="3804"/>
      <c r="AA7" s="1502" t="e">
        <f>D7/F7</f>
        <v>#DIV/0!</v>
      </c>
      <c r="AB7" s="1502" t="e">
        <f>D7/H7</f>
        <v>#DIV/0!</v>
      </c>
      <c r="AC7" s="1502" t="e">
        <f>D7/J7</f>
        <v>#DIV/0!</v>
      </c>
    </row>
    <row r="8" spans="1:29" s="1201" customFormat="1" ht="15.75" thickBot="1">
      <c r="A8" s="2626"/>
      <c r="B8" s="2633" t="s">
        <v>525</v>
      </c>
      <c r="C8" s="517" t="s">
        <v>570</v>
      </c>
      <c r="D8" s="512">
        <v>100</v>
      </c>
      <c r="E8" s="517"/>
      <c r="F8" s="514">
        <f>SUMIF(49:49,E8,50:50)-SUMIF(49:49,C8,50:50)+100</f>
        <v>0</v>
      </c>
      <c r="G8" s="517"/>
      <c r="H8" s="512">
        <f>SUMIF(49:49,G8,50:50)-SUMIF(49:49,C8,50:50)+100</f>
        <v>0</v>
      </c>
      <c r="I8" s="517"/>
      <c r="J8" s="512">
        <f>SUMIF(49:49,I8,50:50)-SUMIF(49:49,C8,50:50)+100</f>
        <v>0</v>
      </c>
      <c r="K8" s="516"/>
      <c r="L8" s="2013"/>
      <c r="M8" s="2014"/>
      <c r="N8" s="2014"/>
      <c r="O8" s="2014"/>
      <c r="P8" s="3803" t="s">
        <v>527</v>
      </c>
      <c r="Q8" s="3804"/>
      <c r="R8" s="1499" t="s">
        <v>8</v>
      </c>
      <c r="S8" s="1500">
        <f t="shared" si="0"/>
        <v>0</v>
      </c>
      <c r="T8" s="1499" t="s">
        <v>8</v>
      </c>
      <c r="U8" s="1500">
        <f t="shared" si="1"/>
        <v>0</v>
      </c>
      <c r="V8" s="1499" t="s">
        <v>8</v>
      </c>
      <c r="W8" s="1500">
        <f t="shared" si="2"/>
        <v>0</v>
      </c>
      <c r="X8" s="1501"/>
      <c r="Y8" s="3803" t="s">
        <v>527</v>
      </c>
      <c r="Z8" s="3804"/>
      <c r="AA8" s="1502" t="e">
        <f t="shared" ref="AA8:AA34" si="3">D8/F8</f>
        <v>#DIV/0!</v>
      </c>
      <c r="AB8" s="1502" t="e">
        <f t="shared" ref="AB8:AB34" si="4">D8/H8</f>
        <v>#DIV/0!</v>
      </c>
      <c r="AC8" s="1502" t="e">
        <f t="shared" ref="AC8:AC34" si="5">D8/J8</f>
        <v>#DIV/0!</v>
      </c>
    </row>
    <row r="9" spans="1:29" s="1201" customFormat="1" ht="15">
      <c r="A9" s="2627"/>
      <c r="B9" s="2634" t="s">
        <v>2735</v>
      </c>
      <c r="C9" s="844"/>
      <c r="D9" s="250">
        <v>100</v>
      </c>
      <c r="E9" s="847"/>
      <c r="F9" s="250">
        <f>SUMIF(51:51,E9,52:52)-SUMIF(51:51,C9,52:52)+100</f>
        <v>100</v>
      </c>
      <c r="G9" s="847"/>
      <c r="H9" s="250">
        <f>SUMIF(51:51,G9,52:52)-SUMIF(51:51,C9,52:52)+100</f>
        <v>100</v>
      </c>
      <c r="I9" s="847"/>
      <c r="J9" s="250">
        <f>SUMIF(51:51,I9,52:52)-SUMIF(51:51,C9,52:52)+100</f>
        <v>100</v>
      </c>
      <c r="K9" s="516"/>
      <c r="L9" s="2013"/>
      <c r="M9" s="2014"/>
      <c r="N9" s="2014"/>
      <c r="O9" s="2015"/>
      <c r="P9" s="3772" t="s">
        <v>529</v>
      </c>
      <c r="Q9" s="1132" t="str">
        <f t="shared" ref="Q9:Q14" si="6">B9</f>
        <v>用途</v>
      </c>
      <c r="R9" s="1499" t="s">
        <v>8</v>
      </c>
      <c r="S9" s="1500">
        <f t="shared" si="0"/>
        <v>100</v>
      </c>
      <c r="T9" s="1499" t="s">
        <v>8</v>
      </c>
      <c r="U9" s="1500">
        <f t="shared" si="1"/>
        <v>100</v>
      </c>
      <c r="V9" s="1499" t="s">
        <v>8</v>
      </c>
      <c r="W9" s="1500">
        <f t="shared" si="2"/>
        <v>100</v>
      </c>
      <c r="X9" s="1501"/>
      <c r="Y9" s="3675" t="s">
        <v>530</v>
      </c>
      <c r="Z9" s="1131" t="str">
        <f t="shared" ref="Z9:Z14" si="7">Q9</f>
        <v>用途</v>
      </c>
      <c r="AA9" s="1502">
        <f t="shared" si="3"/>
        <v>1</v>
      </c>
      <c r="AB9" s="1502">
        <f t="shared" si="4"/>
        <v>1</v>
      </c>
      <c r="AC9" s="1502">
        <f t="shared" si="5"/>
        <v>1</v>
      </c>
    </row>
    <row r="10" spans="1:29" s="1290" customFormat="1" ht="27">
      <c r="A10" s="2628"/>
      <c r="B10" s="2633" t="s">
        <v>2736</v>
      </c>
      <c r="C10" s="848"/>
      <c r="D10" s="251">
        <v>100</v>
      </c>
      <c r="E10" s="848"/>
      <c r="F10" s="251">
        <f>SUMIF(53:53,E10,54:54)-SUMIF(53:53,C10,54:54)+100</f>
        <v>100</v>
      </c>
      <c r="G10" s="849"/>
      <c r="H10" s="251">
        <f>SUMIF(53:53,G10,54:54)-SUMIF(53:53,C10,54:54)+100</f>
        <v>100</v>
      </c>
      <c r="I10" s="848"/>
      <c r="J10" s="251">
        <f>SUMIF(53:53,I10,54:54)-SUMIF(53:53,C10,54:54)+100</f>
        <v>100</v>
      </c>
      <c r="K10" s="576"/>
      <c r="L10" s="2016"/>
      <c r="M10" s="2055"/>
      <c r="N10" s="2055"/>
      <c r="O10" s="2017"/>
      <c r="P10" s="3772"/>
      <c r="Q10" s="1132" t="str">
        <f t="shared" si="6"/>
        <v>土地使用年限（年）</v>
      </c>
      <c r="R10" s="1499" t="s">
        <v>8</v>
      </c>
      <c r="S10" s="1500">
        <f t="shared" si="0"/>
        <v>100</v>
      </c>
      <c r="T10" s="1499" t="s">
        <v>8</v>
      </c>
      <c r="U10" s="1500">
        <f t="shared" si="1"/>
        <v>100</v>
      </c>
      <c r="V10" s="1499" t="s">
        <v>8</v>
      </c>
      <c r="W10" s="1500">
        <f t="shared" si="2"/>
        <v>100</v>
      </c>
      <c r="X10" s="1501"/>
      <c r="Y10" s="3675"/>
      <c r="Z10" s="1131" t="str">
        <f t="shared" si="7"/>
        <v>土地使用年限（年）</v>
      </c>
      <c r="AA10" s="1502">
        <f t="shared" si="3"/>
        <v>1</v>
      </c>
      <c r="AB10" s="1502">
        <f t="shared" si="4"/>
        <v>1</v>
      </c>
      <c r="AC10" s="1502">
        <f t="shared" si="5"/>
        <v>1</v>
      </c>
    </row>
    <row r="11" spans="1:29" ht="15">
      <c r="A11" s="2630"/>
      <c r="B11" s="2636">
        <v>111</v>
      </c>
      <c r="C11" s="520"/>
      <c r="D11" s="251">
        <v>100</v>
      </c>
      <c r="E11" s="867"/>
      <c r="F11" s="251">
        <f>SUMIF(55:55,E11,56:56)-SUMIF(55:55,C11,56:56)+100</f>
        <v>100</v>
      </c>
      <c r="G11" s="867"/>
      <c r="H11" s="251">
        <f>SUMIF(55:55,G11,56:56)-SUMIF(55:55,C11,56:56)+100</f>
        <v>100</v>
      </c>
      <c r="I11" s="867"/>
      <c r="J11" s="251">
        <f>SUMIF(55:55,I11,56:56)-SUMIF(55:55,C11,56:56)+100</f>
        <v>100</v>
      </c>
      <c r="K11" s="573"/>
      <c r="L11" s="2018"/>
      <c r="M11" s="2012"/>
      <c r="N11" s="2012"/>
      <c r="O11" s="2019"/>
      <c r="P11" s="3772"/>
      <c r="Q11" s="1132">
        <f t="shared" si="6"/>
        <v>111</v>
      </c>
      <c r="R11" s="1499" t="s">
        <v>8</v>
      </c>
      <c r="S11" s="1500">
        <f t="shared" si="0"/>
        <v>100</v>
      </c>
      <c r="T11" s="1499" t="s">
        <v>8</v>
      </c>
      <c r="U11" s="1500">
        <f t="shared" si="1"/>
        <v>100</v>
      </c>
      <c r="V11" s="1499" t="s">
        <v>8</v>
      </c>
      <c r="W11" s="1500">
        <f t="shared" si="2"/>
        <v>100</v>
      </c>
      <c r="X11" s="1501"/>
      <c r="Y11" s="3675"/>
      <c r="Z11" s="1131">
        <f t="shared" si="7"/>
        <v>111</v>
      </c>
      <c r="AA11" s="1502">
        <f t="shared" si="3"/>
        <v>1</v>
      </c>
      <c r="AB11" s="1502">
        <f t="shared" si="4"/>
        <v>1</v>
      </c>
      <c r="AC11" s="1502">
        <f t="shared" si="5"/>
        <v>1</v>
      </c>
    </row>
    <row r="12" spans="1:29" s="1201" customFormat="1" ht="15">
      <c r="A12" s="2630"/>
      <c r="B12" s="2636">
        <v>111</v>
      </c>
      <c r="C12" s="520"/>
      <c r="D12" s="530">
        <v>100</v>
      </c>
      <c r="E12" s="867"/>
      <c r="F12" s="251">
        <f>SUMIF(57:57,E12,58:58)-SUMIF(57:57,C12,58:58)+100</f>
        <v>100</v>
      </c>
      <c r="G12" s="867"/>
      <c r="H12" s="251">
        <f>SUMIF(57:57,G12,58:58)-SUMIF(57:57,C12,58:58)+100</f>
        <v>100</v>
      </c>
      <c r="I12" s="867"/>
      <c r="J12" s="251">
        <f>SUMIF(57:57,I12,58:58)-SUMIF(57:57,C12,58:58)+100</f>
        <v>100</v>
      </c>
      <c r="K12" s="573"/>
      <c r="L12" s="2013"/>
      <c r="M12" s="2014"/>
      <c r="N12" s="2014"/>
      <c r="O12" s="2015"/>
      <c r="P12" s="3772"/>
      <c r="Q12" s="1132">
        <f t="shared" si="6"/>
        <v>111</v>
      </c>
      <c r="R12" s="1499" t="s">
        <v>8</v>
      </c>
      <c r="S12" s="1500">
        <f t="shared" si="0"/>
        <v>100</v>
      </c>
      <c r="T12" s="1499" t="s">
        <v>8</v>
      </c>
      <c r="U12" s="1500">
        <f t="shared" si="1"/>
        <v>100</v>
      </c>
      <c r="V12" s="1499" t="s">
        <v>8</v>
      </c>
      <c r="W12" s="1500">
        <f t="shared" si="2"/>
        <v>100</v>
      </c>
      <c r="X12" s="1501"/>
      <c r="Y12" s="3675"/>
      <c r="Z12" s="1131">
        <f t="shared" si="7"/>
        <v>111</v>
      </c>
      <c r="AA12" s="1502">
        <f>D12/F12</f>
        <v>1</v>
      </c>
      <c r="AB12" s="1502">
        <f>D12/H12</f>
        <v>1</v>
      </c>
      <c r="AC12" s="1502">
        <f>D12/J12</f>
        <v>1</v>
      </c>
    </row>
    <row r="13" spans="1:29" ht="15.75" thickBot="1">
      <c r="A13" s="2631"/>
      <c r="B13" s="2637">
        <v>111</v>
      </c>
      <c r="C13" s="531"/>
      <c r="D13" s="532">
        <v>100</v>
      </c>
      <c r="E13" s="867"/>
      <c r="F13" s="251">
        <f>SUMIF(59:59,E13,60:60)-SUMIF(59:59,C13,60:60)+100</f>
        <v>100</v>
      </c>
      <c r="G13" s="867"/>
      <c r="H13" s="532">
        <f>SUMIF(59:59,G13,60:60)-SUMIF(59:59,C13,60:60)+100</f>
        <v>100</v>
      </c>
      <c r="I13" s="867"/>
      <c r="J13" s="532">
        <f>SUMIF(59:59,I13,60:60)-SUMIF(59:59,C13,60:60)+100</f>
        <v>100</v>
      </c>
      <c r="K13" s="573"/>
      <c r="L13" s="2020"/>
      <c r="M13" s="2012"/>
      <c r="N13" s="2012"/>
      <c r="O13" s="2019"/>
      <c r="P13" s="3772"/>
      <c r="Q13" s="1132">
        <f t="shared" si="6"/>
        <v>111</v>
      </c>
      <c r="R13" s="1499" t="s">
        <v>8</v>
      </c>
      <c r="S13" s="1500">
        <f t="shared" si="0"/>
        <v>100</v>
      </c>
      <c r="T13" s="1499" t="s">
        <v>8</v>
      </c>
      <c r="U13" s="1500">
        <f t="shared" si="1"/>
        <v>100</v>
      </c>
      <c r="V13" s="1499" t="s">
        <v>8</v>
      </c>
      <c r="W13" s="1500">
        <f t="shared" si="2"/>
        <v>100</v>
      </c>
      <c r="X13" s="1501"/>
      <c r="Y13" s="3675"/>
      <c r="Z13" s="1131">
        <f t="shared" si="7"/>
        <v>111</v>
      </c>
      <c r="AA13" s="1502">
        <f t="shared" si="3"/>
        <v>1</v>
      </c>
      <c r="AB13" s="1502">
        <f t="shared" si="4"/>
        <v>1</v>
      </c>
      <c r="AC13" s="1502">
        <f t="shared" si="5"/>
        <v>1</v>
      </c>
    </row>
    <row r="14" spans="1:29" ht="171">
      <c r="A14" s="2623" t="s">
        <v>2733</v>
      </c>
      <c r="B14" s="162" t="s">
        <v>537</v>
      </c>
      <c r="C14" s="908" t="str">
        <f>IF(B1="工业",估价对象房地状况!G4,估价对象房地状况!C6)</f>
        <v>紧邻地铁16号线（西北旺站），周边有333路、384路、438路、570路、575路、623路、902路、908路、909路、快速直达专线152路、专143路等多条公交线路，交通便捷度好</v>
      </c>
      <c r="D14" s="541">
        <v>100</v>
      </c>
      <c r="E14" s="542"/>
      <c r="F14" s="543">
        <f>SUMIF(61:61,E15,62:62)-SUMIF(61:61,C15,62:62)+100</f>
        <v>100</v>
      </c>
      <c r="G14" s="544"/>
      <c r="H14" s="541">
        <f>SUMIF(61:61,G15,62:62)-SUMIF(61:61,C15,62:62)+100</f>
        <v>100</v>
      </c>
      <c r="I14" s="542"/>
      <c r="J14" s="541">
        <f>SUMIF(61:61,I15,62:62)-SUMIF(61:61,C15,62:62)+100</f>
        <v>100</v>
      </c>
      <c r="K14" s="885"/>
      <c r="L14" s="2020"/>
      <c r="M14" s="2012"/>
      <c r="N14" s="2012"/>
      <c r="O14" s="2019"/>
      <c r="P14" s="3774" t="s">
        <v>534</v>
      </c>
      <c r="Q14" s="1503" t="str">
        <f t="shared" si="6"/>
        <v>交通便捷度</v>
      </c>
      <c r="R14" s="1504" t="s">
        <v>8</v>
      </c>
      <c r="S14" s="1505">
        <f t="shared" si="0"/>
        <v>100</v>
      </c>
      <c r="T14" s="1504" t="s">
        <v>8</v>
      </c>
      <c r="U14" s="1505">
        <f t="shared" si="1"/>
        <v>100</v>
      </c>
      <c r="V14" s="1504" t="s">
        <v>8</v>
      </c>
      <c r="W14" s="1505">
        <f t="shared" si="2"/>
        <v>100</v>
      </c>
      <c r="X14" s="1498"/>
      <c r="Y14" s="3774" t="s">
        <v>534</v>
      </c>
      <c r="Z14" s="1506" t="str">
        <f t="shared" si="7"/>
        <v>交通便捷度</v>
      </c>
      <c r="AA14" s="1507">
        <f t="shared" si="3"/>
        <v>1</v>
      </c>
      <c r="AB14" s="1507">
        <f t="shared" si="4"/>
        <v>1</v>
      </c>
      <c r="AC14" s="1507">
        <f t="shared" si="5"/>
        <v>1</v>
      </c>
    </row>
    <row r="15" spans="1:29" ht="15">
      <c r="A15" s="524"/>
      <c r="B15" s="856"/>
      <c r="C15" s="568"/>
      <c r="D15" s="547"/>
      <c r="E15" s="568"/>
      <c r="F15" s="549"/>
      <c r="G15" s="568"/>
      <c r="H15" s="551"/>
      <c r="I15" s="568"/>
      <c r="J15" s="547"/>
      <c r="K15" s="886"/>
      <c r="L15" s="2020"/>
      <c r="M15" s="2012"/>
      <c r="N15" s="2012"/>
      <c r="O15" s="2019"/>
      <c r="P15" s="3775"/>
      <c r="Q15" s="1503"/>
      <c r="R15" s="1504"/>
      <c r="S15" s="1505"/>
      <c r="T15" s="1504"/>
      <c r="U15" s="1505"/>
      <c r="V15" s="1504"/>
      <c r="W15" s="1505"/>
      <c r="X15" s="1498"/>
      <c r="Y15" s="3775"/>
      <c r="Z15" s="1506"/>
      <c r="AA15" s="1507">
        <v>1</v>
      </c>
      <c r="AB15" s="1507">
        <v>1</v>
      </c>
      <c r="AC15" s="1507">
        <v>1</v>
      </c>
    </row>
    <row r="16" spans="1:29" ht="299.25">
      <c r="A16" s="524"/>
      <c r="B16" s="2443" t="s">
        <v>2527</v>
      </c>
      <c r="C16" s="859" t="str">
        <f>IF(B1="工业",估价对象房地状况!G5,估价对象房地状况!C7)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6" s="557">
        <v>100</v>
      </c>
      <c r="E16" s="562"/>
      <c r="F16" s="563">
        <f>SUMIF(63:63,E17,64:64)-SUMIF(63:63,C17,64:64)+100</f>
        <v>100</v>
      </c>
      <c r="G16" s="564"/>
      <c r="H16" s="557">
        <f>SUMIF(63:63,G17,64:64)-SUMIF(63:63,C17,64:64)+100</f>
        <v>100</v>
      </c>
      <c r="I16" s="562"/>
      <c r="J16" s="557">
        <f>SUMIF(63:63,I17,64:64)-SUMIF(63:63,C17,64:64)+100</f>
        <v>100</v>
      </c>
      <c r="K16" s="885"/>
      <c r="L16" s="2020"/>
      <c r="M16" s="2012"/>
      <c r="N16" s="2012"/>
      <c r="O16" s="2019"/>
      <c r="P16" s="3775"/>
      <c r="Q16" s="1503" t="str">
        <f>B16</f>
        <v>公共配套设施</v>
      </c>
      <c r="R16" s="1504" t="s">
        <v>8</v>
      </c>
      <c r="S16" s="1505">
        <f>F16</f>
        <v>100</v>
      </c>
      <c r="T16" s="1504" t="s">
        <v>8</v>
      </c>
      <c r="U16" s="1505">
        <f>H16</f>
        <v>100</v>
      </c>
      <c r="V16" s="1504" t="s">
        <v>8</v>
      </c>
      <c r="W16" s="1505">
        <f>J16</f>
        <v>100</v>
      </c>
      <c r="X16" s="1498"/>
      <c r="Y16" s="3775"/>
      <c r="Z16" s="1506" t="str">
        <f>Q16</f>
        <v>公共配套设施</v>
      </c>
      <c r="AA16" s="1507">
        <f t="shared" si="3"/>
        <v>1</v>
      </c>
      <c r="AB16" s="1507">
        <f t="shared" si="4"/>
        <v>1</v>
      </c>
      <c r="AC16" s="1507">
        <f t="shared" si="5"/>
        <v>1</v>
      </c>
    </row>
    <row r="17" spans="1:29" ht="15">
      <c r="A17" s="524"/>
      <c r="B17" s="558"/>
      <c r="C17" s="860"/>
      <c r="D17" s="547"/>
      <c r="E17" s="568"/>
      <c r="F17" s="549"/>
      <c r="G17" s="568"/>
      <c r="H17" s="547"/>
      <c r="I17" s="568"/>
      <c r="J17" s="547"/>
      <c r="K17" s="886"/>
      <c r="L17" s="2020"/>
      <c r="M17" s="2012"/>
      <c r="N17" s="2012"/>
      <c r="O17" s="2019"/>
      <c r="P17" s="3775"/>
      <c r="Q17" s="1503"/>
      <c r="R17" s="1504"/>
      <c r="S17" s="1505"/>
      <c r="T17" s="1504"/>
      <c r="U17" s="1505"/>
      <c r="V17" s="1504"/>
      <c r="W17" s="1505"/>
      <c r="X17" s="1498"/>
      <c r="Y17" s="3775"/>
      <c r="Z17" s="1506"/>
      <c r="AA17" s="1507">
        <v>1</v>
      </c>
      <c r="AB17" s="1507">
        <v>1</v>
      </c>
      <c r="AC17" s="1507">
        <v>1</v>
      </c>
    </row>
    <row r="18" spans="1:29" ht="15">
      <c r="A18" s="524"/>
      <c r="B18" s="2431" t="s">
        <v>2539</v>
      </c>
      <c r="C18" s="859" t="str">
        <f>IF(B1="工业",估价对象房地状况!G6,估价对象房地状况!C8)</f>
        <v>七通</v>
      </c>
      <c r="D18" s="551">
        <v>100</v>
      </c>
      <c r="E18" s="554"/>
      <c r="F18" s="555">
        <f>SUMIF(65:65,E19,66:66)-SUMIF(65:65,C19,66:66)+100</f>
        <v>100</v>
      </c>
      <c r="G18" s="556"/>
      <c r="H18" s="557">
        <f>SUMIF(65:65,G19,66:66)-SUMIF(65:65,C19,66:66)+100</f>
        <v>100</v>
      </c>
      <c r="I18" s="562"/>
      <c r="J18" s="557">
        <f>SUMIF(65:65,I19,66:66)-SUMIF(65:65,C19,66:66)+100</f>
        <v>100</v>
      </c>
      <c r="K18" s="885"/>
      <c r="L18" s="2020"/>
      <c r="M18" s="2012"/>
      <c r="N18" s="2012"/>
      <c r="O18" s="2019"/>
      <c r="P18" s="3775"/>
      <c r="Q18" s="2425" t="str">
        <f>B18</f>
        <v>基础设施水平</v>
      </c>
      <c r="R18" s="1504" t="s">
        <v>8</v>
      </c>
      <c r="S18" s="1505">
        <f>F18</f>
        <v>100</v>
      </c>
      <c r="T18" s="1504" t="s">
        <v>8</v>
      </c>
      <c r="U18" s="1505">
        <f>H18</f>
        <v>100</v>
      </c>
      <c r="V18" s="1504" t="s">
        <v>8</v>
      </c>
      <c r="W18" s="1505">
        <f>J18</f>
        <v>100</v>
      </c>
      <c r="X18" s="2427"/>
      <c r="Y18" s="3775"/>
      <c r="Z18" s="2426" t="str">
        <f>Q18</f>
        <v>基础设施水平</v>
      </c>
      <c r="AA18" s="1507">
        <f t="shared" ref="AA18" si="8">D18/F18</f>
        <v>1</v>
      </c>
      <c r="AB18" s="1507">
        <f t="shared" ref="AB18" si="9">D18/H18</f>
        <v>1</v>
      </c>
      <c r="AC18" s="1507">
        <f t="shared" ref="AC18" si="10">D18/J18</f>
        <v>1</v>
      </c>
    </row>
    <row r="19" spans="1:29" ht="15">
      <c r="A19" s="524"/>
      <c r="B19" s="570"/>
      <c r="C19" s="860"/>
      <c r="D19" s="551"/>
      <c r="E19" s="860"/>
      <c r="F19" s="555"/>
      <c r="G19" s="860"/>
      <c r="H19" s="547"/>
      <c r="I19" s="568"/>
      <c r="J19" s="547"/>
      <c r="K19" s="2442"/>
      <c r="L19" s="2020"/>
      <c r="M19" s="2012"/>
      <c r="N19" s="2012"/>
      <c r="O19" s="2019"/>
      <c r="P19" s="3775"/>
      <c r="Q19" s="2425"/>
      <c r="R19" s="1504"/>
      <c r="S19" s="1505"/>
      <c r="T19" s="1504"/>
      <c r="U19" s="1505"/>
      <c r="V19" s="1504"/>
      <c r="W19" s="1505"/>
      <c r="X19" s="2427"/>
      <c r="Y19" s="3775"/>
      <c r="Z19" s="2426"/>
      <c r="AA19" s="1507">
        <v>1</v>
      </c>
      <c r="AB19" s="1507">
        <v>1</v>
      </c>
      <c r="AC19" s="1507">
        <v>1</v>
      </c>
    </row>
    <row r="20" spans="1:29" ht="156.75">
      <c r="A20" s="524"/>
      <c r="B20" s="858" t="s">
        <v>798</v>
      </c>
      <c r="C20" s="859" t="str">
        <f>IF(B1="工业",估价对象房地状况!G7,估价对象房地状况!C9)</f>
        <v>区域自然环境：百望山、药用植物园、百旺公园、首师大附中口袋公园、中关村公园、小关村公园、京密引水渠等；人文环境：西北旺镇政府；综合评价环境状况较好</v>
      </c>
      <c r="D20" s="557">
        <v>100</v>
      </c>
      <c r="E20" s="562"/>
      <c r="F20" s="563">
        <f>SUMIF(67:67,E21,68:68)-SUMIF(67:67,C21,68:68)+100</f>
        <v>100</v>
      </c>
      <c r="G20" s="564"/>
      <c r="H20" s="551">
        <f>SUMIF(67:67,G21,68:68)-SUMIF(67:67,C21,68:68)+100</f>
        <v>100</v>
      </c>
      <c r="I20" s="554"/>
      <c r="J20" s="551">
        <f>SUMIF(67:67,I21,68:68)-SUMIF(67:67,C21,68:68)+100</f>
        <v>100</v>
      </c>
      <c r="K20" s="885"/>
      <c r="L20" s="2020"/>
      <c r="M20" s="2012"/>
      <c r="N20" s="2012"/>
      <c r="O20" s="2019"/>
      <c r="P20" s="3775"/>
      <c r="Q20" s="1503" t="str">
        <f>B20</f>
        <v>自然及人文环境</v>
      </c>
      <c r="R20" s="1504" t="s">
        <v>8</v>
      </c>
      <c r="S20" s="1505">
        <f>F20</f>
        <v>100</v>
      </c>
      <c r="T20" s="1504" t="s">
        <v>8</v>
      </c>
      <c r="U20" s="1505">
        <f>H20</f>
        <v>100</v>
      </c>
      <c r="V20" s="1504" t="s">
        <v>8</v>
      </c>
      <c r="W20" s="1505">
        <f>J20</f>
        <v>100</v>
      </c>
      <c r="X20" s="1498"/>
      <c r="Y20" s="3775"/>
      <c r="Z20" s="1506" t="str">
        <f>Q20</f>
        <v>自然及人文环境</v>
      </c>
      <c r="AA20" s="1507">
        <f t="shared" si="3"/>
        <v>1</v>
      </c>
      <c r="AB20" s="1507">
        <f t="shared" si="4"/>
        <v>1</v>
      </c>
      <c r="AC20" s="1507">
        <f t="shared" si="5"/>
        <v>1</v>
      </c>
    </row>
    <row r="21" spans="1:29" ht="15">
      <c r="A21" s="524"/>
      <c r="B21" s="587"/>
      <c r="C21" s="568"/>
      <c r="D21" s="547"/>
      <c r="E21" s="568"/>
      <c r="F21" s="549"/>
      <c r="G21" s="568"/>
      <c r="H21" s="547"/>
      <c r="I21" s="568"/>
      <c r="J21" s="547"/>
      <c r="K21" s="886"/>
      <c r="L21" s="2020"/>
      <c r="M21" s="2012"/>
      <c r="N21" s="2012"/>
      <c r="O21" s="2019"/>
      <c r="P21" s="3775"/>
      <c r="Q21" s="1503"/>
      <c r="R21" s="1504"/>
      <c r="S21" s="1505"/>
      <c r="T21" s="1504"/>
      <c r="U21" s="1505"/>
      <c r="V21" s="1504"/>
      <c r="W21" s="1505"/>
      <c r="X21" s="1498"/>
      <c r="Y21" s="3775"/>
      <c r="Z21" s="1506"/>
      <c r="AA21" s="1507">
        <v>1</v>
      </c>
      <c r="AB21" s="1507">
        <v>1</v>
      </c>
      <c r="AC21" s="1507">
        <v>1</v>
      </c>
    </row>
    <row r="22" spans="1:29" ht="15">
      <c r="A22" s="524"/>
      <c r="B22" s="858" t="s">
        <v>799</v>
      </c>
      <c r="C22" s="575"/>
      <c r="D22" s="551">
        <v>100</v>
      </c>
      <c r="E22" s="575"/>
      <c r="F22" s="567">
        <f>SUMIF(69:69,E22,70:70)-SUMIF(69:69,C22,70:70)+100</f>
        <v>100</v>
      </c>
      <c r="G22" s="575"/>
      <c r="H22" s="532">
        <f>SUMIF(69:69,G22,70:70)-SUMIF(69:69,C22,70:70)+100</f>
        <v>100</v>
      </c>
      <c r="I22" s="575"/>
      <c r="J22" s="532">
        <f>SUMIF(69:69,I22,70:70)-SUMIF(69:69,C22,70:70)+100</f>
        <v>100</v>
      </c>
      <c r="K22" s="576"/>
      <c r="L22" s="2020"/>
      <c r="M22" s="2012"/>
      <c r="N22" s="2012"/>
      <c r="O22" s="2019"/>
      <c r="P22" s="3775"/>
      <c r="Q22" s="1503" t="str">
        <f>B22</f>
        <v>楼层</v>
      </c>
      <c r="R22" s="1504" t="s">
        <v>8</v>
      </c>
      <c r="S22" s="1505">
        <f>F22</f>
        <v>100</v>
      </c>
      <c r="T22" s="1504" t="s">
        <v>8</v>
      </c>
      <c r="U22" s="1505">
        <f>H22</f>
        <v>100</v>
      </c>
      <c r="V22" s="1504" t="s">
        <v>8</v>
      </c>
      <c r="W22" s="1505">
        <f>J22</f>
        <v>100</v>
      </c>
      <c r="X22" s="1498"/>
      <c r="Y22" s="3775"/>
      <c r="Z22" s="1506" t="str">
        <f>Q22</f>
        <v>楼层</v>
      </c>
      <c r="AA22" s="1507">
        <f t="shared" si="3"/>
        <v>1</v>
      </c>
      <c r="AB22" s="1507">
        <f t="shared" si="4"/>
        <v>1</v>
      </c>
      <c r="AC22" s="1507">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0"/>
      <c r="M23" s="2012"/>
      <c r="N23" s="2012"/>
      <c r="O23" s="2019"/>
      <c r="P23" s="3775"/>
      <c r="Q23" s="1503">
        <f>B23</f>
        <v>111</v>
      </c>
      <c r="R23" s="1504" t="s">
        <v>8</v>
      </c>
      <c r="S23" s="1505">
        <f>F23</f>
        <v>100</v>
      </c>
      <c r="T23" s="1504" t="s">
        <v>8</v>
      </c>
      <c r="U23" s="1505">
        <f>H23</f>
        <v>100</v>
      </c>
      <c r="V23" s="1504" t="s">
        <v>8</v>
      </c>
      <c r="W23" s="1505">
        <f>J23</f>
        <v>100</v>
      </c>
      <c r="X23" s="1498"/>
      <c r="Y23" s="3775"/>
      <c r="Z23" s="1506">
        <f>Q23</f>
        <v>111</v>
      </c>
      <c r="AA23" s="1507">
        <f t="shared" si="3"/>
        <v>1</v>
      </c>
      <c r="AB23" s="1507">
        <f t="shared" si="4"/>
        <v>1</v>
      </c>
      <c r="AC23" s="1507">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0"/>
      <c r="M24" s="2012"/>
      <c r="N24" s="2012"/>
      <c r="O24" s="2019"/>
      <c r="P24" s="3775"/>
      <c r="Q24" s="1503">
        <f t="shared" ref="Q24:Q34" si="11">B24</f>
        <v>111</v>
      </c>
      <c r="R24" s="1504" t="s">
        <v>8</v>
      </c>
      <c r="S24" s="1505">
        <f>F24</f>
        <v>100</v>
      </c>
      <c r="T24" s="1504" t="s">
        <v>8</v>
      </c>
      <c r="U24" s="1505">
        <f>H24</f>
        <v>100</v>
      </c>
      <c r="V24" s="1504" t="s">
        <v>8</v>
      </c>
      <c r="W24" s="1505">
        <f>J24</f>
        <v>100</v>
      </c>
      <c r="X24" s="1498"/>
      <c r="Y24" s="3775"/>
      <c r="Z24" s="1506">
        <f>Q24</f>
        <v>111</v>
      </c>
      <c r="AA24" s="1507">
        <f t="shared" si="3"/>
        <v>1</v>
      </c>
      <c r="AB24" s="1507">
        <f t="shared" si="4"/>
        <v>1</v>
      </c>
      <c r="AC24" s="1507">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3"/>
      <c r="M25" s="2014"/>
      <c r="N25" s="2014"/>
      <c r="O25" s="2015"/>
      <c r="P25" s="3775"/>
      <c r="Q25" s="1132">
        <f t="shared" si="11"/>
        <v>111</v>
      </c>
      <c r="R25" s="1499" t="s">
        <v>8</v>
      </c>
      <c r="S25" s="1500">
        <f>F25</f>
        <v>100</v>
      </c>
      <c r="T25" s="1499" t="s">
        <v>8</v>
      </c>
      <c r="U25" s="1500">
        <f>H25</f>
        <v>100</v>
      </c>
      <c r="V25" s="1499" t="s">
        <v>8</v>
      </c>
      <c r="W25" s="1500">
        <f>J25</f>
        <v>100</v>
      </c>
      <c r="X25" s="1501"/>
      <c r="Y25" s="3775"/>
      <c r="Z25" s="1131">
        <f>Q25</f>
        <v>111</v>
      </c>
      <c r="AA25" s="1507">
        <f>D25/F25</f>
        <v>1</v>
      </c>
      <c r="AB25" s="1507">
        <f>D25/H25</f>
        <v>1</v>
      </c>
      <c r="AC25" s="1507">
        <f>D25/J25</f>
        <v>1</v>
      </c>
    </row>
    <row r="26" spans="1:29" ht="15">
      <c r="A26" s="2620" t="s">
        <v>2734</v>
      </c>
      <c r="B26" s="168" t="s">
        <v>802</v>
      </c>
      <c r="C26" s="903"/>
      <c r="D26" s="589">
        <v>100</v>
      </c>
      <c r="E26" s="903"/>
      <c r="F26" s="930">
        <f>SUMIF(77:77,E26,78:78)-SUMIF(77:77,C26,78:78)+100</f>
        <v>100</v>
      </c>
      <c r="G26" s="903"/>
      <c r="H26" s="589">
        <f>SUMIF(77:77,G26,78:78)-SUMIF(77:77,C26,78:78)+100</f>
        <v>100</v>
      </c>
      <c r="I26" s="903"/>
      <c r="J26" s="589">
        <f>SUMIF(77:77,I26,78:78)-SUMIF(77:77,C26,78:78)+100</f>
        <v>100</v>
      </c>
      <c r="K26" s="576"/>
      <c r="L26" s="2020"/>
      <c r="M26" s="2012"/>
      <c r="N26" s="2012"/>
      <c r="O26" s="2019"/>
      <c r="P26" s="3776" t="s">
        <v>815</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777" t="s">
        <v>815</v>
      </c>
      <c r="Z26" s="1506" t="str">
        <f t="shared" ref="Z26:Z34" si="15">Q26</f>
        <v>公共部分装修</v>
      </c>
      <c r="AA26" s="1507">
        <f t="shared" si="3"/>
        <v>1</v>
      </c>
      <c r="AB26" s="1507">
        <f t="shared" si="4"/>
        <v>1</v>
      </c>
      <c r="AC26" s="1507">
        <f t="shared" si="5"/>
        <v>1</v>
      </c>
    </row>
    <row r="27" spans="1:29" s="1291" customFormat="1" ht="15">
      <c r="A27" s="595"/>
      <c r="B27" s="519" t="s">
        <v>803</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18"/>
      <c r="M27" s="2048"/>
      <c r="N27" s="2048"/>
      <c r="O27" s="2021"/>
      <c r="P27" s="3777"/>
      <c r="Q27" s="1532" t="str">
        <f t="shared" si="11"/>
        <v>成新率</v>
      </c>
      <c r="R27" s="1508" t="s">
        <v>8</v>
      </c>
      <c r="S27" s="1509" t="e">
        <f t="shared" si="12"/>
        <v>#N/A</v>
      </c>
      <c r="T27" s="1508" t="s">
        <v>8</v>
      </c>
      <c r="U27" s="1509" t="e">
        <f t="shared" si="13"/>
        <v>#N/A</v>
      </c>
      <c r="V27" s="1508" t="s">
        <v>8</v>
      </c>
      <c r="W27" s="1509" t="e">
        <f t="shared" si="14"/>
        <v>#N/A</v>
      </c>
      <c r="X27" s="1510"/>
      <c r="Y27" s="3777"/>
      <c r="Z27" s="1511" t="str">
        <f t="shared" si="15"/>
        <v>成新率</v>
      </c>
      <c r="AA27" s="1507" t="e">
        <f t="shared" si="3"/>
        <v>#N/A</v>
      </c>
      <c r="AB27" s="1507" t="e">
        <f t="shared" si="4"/>
        <v>#N/A</v>
      </c>
      <c r="AC27" s="1507" t="e">
        <f t="shared" si="5"/>
        <v>#N/A</v>
      </c>
    </row>
    <row r="28" spans="1:29" ht="15">
      <c r="A28" s="586"/>
      <c r="B28" s="519" t="s">
        <v>804</v>
      </c>
      <c r="C28" s="566"/>
      <c r="D28" s="532">
        <v>100</v>
      </c>
      <c r="E28" s="566"/>
      <c r="F28" s="567">
        <f>SUMIF(82:82,E28,83:83)-SUMIF(82:82,C28,83:83)+100</f>
        <v>100</v>
      </c>
      <c r="G28" s="566"/>
      <c r="H28" s="532">
        <f>SUMIF(82:82,G28,83:83)-SUMIF(82:82,C28,83:83)+100</f>
        <v>100</v>
      </c>
      <c r="I28" s="566"/>
      <c r="J28" s="532">
        <f>SUMIF(82:82,I28,83:83)-SUMIF(82:82,C28,83:83)+100</f>
        <v>100</v>
      </c>
      <c r="K28" s="576"/>
      <c r="L28" s="2020"/>
      <c r="M28" s="2012"/>
      <c r="N28" s="2012"/>
      <c r="O28" s="2019"/>
      <c r="P28" s="3777"/>
      <c r="Q28" s="1503" t="str">
        <f t="shared" si="11"/>
        <v>物业等级</v>
      </c>
      <c r="R28" s="1504" t="s">
        <v>8</v>
      </c>
      <c r="S28" s="1505">
        <f t="shared" si="12"/>
        <v>100</v>
      </c>
      <c r="T28" s="1504" t="s">
        <v>8</v>
      </c>
      <c r="U28" s="1505">
        <f t="shared" si="13"/>
        <v>100</v>
      </c>
      <c r="V28" s="1504" t="s">
        <v>8</v>
      </c>
      <c r="W28" s="1505">
        <f t="shared" si="14"/>
        <v>100</v>
      </c>
      <c r="X28" s="1498"/>
      <c r="Y28" s="3777"/>
      <c r="Z28" s="1506" t="str">
        <f t="shared" si="15"/>
        <v>物业等级</v>
      </c>
      <c r="AA28" s="1507">
        <f t="shared" si="3"/>
        <v>1</v>
      </c>
      <c r="AB28" s="1507">
        <f t="shared" si="4"/>
        <v>1</v>
      </c>
      <c r="AC28" s="1507">
        <f t="shared" si="5"/>
        <v>1</v>
      </c>
    </row>
    <row r="29" spans="1:29" ht="15">
      <c r="A29" s="586"/>
      <c r="B29" s="519" t="s">
        <v>816</v>
      </c>
      <c r="C29" s="919"/>
      <c r="D29" s="532">
        <v>100</v>
      </c>
      <c r="E29" s="919"/>
      <c r="F29" s="567">
        <f>SUMIF(84:84,E29,85:85)-SUMIF(84:84,C29,85:85)+100</f>
        <v>100</v>
      </c>
      <c r="G29" s="919"/>
      <c r="H29" s="532">
        <f>SUMIF(84:84,G29,85:85)-SUMIF(84:84,C29,85:85)+100</f>
        <v>100</v>
      </c>
      <c r="I29" s="919"/>
      <c r="J29" s="532">
        <f>SUMIF(84:84,I29,85:85)-SUMIF(84:84,C29,85:85)+100</f>
        <v>100</v>
      </c>
      <c r="K29" s="576"/>
      <c r="L29" s="2020"/>
      <c r="M29" s="2012"/>
      <c r="N29" s="2012"/>
      <c r="O29" s="2019"/>
      <c r="P29" s="3777"/>
      <c r="Q29" s="1503" t="str">
        <f t="shared" si="11"/>
        <v>有无电梯</v>
      </c>
      <c r="R29" s="1504" t="s">
        <v>8</v>
      </c>
      <c r="S29" s="1505">
        <f t="shared" si="12"/>
        <v>100</v>
      </c>
      <c r="T29" s="1504" t="s">
        <v>8</v>
      </c>
      <c r="U29" s="1505">
        <f t="shared" si="13"/>
        <v>100</v>
      </c>
      <c r="V29" s="1504" t="s">
        <v>8</v>
      </c>
      <c r="W29" s="1505">
        <f t="shared" si="14"/>
        <v>100</v>
      </c>
      <c r="X29" s="1498"/>
      <c r="Y29" s="3777"/>
      <c r="Z29" s="1506" t="str">
        <f t="shared" si="15"/>
        <v>有无电梯</v>
      </c>
      <c r="AA29" s="1507">
        <f t="shared" si="3"/>
        <v>1</v>
      </c>
      <c r="AB29" s="1507">
        <f t="shared" si="4"/>
        <v>1</v>
      </c>
      <c r="AC29" s="1507">
        <f t="shared" si="5"/>
        <v>1</v>
      </c>
    </row>
    <row r="30" spans="1:29" ht="15">
      <c r="A30" s="586"/>
      <c r="B30" s="519" t="s">
        <v>817</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0"/>
      <c r="M30" s="2012"/>
      <c r="N30" s="2012"/>
      <c r="O30" s="2019"/>
      <c r="P30" s="3777"/>
      <c r="Q30" s="1503" t="str">
        <f t="shared" si="11"/>
        <v>建筑面积</v>
      </c>
      <c r="R30" s="1504" t="s">
        <v>8</v>
      </c>
      <c r="S30" s="1505" t="e">
        <f t="shared" si="12"/>
        <v>#N/A</v>
      </c>
      <c r="T30" s="1504" t="s">
        <v>8</v>
      </c>
      <c r="U30" s="1505" t="e">
        <f t="shared" si="13"/>
        <v>#N/A</v>
      </c>
      <c r="V30" s="1504" t="s">
        <v>8</v>
      </c>
      <c r="W30" s="1505" t="e">
        <f t="shared" si="14"/>
        <v>#N/A</v>
      </c>
      <c r="X30" s="1498"/>
      <c r="Y30" s="3777"/>
      <c r="Z30" s="1506" t="str">
        <f t="shared" si="15"/>
        <v>建筑面积</v>
      </c>
      <c r="AA30" s="1507" t="e">
        <f t="shared" si="3"/>
        <v>#N/A</v>
      </c>
      <c r="AB30" s="1507" t="e">
        <f t="shared" si="4"/>
        <v>#N/A</v>
      </c>
      <c r="AC30" s="1507" t="e">
        <f t="shared" si="5"/>
        <v>#N/A</v>
      </c>
    </row>
    <row r="31" spans="1:29" s="1201" customFormat="1" ht="15">
      <c r="A31" s="592"/>
      <c r="B31" s="519" t="s">
        <v>818</v>
      </c>
      <c r="C31" s="919"/>
      <c r="D31" s="251">
        <v>100</v>
      </c>
      <c r="E31" s="919"/>
      <c r="F31" s="567">
        <f>SUMIF(89:89,E31,90:90)-SUMIF(89:89,C31,90:90)+100</f>
        <v>100</v>
      </c>
      <c r="G31" s="919"/>
      <c r="H31" s="532">
        <f>SUMIF(89:89,G31,90:90)-SUMIF(89:89,C31,90:90)+100</f>
        <v>100</v>
      </c>
      <c r="I31" s="919"/>
      <c r="J31" s="532">
        <f>SUMIF(89:89,I31,90:90)-SUMIF(89:89,C31,90:90)+100</f>
        <v>100</v>
      </c>
      <c r="K31" s="576"/>
      <c r="L31" s="2013"/>
      <c r="M31" s="2014"/>
      <c r="N31" s="2014"/>
      <c r="O31" s="2015"/>
      <c r="P31" s="3777"/>
      <c r="Q31" s="1132" t="str">
        <f t="shared" si="11"/>
        <v>是否封闭</v>
      </c>
      <c r="R31" s="1499" t="s">
        <v>8</v>
      </c>
      <c r="S31" s="1500">
        <f t="shared" si="12"/>
        <v>100</v>
      </c>
      <c r="T31" s="1499" t="s">
        <v>8</v>
      </c>
      <c r="U31" s="1500">
        <f t="shared" si="13"/>
        <v>100</v>
      </c>
      <c r="V31" s="1499" t="s">
        <v>8</v>
      </c>
      <c r="W31" s="1500">
        <f t="shared" si="14"/>
        <v>100</v>
      </c>
      <c r="X31" s="1501"/>
      <c r="Y31" s="3777"/>
      <c r="Z31" s="1131" t="str">
        <f t="shared" si="15"/>
        <v>是否封闭</v>
      </c>
      <c r="AA31" s="1502">
        <f t="shared" si="3"/>
        <v>1</v>
      </c>
      <c r="AB31" s="1502">
        <f t="shared" si="4"/>
        <v>1</v>
      </c>
      <c r="AC31" s="1502">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0"/>
      <c r="M32" s="2012"/>
      <c r="N32" s="2012"/>
      <c r="O32" s="2019"/>
      <c r="P32" s="3777" t="s">
        <v>544</v>
      </c>
      <c r="Q32" s="1503">
        <f t="shared" si="11"/>
        <v>111</v>
      </c>
      <c r="R32" s="1504" t="s">
        <v>8</v>
      </c>
      <c r="S32" s="1505">
        <f t="shared" si="12"/>
        <v>100</v>
      </c>
      <c r="T32" s="1504" t="s">
        <v>8</v>
      </c>
      <c r="U32" s="1505">
        <f t="shared" si="13"/>
        <v>100</v>
      </c>
      <c r="V32" s="1504" t="s">
        <v>8</v>
      </c>
      <c r="W32" s="1505">
        <f t="shared" si="14"/>
        <v>100</v>
      </c>
      <c r="X32" s="1498"/>
      <c r="Y32" s="3777" t="s">
        <v>544</v>
      </c>
      <c r="Z32" s="1506">
        <f t="shared" si="15"/>
        <v>111</v>
      </c>
      <c r="AA32" s="1507">
        <f t="shared" si="3"/>
        <v>1</v>
      </c>
      <c r="AB32" s="1507">
        <f t="shared" si="4"/>
        <v>1</v>
      </c>
      <c r="AC32" s="1507">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0"/>
      <c r="M33" s="2012"/>
      <c r="N33" s="2012"/>
      <c r="O33" s="2019"/>
      <c r="P33" s="3777"/>
      <c r="Q33" s="1503">
        <f t="shared" si="11"/>
        <v>111</v>
      </c>
      <c r="R33" s="1504" t="s">
        <v>8</v>
      </c>
      <c r="S33" s="1505">
        <f t="shared" si="12"/>
        <v>100</v>
      </c>
      <c r="T33" s="1504" t="s">
        <v>8</v>
      </c>
      <c r="U33" s="1505">
        <f t="shared" si="13"/>
        <v>100</v>
      </c>
      <c r="V33" s="1504" t="s">
        <v>8</v>
      </c>
      <c r="W33" s="1505">
        <f t="shared" si="14"/>
        <v>100</v>
      </c>
      <c r="X33" s="1498"/>
      <c r="Y33" s="3777"/>
      <c r="Z33" s="1506">
        <f t="shared" si="15"/>
        <v>111</v>
      </c>
      <c r="AA33" s="1507">
        <f t="shared" si="3"/>
        <v>1</v>
      </c>
      <c r="AB33" s="1507">
        <f t="shared" si="4"/>
        <v>1</v>
      </c>
      <c r="AC33" s="1507">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0"/>
      <c r="M34" s="2012"/>
      <c r="N34" s="2012"/>
      <c r="O34" s="2019"/>
      <c r="P34" s="3777"/>
      <c r="Q34" s="1503">
        <f t="shared" si="11"/>
        <v>111</v>
      </c>
      <c r="R34" s="1504" t="s">
        <v>8</v>
      </c>
      <c r="S34" s="1505">
        <f t="shared" si="12"/>
        <v>100</v>
      </c>
      <c r="T34" s="1504" t="s">
        <v>8</v>
      </c>
      <c r="U34" s="1505">
        <f t="shared" si="13"/>
        <v>100</v>
      </c>
      <c r="V34" s="1504" t="s">
        <v>8</v>
      </c>
      <c r="W34" s="1505">
        <f t="shared" si="14"/>
        <v>100</v>
      </c>
      <c r="X34" s="1498"/>
      <c r="Y34" s="3777"/>
      <c r="Z34" s="1506">
        <f t="shared" si="15"/>
        <v>111</v>
      </c>
      <c r="AA34" s="1507">
        <f t="shared" si="3"/>
        <v>1</v>
      </c>
      <c r="AB34" s="1507">
        <f t="shared" si="4"/>
        <v>1</v>
      </c>
      <c r="AC34" s="1507">
        <f t="shared" si="5"/>
        <v>1</v>
      </c>
    </row>
    <row r="35" spans="1:29" ht="15">
      <c r="A35" s="599" t="s">
        <v>730</v>
      </c>
      <c r="B35" s="874"/>
      <c r="C35" s="2466" t="s">
        <v>1</v>
      </c>
      <c r="D35" s="2467"/>
      <c r="E35" s="2468"/>
      <c r="F35" s="2469"/>
      <c r="G35" s="2470"/>
      <c r="H35" s="2471"/>
      <c r="I35" s="2468"/>
      <c r="J35" s="2471"/>
      <c r="K35" s="1537"/>
      <c r="L35" s="2022"/>
      <c r="M35" s="2023"/>
      <c r="N35" s="2012"/>
      <c r="O35" s="2023"/>
      <c r="P35" s="3772" t="str">
        <f>A35</f>
        <v>成交单价（元/平方米）</v>
      </c>
      <c r="Q35" s="3772"/>
      <c r="R35" s="3773">
        <f>E35</f>
        <v>0</v>
      </c>
      <c r="S35" s="3773"/>
      <c r="T35" s="3773">
        <f>G35</f>
        <v>0</v>
      </c>
      <c r="U35" s="3773"/>
      <c r="V35" s="3773">
        <f>I35</f>
        <v>0</v>
      </c>
      <c r="W35" s="3773"/>
      <c r="X35" s="1493"/>
      <c r="Y35" s="1512"/>
      <c r="Z35" s="1493"/>
      <c r="AA35" s="1493"/>
      <c r="AB35" s="1493"/>
      <c r="AC35" s="1493"/>
    </row>
    <row r="36" spans="1:29" ht="15.75" thickBot="1">
      <c r="A36" s="607" t="s">
        <v>2739</v>
      </c>
      <c r="B36" s="875"/>
      <c r="C36" s="2472" t="e">
        <f>R37</f>
        <v>#DIV/0!</v>
      </c>
      <c r="D36" s="3008" t="s">
        <v>2965</v>
      </c>
      <c r="E36" s="2473" t="e">
        <f>R36</f>
        <v>#DIV/0!</v>
      </c>
      <c r="F36" s="3009"/>
      <c r="G36" s="2472" t="e">
        <f>T36</f>
        <v>#DIV/0!</v>
      </c>
      <c r="H36" s="3009"/>
      <c r="I36" s="2473" t="e">
        <f>V36</f>
        <v>#DIV/0!</v>
      </c>
      <c r="J36" s="3009"/>
      <c r="K36" s="3017">
        <f>F36+H36+J36</f>
        <v>0</v>
      </c>
      <c r="L36" s="2022"/>
      <c r="M36" s="2023"/>
      <c r="N36" s="2012"/>
      <c r="O36" s="2023"/>
      <c r="P36" s="3772" t="str">
        <f>A36</f>
        <v>比较价格（元/平方米）</v>
      </c>
      <c r="Q36" s="3772"/>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493"/>
      <c r="Y36" s="1493"/>
      <c r="Z36" s="1493"/>
      <c r="AA36" s="1493"/>
      <c r="AB36" s="1493"/>
      <c r="AC36" s="1493"/>
    </row>
    <row r="37" spans="1:29" ht="15.75" thickBot="1">
      <c r="A37" s="611" t="s">
        <v>2899</v>
      </c>
      <c r="B37" s="612"/>
      <c r="C37" s="2474" t="e">
        <f>R37</f>
        <v>#DIV/0!</v>
      </c>
      <c r="D37" s="2474"/>
      <c r="E37" s="2474"/>
      <c r="F37" s="2474"/>
      <c r="G37" s="2474"/>
      <c r="H37" s="2474"/>
      <c r="I37" s="2474"/>
      <c r="J37" s="2474"/>
      <c r="K37" s="1538"/>
      <c r="L37" s="2022"/>
      <c r="M37" s="2023"/>
      <c r="N37" s="2023"/>
      <c r="O37" s="2023"/>
      <c r="P37" s="3769" t="str">
        <f>A37</f>
        <v>估价对象XX用房的比较价格（楼面单价，元/平方米）</v>
      </c>
      <c r="Q37" s="3770"/>
      <c r="R37" s="3771" t="e">
        <f>IF(F1="售价",ROUND(IF(D36="简单平均",AVERAGE(R36:W36),R36*F36+T36*H36+V36*J36),0),ROUND(IF(D36="简单平均",AVERAGE(R36:V36),R36*F36+T36*H36+V36*J36),1))</f>
        <v>#DIV/0!</v>
      </c>
      <c r="S37" s="3771"/>
      <c r="T37" s="3771"/>
      <c r="U37" s="3771"/>
      <c r="V37" s="3771"/>
      <c r="W37" s="3771"/>
      <c r="X37" s="1493"/>
      <c r="Y37" s="1493"/>
      <c r="Z37" s="1493"/>
      <c r="AA37" s="1493"/>
      <c r="AB37" s="1493"/>
      <c r="AC37" s="1493"/>
    </row>
    <row r="38" spans="1:29">
      <c r="A38" s="3207"/>
      <c r="B38" s="3207"/>
      <c r="C38" s="3207"/>
      <c r="D38" s="3207"/>
      <c r="E38" s="3207"/>
      <c r="F38" s="3207"/>
      <c r="G38" s="3209"/>
      <c r="H38" s="3207"/>
      <c r="I38" s="3207"/>
      <c r="J38" s="3207"/>
      <c r="K38" s="3210"/>
      <c r="L38" s="2027"/>
      <c r="M38" s="2023"/>
      <c r="N38" s="2023"/>
      <c r="O38" s="2023"/>
      <c r="P38" s="2023"/>
      <c r="Q38" s="2023"/>
      <c r="R38" s="2023"/>
      <c r="S38" s="2023"/>
      <c r="T38" s="2023"/>
      <c r="U38" s="2023"/>
      <c r="V38" s="2023"/>
      <c r="W38" s="2023"/>
      <c r="X38" s="2023"/>
      <c r="Y38" s="2023"/>
      <c r="Z38" s="2023"/>
      <c r="AA38" s="2023"/>
      <c r="AB38" s="2023"/>
      <c r="AC38" s="2023"/>
    </row>
    <row r="39" spans="1:29">
      <c r="A39" s="3207"/>
      <c r="B39" s="3207"/>
      <c r="C39" s="3207"/>
      <c r="D39" s="3207"/>
      <c r="E39" s="3207"/>
      <c r="F39" s="3207"/>
      <c r="G39" s="3207"/>
      <c r="H39" s="3207"/>
      <c r="I39" s="3207"/>
      <c r="J39" s="3207"/>
      <c r="K39" s="3210"/>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7"/>
      <c r="B40" s="3207"/>
      <c r="C40" s="614" t="s">
        <v>551</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0"/>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7"/>
      <c r="B41" s="3207"/>
      <c r="C41" s="614" t="s">
        <v>552</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0"/>
      <c r="L41" s="2027"/>
      <c r="M41" s="2023"/>
      <c r="N41" s="2023"/>
      <c r="O41" s="2023"/>
      <c r="P41" s="2023"/>
      <c r="Q41" s="2023"/>
      <c r="R41" s="2023"/>
      <c r="S41" s="2023"/>
      <c r="T41" s="2023"/>
      <c r="U41" s="2023"/>
      <c r="V41" s="2023"/>
      <c r="W41" s="2023"/>
      <c r="X41" s="2023"/>
      <c r="Y41" s="2023"/>
      <c r="Z41" s="2023"/>
      <c r="AA41" s="2023"/>
      <c r="AB41" s="2023"/>
      <c r="AC41" s="2023"/>
    </row>
    <row r="42" spans="1:29" s="1296" customFormat="1" ht="13.5" customHeight="1">
      <c r="A42" s="3208"/>
      <c r="B42" s="3208"/>
      <c r="C42" s="614" t="s">
        <v>553</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1"/>
      <c r="L42" s="2030"/>
      <c r="M42" s="2024"/>
      <c r="N42" s="2024"/>
      <c r="O42" s="2024"/>
      <c r="P42" s="2024"/>
      <c r="Q42" s="2024"/>
      <c r="R42" s="2024"/>
      <c r="S42" s="2024"/>
      <c r="T42" s="2024"/>
      <c r="U42" s="2024"/>
      <c r="V42" s="2024"/>
      <c r="W42" s="2024"/>
      <c r="X42" s="2024"/>
      <c r="Y42" s="2024"/>
      <c r="Z42" s="2024"/>
      <c r="AA42" s="2024"/>
      <c r="AB42" s="2024"/>
      <c r="AC42" s="2024"/>
    </row>
    <row r="43" spans="1:29" s="1296"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5" t="s">
        <v>568</v>
      </c>
      <c r="B45" s="1493"/>
      <c r="C45" s="1514"/>
      <c r="D45" s="1514"/>
      <c r="E45" s="1514"/>
      <c r="F45" s="1516"/>
      <c r="G45" s="1516"/>
      <c r="H45" s="1514"/>
      <c r="I45" s="1514"/>
      <c r="J45" s="1514"/>
      <c r="K45" s="1517"/>
      <c r="L45" s="1513"/>
      <c r="M45" s="1514"/>
      <c r="N45" s="2034"/>
      <c r="O45" s="2034"/>
      <c r="P45" s="2034"/>
      <c r="Q45" s="2035"/>
      <c r="R45" s="2023"/>
      <c r="S45" s="2023"/>
      <c r="T45" s="2023"/>
      <c r="U45" s="2023"/>
      <c r="V45" s="2023"/>
      <c r="W45" s="2023"/>
      <c r="X45" s="2023"/>
      <c r="Y45" s="2023"/>
      <c r="Z45" s="2023"/>
      <c r="AA45" s="2023"/>
      <c r="AB45" s="2023"/>
      <c r="AC45" s="2023"/>
    </row>
    <row r="46" spans="1:29" s="1298" customFormat="1" ht="15">
      <c r="A46" s="635" t="s">
        <v>523</v>
      </c>
      <c r="B46" s="636"/>
      <c r="C46" s="2515" t="str">
        <f>YEAR(C7)&amp;"-"&amp;MONTH(C7)</f>
        <v>2021-8</v>
      </c>
      <c r="D46" s="2517">
        <f>EDATE(C46,-1)</f>
        <v>44378</v>
      </c>
      <c r="E46" s="2517">
        <f t="shared" ref="E46:O46" si="16">EDATE(D46,-1)</f>
        <v>44348</v>
      </c>
      <c r="F46" s="2517">
        <f t="shared" si="16"/>
        <v>44317</v>
      </c>
      <c r="G46" s="2517">
        <f t="shared" si="16"/>
        <v>44287</v>
      </c>
      <c r="H46" s="2517">
        <f t="shared" si="16"/>
        <v>44256</v>
      </c>
      <c r="I46" s="2517">
        <f t="shared" si="16"/>
        <v>44228</v>
      </c>
      <c r="J46" s="2517">
        <f t="shared" si="16"/>
        <v>44197</v>
      </c>
      <c r="K46" s="2517">
        <f t="shared" si="16"/>
        <v>44166</v>
      </c>
      <c r="L46" s="2517">
        <f t="shared" si="16"/>
        <v>44136</v>
      </c>
      <c r="M46" s="2517">
        <f t="shared" si="16"/>
        <v>44105</v>
      </c>
      <c r="N46" s="2517">
        <f t="shared" si="16"/>
        <v>44075</v>
      </c>
      <c r="O46" s="2517">
        <f t="shared" si="16"/>
        <v>44044</v>
      </c>
      <c r="P46" s="2037"/>
      <c r="Q46" s="2038"/>
      <c r="R46" s="2038"/>
      <c r="S46" s="2038"/>
      <c r="T46" s="2038"/>
      <c r="U46" s="2038"/>
      <c r="V46" s="2038"/>
      <c r="W46" s="2038"/>
      <c r="X46" s="2038"/>
      <c r="Y46" s="2038"/>
      <c r="Z46" s="2038"/>
      <c r="AA46" s="2038"/>
      <c r="AB46" s="2038"/>
      <c r="AC46" s="2038"/>
    </row>
    <row r="47" spans="1:29" s="1201" customFormat="1" ht="15">
      <c r="A47" s="637"/>
      <c r="B47" s="638"/>
      <c r="C47" s="639">
        <v>100</v>
      </c>
      <c r="D47" s="640"/>
      <c r="E47" s="640"/>
      <c r="F47" s="640"/>
      <c r="G47" s="640"/>
      <c r="H47" s="640"/>
      <c r="I47" s="640"/>
      <c r="J47" s="640"/>
      <c r="K47" s="640"/>
      <c r="L47" s="640"/>
      <c r="M47" s="641"/>
      <c r="N47" s="640"/>
      <c r="O47" s="642"/>
      <c r="P47" s="2035"/>
      <c r="Q47" s="1901"/>
      <c r="R47" s="1901"/>
      <c r="S47" s="1901"/>
      <c r="T47" s="1901"/>
      <c r="U47" s="1901"/>
      <c r="V47" s="1901"/>
      <c r="W47" s="1901"/>
      <c r="X47" s="1901"/>
      <c r="Y47" s="1901"/>
      <c r="Z47" s="1901"/>
      <c r="AA47" s="1901"/>
      <c r="AB47" s="1901"/>
      <c r="AC47" s="1901"/>
    </row>
    <row r="48" spans="1:29" s="1201" customFormat="1" ht="15.75" thickBot="1">
      <c r="A48" s="643" t="s">
        <v>569</v>
      </c>
      <c r="B48" s="644"/>
      <c r="C48" s="645"/>
      <c r="D48" s="646"/>
      <c r="E48" s="646"/>
      <c r="F48" s="646"/>
      <c r="G48" s="646"/>
      <c r="H48" s="646"/>
      <c r="I48" s="646"/>
      <c r="J48" s="646"/>
      <c r="K48" s="646"/>
      <c r="L48" s="646"/>
      <c r="M48" s="647"/>
      <c r="N48" s="646"/>
      <c r="O48" s="648"/>
      <c r="P48" s="2035"/>
      <c r="Q48" s="2035"/>
      <c r="R48" s="1901"/>
      <c r="S48" s="1901"/>
      <c r="T48" s="1901"/>
      <c r="U48" s="1901"/>
      <c r="V48" s="1901"/>
      <c r="W48" s="1901"/>
      <c r="X48" s="1901"/>
      <c r="Y48" s="1901"/>
      <c r="Z48" s="1901"/>
      <c r="AA48" s="1901"/>
      <c r="AB48" s="1901"/>
      <c r="AC48" s="1901"/>
    </row>
    <row r="49" spans="1:29" s="1201" customFormat="1" ht="15">
      <c r="A49" s="649" t="s">
        <v>525</v>
      </c>
      <c r="B49" s="638"/>
      <c r="C49" s="650" t="s">
        <v>570</v>
      </c>
      <c r="D49" s="651"/>
      <c r="E49" s="651"/>
      <c r="F49" s="651"/>
      <c r="G49" s="651"/>
      <c r="H49" s="651"/>
      <c r="I49" s="651"/>
      <c r="J49" s="651"/>
      <c r="K49" s="651"/>
      <c r="L49" s="652"/>
      <c r="M49" s="653"/>
      <c r="N49" s="2039"/>
      <c r="O49" s="2039"/>
      <c r="P49" s="2040"/>
      <c r="Q49" s="2035"/>
      <c r="R49" s="1901"/>
      <c r="S49" s="1901"/>
      <c r="T49" s="1901"/>
      <c r="U49" s="1901"/>
      <c r="V49" s="1901"/>
      <c r="W49" s="1901"/>
      <c r="X49" s="1901"/>
      <c r="Y49" s="1901"/>
      <c r="Z49" s="1901"/>
      <c r="AA49" s="1901"/>
      <c r="AB49" s="1901"/>
      <c r="AC49" s="1901"/>
    </row>
    <row r="50" spans="1:29" s="1201" customFormat="1" ht="15.75" thickBot="1">
      <c r="A50" s="649"/>
      <c r="B50" s="638"/>
      <c r="C50" s="639">
        <v>100</v>
      </c>
      <c r="D50" s="640"/>
      <c r="E50" s="640"/>
      <c r="F50" s="640"/>
      <c r="G50" s="640"/>
      <c r="H50" s="640"/>
      <c r="I50" s="640"/>
      <c r="J50" s="640"/>
      <c r="K50" s="640"/>
      <c r="L50" s="640"/>
      <c r="M50" s="642"/>
      <c r="N50" s="2039"/>
      <c r="O50" s="2039"/>
      <c r="P50" s="2035"/>
      <c r="Q50" s="2035"/>
      <c r="R50" s="1901"/>
      <c r="S50" s="1901"/>
      <c r="T50" s="1901"/>
      <c r="U50" s="1901"/>
      <c r="V50" s="1901"/>
      <c r="W50" s="1901"/>
      <c r="X50" s="1901"/>
      <c r="Y50" s="1901"/>
      <c r="Z50" s="1901"/>
      <c r="AA50" s="1901"/>
      <c r="AB50" s="1901"/>
      <c r="AC50" s="1901"/>
    </row>
    <row r="51" spans="1:29">
      <c r="A51" s="654" t="s">
        <v>571</v>
      </c>
      <c r="B51" s="655" t="s">
        <v>528</v>
      </c>
      <c r="C51" s="694">
        <f>C9</f>
        <v>0</v>
      </c>
      <c r="D51" s="590"/>
      <c r="E51" s="590"/>
      <c r="F51" s="590"/>
      <c r="G51" s="590"/>
      <c r="H51" s="590"/>
      <c r="I51" s="590"/>
      <c r="J51" s="590"/>
      <c r="K51" s="656"/>
      <c r="L51" s="657"/>
      <c r="M51" s="658"/>
      <c r="N51" s="2041"/>
      <c r="O51" s="2041"/>
      <c r="P51" s="2042"/>
      <c r="Q51" s="2035"/>
      <c r="R51" s="2023"/>
      <c r="S51" s="2023"/>
      <c r="T51" s="2023"/>
      <c r="U51" s="2023"/>
      <c r="V51" s="2023"/>
      <c r="W51" s="2023"/>
      <c r="X51" s="2023"/>
      <c r="Y51" s="2023"/>
      <c r="Z51" s="2023"/>
      <c r="AA51" s="2023"/>
      <c r="AB51" s="2023"/>
      <c r="AC51" s="2023"/>
    </row>
    <row r="52" spans="1:29" ht="15.75" thickBot="1">
      <c r="A52" s="659"/>
      <c r="B52" s="660"/>
      <c r="C52" s="661">
        <v>100</v>
      </c>
      <c r="D52" s="661"/>
      <c r="E52" s="661"/>
      <c r="F52" s="661"/>
      <c r="G52" s="661"/>
      <c r="H52" s="661"/>
      <c r="I52" s="661"/>
      <c r="J52" s="661"/>
      <c r="K52" s="661"/>
      <c r="L52" s="661"/>
      <c r="M52" s="662"/>
      <c r="N52" s="2043"/>
      <c r="O52" s="2043"/>
      <c r="P52" s="2042"/>
      <c r="Q52" s="2035"/>
      <c r="R52" s="2023"/>
      <c r="S52" s="2023"/>
      <c r="T52" s="2023"/>
      <c r="U52" s="2023"/>
      <c r="V52" s="2023"/>
      <c r="W52" s="2023"/>
      <c r="X52" s="2023"/>
      <c r="Y52" s="2023"/>
      <c r="Z52" s="2023"/>
      <c r="AA52" s="2023"/>
      <c r="AB52" s="2023"/>
      <c r="AC52" s="2023"/>
    </row>
    <row r="53" spans="1:29" ht="27.75" thickTop="1">
      <c r="A53" s="659"/>
      <c r="B53" s="663" t="s">
        <v>531</v>
      </c>
      <c r="C53" s="664" t="s">
        <v>731</v>
      </c>
      <c r="D53" s="664" t="s">
        <v>732</v>
      </c>
      <c r="E53" s="664" t="s">
        <v>733</v>
      </c>
      <c r="F53" s="664" t="s">
        <v>734</v>
      </c>
      <c r="G53" s="664" t="s">
        <v>735</v>
      </c>
      <c r="H53" s="664" t="s">
        <v>736</v>
      </c>
      <c r="I53" s="664" t="s">
        <v>737</v>
      </c>
      <c r="J53" s="664"/>
      <c r="K53" s="665"/>
      <c r="L53" s="666"/>
      <c r="M53" s="667"/>
      <c r="N53" s="2041"/>
      <c r="O53" s="2041"/>
      <c r="P53" s="2042"/>
      <c r="Q53" s="2035"/>
      <c r="R53" s="2023"/>
      <c r="S53" s="2023"/>
      <c r="T53" s="2023"/>
      <c r="U53" s="2023"/>
      <c r="V53" s="2023"/>
      <c r="W53" s="2023"/>
      <c r="X53" s="2023"/>
      <c r="Y53" s="2023"/>
      <c r="Z53" s="2023"/>
      <c r="AA53" s="2023"/>
      <c r="AB53" s="2023"/>
      <c r="AC53" s="2023"/>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3"/>
      <c r="O54" s="2043"/>
      <c r="P54" s="2042"/>
      <c r="Q54" s="2035"/>
      <c r="R54" s="2023"/>
      <c r="S54" s="2023"/>
      <c r="T54" s="2023"/>
      <c r="U54" s="2023"/>
      <c r="V54" s="2023"/>
      <c r="W54" s="2023"/>
      <c r="X54" s="2023"/>
      <c r="Y54" s="2023"/>
      <c r="Z54" s="2023"/>
      <c r="AA54" s="2023"/>
      <c r="AB54" s="2023"/>
      <c r="AC54" s="2023"/>
    </row>
    <row r="55" spans="1:29" ht="15.75" thickTop="1">
      <c r="A55" s="659"/>
      <c r="B55" s="922">
        <f>B11</f>
        <v>111</v>
      </c>
      <c r="C55" s="533"/>
      <c r="D55" s="533"/>
      <c r="E55" s="533"/>
      <c r="F55" s="533"/>
      <c r="G55" s="533"/>
      <c r="H55" s="533"/>
      <c r="I55" s="533"/>
      <c r="J55" s="533"/>
      <c r="K55" s="674"/>
      <c r="L55" s="675"/>
      <c r="M55" s="676"/>
      <c r="N55" s="2041"/>
      <c r="O55" s="2041"/>
      <c r="P55" s="2042"/>
      <c r="Q55" s="2035"/>
      <c r="R55" s="2023"/>
      <c r="S55" s="2023"/>
      <c r="T55" s="2023"/>
      <c r="U55" s="2023"/>
      <c r="V55" s="2023"/>
      <c r="W55" s="2023"/>
      <c r="X55" s="2023"/>
      <c r="Y55" s="2023"/>
      <c r="Z55" s="2023"/>
      <c r="AA55" s="2023"/>
      <c r="AB55" s="2023"/>
      <c r="AC55" s="2023"/>
    </row>
    <row r="56" spans="1:29" ht="15.75" thickBot="1">
      <c r="A56" s="659"/>
      <c r="B56" s="660"/>
      <c r="C56" s="682"/>
      <c r="D56" s="661"/>
      <c r="E56" s="661"/>
      <c r="F56" s="661"/>
      <c r="G56" s="661"/>
      <c r="H56" s="661"/>
      <c r="I56" s="661"/>
      <c r="J56" s="661"/>
      <c r="K56" s="661"/>
      <c r="L56" s="661"/>
      <c r="M56" s="662"/>
      <c r="N56" s="2043"/>
      <c r="O56" s="2043"/>
      <c r="P56" s="2042"/>
      <c r="Q56" s="2035"/>
      <c r="R56" s="2023"/>
      <c r="S56" s="2023"/>
      <c r="T56" s="2023"/>
      <c r="U56" s="2023"/>
      <c r="V56" s="2023"/>
      <c r="W56" s="2023"/>
      <c r="X56" s="2023"/>
      <c r="Y56" s="2023"/>
      <c r="Z56" s="2023"/>
      <c r="AA56" s="2023"/>
      <c r="AB56" s="2023"/>
      <c r="AC56" s="2023"/>
    </row>
    <row r="57" spans="1:29" s="1291" customFormat="1" ht="15.75" thickTop="1">
      <c r="A57" s="677"/>
      <c r="B57" s="663">
        <f>B12</f>
        <v>111</v>
      </c>
      <c r="C57" s="533"/>
      <c r="D57" s="533"/>
      <c r="E57" s="533"/>
      <c r="F57" s="533"/>
      <c r="G57" s="678"/>
      <c r="H57" s="679"/>
      <c r="I57" s="679"/>
      <c r="J57" s="679"/>
      <c r="K57" s="679"/>
      <c r="L57" s="680"/>
      <c r="M57" s="681"/>
      <c r="N57" s="2044"/>
      <c r="O57" s="2044"/>
      <c r="P57" s="2045"/>
      <c r="Q57" s="2046"/>
      <c r="R57" s="2047"/>
      <c r="S57" s="2047"/>
      <c r="T57" s="2047"/>
      <c r="U57" s="2047"/>
      <c r="V57" s="2047"/>
      <c r="W57" s="2047"/>
      <c r="X57" s="2047"/>
      <c r="Y57" s="2047"/>
      <c r="Z57" s="2047"/>
      <c r="AA57" s="2047"/>
      <c r="AB57" s="2047"/>
      <c r="AC57" s="2047"/>
    </row>
    <row r="58" spans="1:29" s="1291" customFormat="1" ht="15.75" thickBot="1">
      <c r="A58" s="677"/>
      <c r="B58" s="668"/>
      <c r="C58" s="682"/>
      <c r="D58" s="661"/>
      <c r="E58" s="661"/>
      <c r="F58" s="661"/>
      <c r="G58" s="661"/>
      <c r="H58" s="661"/>
      <c r="I58" s="661"/>
      <c r="J58" s="661"/>
      <c r="K58" s="661"/>
      <c r="L58" s="661"/>
      <c r="M58" s="662"/>
      <c r="N58" s="2043"/>
      <c r="O58" s="2043"/>
      <c r="P58" s="2045"/>
      <c r="Q58" s="2046"/>
      <c r="R58" s="2047"/>
      <c r="S58" s="2047"/>
      <c r="T58" s="2047"/>
      <c r="U58" s="2047"/>
      <c r="V58" s="2047"/>
      <c r="W58" s="2047"/>
      <c r="X58" s="2047"/>
      <c r="Y58" s="2047"/>
      <c r="Z58" s="2047"/>
      <c r="AA58" s="2047"/>
      <c r="AB58" s="2047"/>
      <c r="AC58" s="2047"/>
    </row>
    <row r="59" spans="1:29" s="1291" customFormat="1" ht="15.75" thickTop="1">
      <c r="A59" s="677"/>
      <c r="B59" s="663">
        <f>B13</f>
        <v>111</v>
      </c>
      <c r="C59" s="533"/>
      <c r="D59" s="533"/>
      <c r="E59" s="533"/>
      <c r="F59" s="533"/>
      <c r="G59" s="678"/>
      <c r="H59" s="679"/>
      <c r="I59" s="679"/>
      <c r="J59" s="679"/>
      <c r="K59" s="679"/>
      <c r="L59" s="680"/>
      <c r="M59" s="681"/>
      <c r="N59" s="2044"/>
      <c r="O59" s="2044"/>
      <c r="P59" s="2048"/>
      <c r="Q59" s="2049"/>
      <c r="R59" s="2047"/>
      <c r="S59" s="2047"/>
      <c r="T59" s="2047"/>
      <c r="U59" s="2047"/>
      <c r="V59" s="2047"/>
      <c r="W59" s="2047"/>
      <c r="X59" s="2047"/>
      <c r="Y59" s="2047"/>
      <c r="Z59" s="2047"/>
      <c r="AA59" s="2047"/>
      <c r="AB59" s="2047"/>
      <c r="AC59" s="2047"/>
    </row>
    <row r="60" spans="1:29" s="1291" customFormat="1" ht="15.75" thickBot="1">
      <c r="A60" s="677"/>
      <c r="B60" s="668"/>
      <c r="C60" s="682"/>
      <c r="D60" s="682"/>
      <c r="E60" s="682"/>
      <c r="F60" s="682"/>
      <c r="G60" s="682"/>
      <c r="H60" s="683"/>
      <c r="I60" s="683"/>
      <c r="J60" s="683"/>
      <c r="K60" s="683"/>
      <c r="L60" s="683"/>
      <c r="M60" s="684"/>
      <c r="N60" s="2044"/>
      <c r="O60" s="2044"/>
      <c r="P60" s="2045"/>
      <c r="Q60" s="2046"/>
      <c r="R60" s="2047"/>
      <c r="S60" s="2047"/>
      <c r="T60" s="2047"/>
      <c r="U60" s="2047"/>
      <c r="V60" s="2047"/>
      <c r="W60" s="2047"/>
      <c r="X60" s="2047"/>
      <c r="Y60" s="2047"/>
      <c r="Z60" s="2047"/>
      <c r="AA60" s="2047"/>
      <c r="AB60" s="2047"/>
      <c r="AC60" s="2047"/>
    </row>
    <row r="61" spans="1:29" ht="15" thickTop="1">
      <c r="A61" s="654" t="s">
        <v>533</v>
      </c>
      <c r="B61" s="655" t="s">
        <v>580</v>
      </c>
      <c r="C61" s="693" t="s">
        <v>573</v>
      </c>
      <c r="D61" s="693" t="s">
        <v>574</v>
      </c>
      <c r="E61" s="693" t="s">
        <v>575</v>
      </c>
      <c r="F61" s="693" t="s">
        <v>576</v>
      </c>
      <c r="G61" s="693" t="s">
        <v>577</v>
      </c>
      <c r="H61" s="694"/>
      <c r="I61" s="694"/>
      <c r="J61" s="694"/>
      <c r="K61" s="695"/>
      <c r="L61" s="696"/>
      <c r="M61" s="697"/>
      <c r="N61" s="2041"/>
      <c r="O61" s="2041"/>
      <c r="P61" s="2051"/>
      <c r="Q61" s="2035"/>
      <c r="R61" s="2023"/>
      <c r="S61" s="2023"/>
      <c r="T61" s="2023"/>
      <c r="U61" s="2023"/>
      <c r="V61" s="2023"/>
      <c r="W61" s="2023"/>
      <c r="X61" s="2023"/>
      <c r="Y61" s="2023"/>
      <c r="Z61" s="2023"/>
      <c r="AA61" s="2023"/>
      <c r="AB61" s="2023"/>
      <c r="AC61" s="2023"/>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3"/>
      <c r="O62" s="2043"/>
      <c r="P62" s="2042"/>
      <c r="Q62" s="2035"/>
      <c r="R62" s="2023"/>
      <c r="S62" s="2023"/>
      <c r="T62" s="2023"/>
      <c r="U62" s="2023"/>
      <c r="V62" s="2023"/>
      <c r="W62" s="2023"/>
      <c r="X62" s="2023"/>
      <c r="Y62" s="2023"/>
      <c r="Z62" s="2023"/>
      <c r="AA62" s="2023"/>
      <c r="AB62" s="2023"/>
      <c r="AC62" s="2023"/>
    </row>
    <row r="63" spans="1:29" ht="15.75" thickTop="1">
      <c r="A63" s="659"/>
      <c r="B63" s="1806" t="s">
        <v>2538</v>
      </c>
      <c r="C63" s="698" t="s">
        <v>573</v>
      </c>
      <c r="D63" s="698" t="s">
        <v>574</v>
      </c>
      <c r="E63" s="698" t="s">
        <v>575</v>
      </c>
      <c r="F63" s="698" t="s">
        <v>576</v>
      </c>
      <c r="G63" s="698" t="s">
        <v>577</v>
      </c>
      <c r="H63" s="664"/>
      <c r="I63" s="664"/>
      <c r="J63" s="664"/>
      <c r="K63" s="665"/>
      <c r="L63" s="666"/>
      <c r="M63" s="667"/>
      <c r="N63" s="2041"/>
      <c r="O63" s="2041"/>
      <c r="P63" s="2042"/>
      <c r="Q63" s="2035"/>
      <c r="R63" s="2023"/>
      <c r="S63" s="2023"/>
      <c r="T63" s="2023"/>
      <c r="U63" s="2023"/>
      <c r="V63" s="2023"/>
      <c r="W63" s="2023"/>
      <c r="X63" s="2023"/>
      <c r="Y63" s="2023"/>
      <c r="Z63" s="2023"/>
      <c r="AA63" s="2023"/>
      <c r="AB63" s="2023"/>
      <c r="AC63" s="2023"/>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3"/>
      <c r="O64" s="2043"/>
      <c r="P64" s="2042"/>
      <c r="Q64" s="2035"/>
      <c r="R64" s="2023"/>
      <c r="S64" s="2023"/>
      <c r="T64" s="2023"/>
      <c r="U64" s="2023"/>
      <c r="V64" s="2023"/>
      <c r="W64" s="2023"/>
      <c r="X64" s="2023"/>
      <c r="Y64" s="2023"/>
      <c r="Z64" s="2023"/>
      <c r="AA64" s="2023"/>
      <c r="AB64" s="2023"/>
      <c r="AC64" s="2023"/>
    </row>
    <row r="65" spans="1:29" ht="15.75" thickTop="1">
      <c r="A65" s="659"/>
      <c r="B65" s="2437" t="s">
        <v>2539</v>
      </c>
      <c r="C65" s="2438" t="s">
        <v>2540</v>
      </c>
      <c r="D65" s="2438" t="s">
        <v>2541</v>
      </c>
      <c r="E65" s="2438" t="s">
        <v>2542</v>
      </c>
      <c r="F65" s="2438" t="s">
        <v>2543</v>
      </c>
      <c r="G65" s="2438" t="s">
        <v>2544</v>
      </c>
      <c r="H65" s="664"/>
      <c r="I65" s="664"/>
      <c r="J65" s="664"/>
      <c r="K65" s="664"/>
      <c r="L65" s="664"/>
      <c r="M65" s="2441"/>
      <c r="N65" s="2043"/>
      <c r="O65" s="2043"/>
      <c r="P65" s="2042"/>
      <c r="Q65" s="2035"/>
      <c r="R65" s="2023"/>
      <c r="S65" s="2023"/>
      <c r="T65" s="2023"/>
      <c r="U65" s="2023"/>
      <c r="V65" s="2023"/>
      <c r="W65" s="2023"/>
      <c r="X65" s="2023"/>
      <c r="Y65" s="2023"/>
      <c r="Z65" s="2023"/>
      <c r="AA65" s="2023"/>
      <c r="AB65" s="2023"/>
      <c r="AC65" s="2023"/>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3"/>
      <c r="O66" s="2043"/>
      <c r="P66" s="2042"/>
      <c r="Q66" s="2035"/>
      <c r="R66" s="2023"/>
      <c r="S66" s="2023"/>
      <c r="T66" s="2023"/>
      <c r="U66" s="2023"/>
      <c r="V66" s="2023"/>
      <c r="W66" s="2023"/>
      <c r="X66" s="2023"/>
      <c r="Y66" s="2023"/>
      <c r="Z66" s="2023"/>
      <c r="AA66" s="2023"/>
      <c r="AB66" s="2023"/>
      <c r="AC66" s="2023"/>
    </row>
    <row r="67" spans="1:29" ht="15.75" thickTop="1">
      <c r="A67" s="659"/>
      <c r="B67" s="663" t="s">
        <v>738</v>
      </c>
      <c r="C67" s="698" t="s">
        <v>573</v>
      </c>
      <c r="D67" s="698" t="s">
        <v>574</v>
      </c>
      <c r="E67" s="698" t="s">
        <v>575</v>
      </c>
      <c r="F67" s="698" t="s">
        <v>576</v>
      </c>
      <c r="G67" s="698" t="s">
        <v>577</v>
      </c>
      <c r="H67" s="664"/>
      <c r="I67" s="664"/>
      <c r="J67" s="664"/>
      <c r="K67" s="665"/>
      <c r="L67" s="666"/>
      <c r="M67" s="667"/>
      <c r="N67" s="2041"/>
      <c r="O67" s="2041"/>
      <c r="P67" s="2042"/>
      <c r="Q67" s="2035"/>
      <c r="R67" s="2023"/>
      <c r="S67" s="2023"/>
      <c r="T67" s="2023"/>
      <c r="U67" s="2023"/>
      <c r="V67" s="2023"/>
      <c r="W67" s="2023"/>
      <c r="X67" s="2023"/>
      <c r="Y67" s="2023"/>
      <c r="Z67" s="2023"/>
      <c r="AA67" s="2023"/>
      <c r="AB67" s="2023"/>
      <c r="AC67" s="2023"/>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3"/>
      <c r="O68" s="2043"/>
      <c r="P68" s="2042"/>
      <c r="Q68" s="2035"/>
      <c r="R68" s="2023"/>
      <c r="S68" s="2023"/>
      <c r="T68" s="2023"/>
      <c r="U68" s="2023"/>
      <c r="V68" s="2023"/>
      <c r="W68" s="2023"/>
      <c r="X68" s="2023"/>
      <c r="Y68" s="2023"/>
      <c r="Z68" s="2023"/>
      <c r="AA68" s="2023"/>
      <c r="AB68" s="2023"/>
      <c r="AC68" s="2023"/>
    </row>
    <row r="69" spans="1:29" ht="15.75" thickTop="1">
      <c r="A69" s="659"/>
      <c r="B69" s="663" t="s">
        <v>739</v>
      </c>
      <c r="C69" s="678"/>
      <c r="D69" s="678"/>
      <c r="E69" s="678"/>
      <c r="F69" s="678"/>
      <c r="G69" s="678"/>
      <c r="H69" s="708"/>
      <c r="I69" s="708"/>
      <c r="J69" s="708"/>
      <c r="K69" s="709"/>
      <c r="L69" s="710"/>
      <c r="M69" s="711"/>
      <c r="N69" s="2041"/>
      <c r="O69" s="2041"/>
      <c r="P69" s="2042"/>
      <c r="Q69" s="2035"/>
      <c r="R69" s="2023"/>
      <c r="S69" s="2023"/>
      <c r="T69" s="2023"/>
      <c r="U69" s="2023"/>
      <c r="V69" s="2023"/>
      <c r="W69" s="2023"/>
      <c r="X69" s="2023"/>
      <c r="Y69" s="2023"/>
      <c r="Z69" s="2023"/>
      <c r="AA69" s="2023"/>
      <c r="AB69" s="2023"/>
      <c r="AC69" s="2023"/>
    </row>
    <row r="70" spans="1:29" ht="15.75" thickBot="1">
      <c r="A70" s="659"/>
      <c r="B70" s="668"/>
      <c r="C70" s="669">
        <v>100</v>
      </c>
      <c r="D70" s="669">
        <f>C70-$K22</f>
        <v>100</v>
      </c>
      <c r="E70" s="669"/>
      <c r="F70" s="669"/>
      <c r="G70" s="669"/>
      <c r="H70" s="669"/>
      <c r="I70" s="669"/>
      <c r="J70" s="669"/>
      <c r="K70" s="669"/>
      <c r="L70" s="669"/>
      <c r="M70" s="670"/>
      <c r="N70" s="2043"/>
      <c r="O70" s="2043"/>
      <c r="P70" s="2042"/>
      <c r="Q70" s="2035"/>
      <c r="R70" s="2023"/>
      <c r="S70" s="2023"/>
      <c r="T70" s="2023"/>
      <c r="U70" s="2023"/>
      <c r="V70" s="2023"/>
      <c r="W70" s="2023"/>
      <c r="X70" s="2023"/>
      <c r="Y70" s="2023"/>
      <c r="Z70" s="2023"/>
      <c r="AA70" s="2023"/>
      <c r="AB70" s="2023"/>
      <c r="AC70" s="2023"/>
    </row>
    <row r="71" spans="1:29" s="1201" customFormat="1" ht="15.75" thickTop="1">
      <c r="A71" s="699"/>
      <c r="B71" s="663">
        <f>B23</f>
        <v>111</v>
      </c>
      <c r="C71" s="533"/>
      <c r="D71" s="533"/>
      <c r="E71" s="533"/>
      <c r="F71" s="533"/>
      <c r="G71" s="678"/>
      <c r="H71" s="678"/>
      <c r="I71" s="678"/>
      <c r="J71" s="678"/>
      <c r="K71" s="678"/>
      <c r="L71" s="877"/>
      <c r="M71" s="878"/>
      <c r="N71" s="2039"/>
      <c r="O71" s="2039"/>
      <c r="P71" s="2042"/>
      <c r="Q71" s="2035"/>
      <c r="R71" s="1901"/>
      <c r="S71" s="1901"/>
      <c r="T71" s="1901"/>
      <c r="U71" s="1901"/>
      <c r="V71" s="1901"/>
      <c r="W71" s="1901"/>
      <c r="X71" s="1901"/>
      <c r="Y71" s="1901"/>
      <c r="Z71" s="1901"/>
      <c r="AA71" s="1901"/>
      <c r="AB71" s="1901"/>
      <c r="AC71" s="1901"/>
    </row>
    <row r="72" spans="1:29" s="1201" customFormat="1" ht="15.75" thickBot="1">
      <c r="A72" s="699"/>
      <c r="B72" s="668"/>
      <c r="C72" s="682"/>
      <c r="D72" s="661"/>
      <c r="E72" s="661"/>
      <c r="F72" s="661"/>
      <c r="G72" s="661"/>
      <c r="H72" s="661"/>
      <c r="I72" s="661"/>
      <c r="J72" s="661"/>
      <c r="K72" s="661"/>
      <c r="L72" s="661"/>
      <c r="M72" s="662"/>
      <c r="N72" s="2043"/>
      <c r="O72" s="2043"/>
      <c r="P72" s="2042"/>
      <c r="Q72" s="2035"/>
      <c r="R72" s="1901"/>
      <c r="S72" s="1901"/>
      <c r="T72" s="1901"/>
      <c r="U72" s="1901"/>
      <c r="V72" s="1901"/>
      <c r="W72" s="1901"/>
      <c r="X72" s="1901"/>
      <c r="Y72" s="1901"/>
      <c r="Z72" s="1901"/>
      <c r="AA72" s="1901"/>
      <c r="AB72" s="1901"/>
      <c r="AC72" s="1901"/>
    </row>
    <row r="73" spans="1:29" s="1201" customFormat="1" ht="15.75" thickTop="1">
      <c r="A73" s="699"/>
      <c r="B73" s="663">
        <f>B24</f>
        <v>111</v>
      </c>
      <c r="C73" s="533"/>
      <c r="D73" s="533"/>
      <c r="E73" s="533"/>
      <c r="F73" s="533"/>
      <c r="G73" s="678"/>
      <c r="H73" s="678"/>
      <c r="I73" s="678"/>
      <c r="J73" s="678"/>
      <c r="K73" s="678"/>
      <c r="L73" s="678"/>
      <c r="M73" s="878"/>
      <c r="N73" s="2039"/>
      <c r="O73" s="2039"/>
      <c r="P73" s="2042"/>
      <c r="Q73" s="2035"/>
      <c r="R73" s="1901"/>
      <c r="S73" s="1901"/>
      <c r="T73" s="1901"/>
      <c r="U73" s="1901"/>
      <c r="V73" s="1901"/>
      <c r="W73" s="1901"/>
      <c r="X73" s="1901"/>
      <c r="Y73" s="1901"/>
      <c r="Z73" s="1901"/>
      <c r="AA73" s="1901"/>
      <c r="AB73" s="1901"/>
      <c r="AC73" s="1901"/>
    </row>
    <row r="74" spans="1:29" s="1201" customFormat="1" ht="15.75" thickBot="1">
      <c r="A74" s="699"/>
      <c r="B74" s="668"/>
      <c r="C74" s="682"/>
      <c r="D74" s="661"/>
      <c r="E74" s="661"/>
      <c r="F74" s="661"/>
      <c r="G74" s="661"/>
      <c r="H74" s="661"/>
      <c r="I74" s="661"/>
      <c r="J74" s="661"/>
      <c r="K74" s="661"/>
      <c r="L74" s="661"/>
      <c r="M74" s="662"/>
      <c r="N74" s="2043"/>
      <c r="O74" s="2043"/>
      <c r="P74" s="2042"/>
      <c r="Q74" s="2035"/>
      <c r="R74" s="1901"/>
      <c r="S74" s="1901"/>
      <c r="T74" s="1901"/>
      <c r="U74" s="1901"/>
      <c r="V74" s="1901"/>
      <c r="W74" s="1901"/>
      <c r="X74" s="1901"/>
      <c r="Y74" s="1901"/>
      <c r="Z74" s="1901"/>
      <c r="AA74" s="1901"/>
      <c r="AB74" s="1901"/>
      <c r="AC74" s="1901"/>
    </row>
    <row r="75" spans="1:29" s="1291" customFormat="1" ht="15.75" thickTop="1">
      <c r="A75" s="677"/>
      <c r="B75" s="663">
        <f>B25</f>
        <v>111</v>
      </c>
      <c r="C75" s="533"/>
      <c r="D75" s="533"/>
      <c r="E75" s="533"/>
      <c r="F75" s="533"/>
      <c r="G75" s="678"/>
      <c r="H75" s="679"/>
      <c r="I75" s="679"/>
      <c r="J75" s="679"/>
      <c r="K75" s="679"/>
      <c r="L75" s="680"/>
      <c r="M75" s="681"/>
      <c r="N75" s="2044"/>
      <c r="O75" s="2044"/>
      <c r="P75" s="2045"/>
      <c r="Q75" s="2046"/>
      <c r="R75" s="2047"/>
      <c r="S75" s="2047"/>
      <c r="T75" s="2047"/>
      <c r="U75" s="2047"/>
      <c r="V75" s="2047"/>
      <c r="W75" s="2047"/>
      <c r="X75" s="2047"/>
      <c r="Y75" s="2047"/>
      <c r="Z75" s="2047"/>
      <c r="AA75" s="2047"/>
      <c r="AB75" s="2047"/>
      <c r="AC75" s="2047"/>
    </row>
    <row r="76" spans="1:29" s="1291" customFormat="1" ht="15.75" thickBot="1">
      <c r="A76" s="677"/>
      <c r="B76" s="668"/>
      <c r="C76" s="682"/>
      <c r="D76" s="682"/>
      <c r="E76" s="682"/>
      <c r="F76" s="682"/>
      <c r="G76" s="661"/>
      <c r="H76" s="661"/>
      <c r="I76" s="661"/>
      <c r="J76" s="661"/>
      <c r="K76" s="661"/>
      <c r="L76" s="661"/>
      <c r="M76" s="662"/>
      <c r="N76" s="2044"/>
      <c r="O76" s="2044"/>
      <c r="P76" s="2045"/>
      <c r="Q76" s="2046"/>
      <c r="R76" s="2047"/>
      <c r="S76" s="2047"/>
      <c r="T76" s="2047"/>
      <c r="U76" s="2047"/>
      <c r="V76" s="2047"/>
      <c r="W76" s="2047"/>
      <c r="X76" s="2047"/>
      <c r="Y76" s="2047"/>
      <c r="Z76" s="2047"/>
      <c r="AA76" s="2047"/>
      <c r="AB76" s="2047"/>
      <c r="AC76" s="2047"/>
    </row>
    <row r="77" spans="1:29" ht="15" thickTop="1">
      <c r="A77" s="654" t="s">
        <v>545</v>
      </c>
      <c r="B77" s="655" t="s">
        <v>745</v>
      </c>
      <c r="C77" s="678"/>
      <c r="D77" s="678"/>
      <c r="E77" s="590"/>
      <c r="F77" s="590"/>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9"/>
      <c r="B79" s="663" t="s">
        <v>810</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39"/>
      <c r="O79" s="2039"/>
      <c r="P79" s="2042"/>
      <c r="Q79" s="2035"/>
      <c r="R79" s="2023"/>
      <c r="S79" s="2023"/>
      <c r="T79" s="2023"/>
      <c r="U79" s="2023"/>
      <c r="V79" s="2023"/>
      <c r="W79" s="2023"/>
      <c r="X79" s="2023"/>
      <c r="Y79" s="2023"/>
      <c r="Z79" s="2023"/>
      <c r="AA79" s="2023"/>
      <c r="AB79" s="2023"/>
      <c r="AC79" s="2023"/>
    </row>
    <row r="80" spans="1:29" ht="15">
      <c r="A80" s="659"/>
      <c r="B80" s="671"/>
      <c r="C80" s="881">
        <v>0.5</v>
      </c>
      <c r="D80" s="881">
        <v>0.6</v>
      </c>
      <c r="E80" s="881">
        <v>0.7</v>
      </c>
      <c r="F80" s="881">
        <v>0.8</v>
      </c>
      <c r="G80" s="881">
        <v>0.9</v>
      </c>
      <c r="H80" s="881">
        <v>1.0001</v>
      </c>
      <c r="I80" s="922"/>
      <c r="J80" s="922"/>
      <c r="K80" s="932"/>
      <c r="L80" s="933"/>
      <c r="M80" s="934"/>
      <c r="N80" s="2039"/>
      <c r="O80" s="2039"/>
      <c r="P80" s="2042"/>
      <c r="Q80" s="2035"/>
      <c r="R80" s="2023"/>
      <c r="S80" s="2023"/>
      <c r="T80" s="2023"/>
      <c r="U80" s="2023"/>
      <c r="V80" s="2023"/>
      <c r="W80" s="2023"/>
      <c r="X80" s="2023"/>
      <c r="Y80" s="2023"/>
      <c r="Z80" s="2023"/>
      <c r="AA80" s="2023"/>
      <c r="AB80" s="2023"/>
      <c r="AC80" s="2023"/>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5"/>
      <c r="B82" s="671" t="s">
        <v>811</v>
      </c>
      <c r="C82" s="678"/>
      <c r="D82" s="678"/>
      <c r="E82" s="708"/>
      <c r="F82" s="708"/>
      <c r="G82" s="708"/>
      <c r="H82" s="708"/>
      <c r="I82" s="708"/>
      <c r="J82" s="708"/>
      <c r="K82" s="709"/>
      <c r="L82" s="710"/>
      <c r="M82" s="711"/>
      <c r="N82" s="2041"/>
      <c r="O82" s="2041"/>
      <c r="P82" s="2042"/>
      <c r="Q82" s="2035"/>
      <c r="R82" s="2023"/>
      <c r="S82" s="2023"/>
      <c r="T82" s="2023"/>
      <c r="U82" s="2023"/>
      <c r="V82" s="2023"/>
      <c r="W82" s="2023"/>
      <c r="X82" s="2023"/>
      <c r="Y82" s="2023"/>
      <c r="Z82" s="2023"/>
      <c r="AA82" s="2023"/>
      <c r="AB82" s="2023"/>
      <c r="AC82" s="2023"/>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5"/>
      <c r="B84" s="663" t="s">
        <v>819</v>
      </c>
      <c r="C84" s="678"/>
      <c r="D84" s="678"/>
      <c r="E84" s="678"/>
      <c r="F84" s="678"/>
      <c r="G84" s="678"/>
      <c r="H84" s="678"/>
      <c r="I84" s="708"/>
      <c r="J84" s="708"/>
      <c r="K84" s="709"/>
      <c r="L84" s="710"/>
      <c r="M84" s="711"/>
      <c r="N84" s="2041"/>
      <c r="O84" s="2041"/>
      <c r="P84" s="2042"/>
      <c r="Q84" s="2035"/>
      <c r="R84" s="2023"/>
      <c r="S84" s="2023"/>
      <c r="T84" s="2023"/>
      <c r="U84" s="2023"/>
      <c r="V84" s="2023"/>
      <c r="W84" s="2023"/>
      <c r="X84" s="2023"/>
      <c r="Y84" s="2023"/>
      <c r="Z84" s="2023"/>
      <c r="AA84" s="2023"/>
      <c r="AB84" s="2023"/>
      <c r="AC84" s="2023"/>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5"/>
      <c r="B86" s="671" t="s">
        <v>820</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1"/>
      <c r="O86" s="2041"/>
      <c r="P86" s="2042"/>
      <c r="Q86" s="2035"/>
      <c r="R86" s="2023"/>
      <c r="S86" s="2023"/>
      <c r="T86" s="2023"/>
      <c r="U86" s="2023"/>
      <c r="V86" s="2023"/>
      <c r="W86" s="2023"/>
      <c r="X86" s="2023"/>
      <c r="Y86" s="2023"/>
      <c r="Z86" s="2023"/>
      <c r="AA86" s="2023"/>
      <c r="AB86" s="2023"/>
      <c r="AC86" s="2023"/>
    </row>
    <row r="87" spans="1:29">
      <c r="A87" s="725"/>
      <c r="B87" s="671"/>
      <c r="C87" s="720"/>
      <c r="D87" s="720"/>
      <c r="E87" s="720"/>
      <c r="F87" s="720"/>
      <c r="G87" s="720"/>
      <c r="H87" s="720"/>
      <c r="I87" s="720"/>
      <c r="J87" s="721"/>
      <c r="K87" s="721"/>
      <c r="L87" s="722"/>
      <c r="M87" s="723"/>
      <c r="N87" s="2041"/>
      <c r="O87" s="2041"/>
      <c r="P87" s="2042"/>
      <c r="Q87" s="2035"/>
      <c r="R87" s="2023"/>
      <c r="S87" s="2023"/>
      <c r="T87" s="2023"/>
      <c r="U87" s="2023"/>
      <c r="V87" s="2023"/>
      <c r="W87" s="2023"/>
      <c r="X87" s="2023"/>
      <c r="Y87" s="2023"/>
      <c r="Z87" s="2023"/>
      <c r="AA87" s="2023"/>
      <c r="AB87" s="2023"/>
      <c r="AC87" s="2023"/>
    </row>
    <row r="88" spans="1:29" ht="15.75" thickBot="1">
      <c r="A88" s="659"/>
      <c r="B88" s="668"/>
      <c r="C88" s="682"/>
      <c r="D88" s="661"/>
      <c r="E88" s="661"/>
      <c r="F88" s="661"/>
      <c r="G88" s="661"/>
      <c r="H88" s="661"/>
      <c r="I88" s="661"/>
      <c r="J88" s="661"/>
      <c r="K88" s="661"/>
      <c r="L88" s="661"/>
      <c r="M88" s="661"/>
      <c r="N88" s="2043"/>
      <c r="O88" s="2043"/>
      <c r="P88" s="2042"/>
      <c r="Q88" s="2035"/>
      <c r="R88" s="2023"/>
      <c r="S88" s="2023"/>
      <c r="T88" s="2023"/>
      <c r="U88" s="2023"/>
      <c r="V88" s="2023"/>
      <c r="W88" s="2023"/>
      <c r="X88" s="2023"/>
      <c r="Y88" s="2023"/>
      <c r="Z88" s="2023"/>
      <c r="AA88" s="2023"/>
      <c r="AB88" s="2023"/>
      <c r="AC88" s="2023"/>
    </row>
    <row r="89" spans="1:29" s="1291" customFormat="1" ht="15" thickTop="1">
      <c r="A89" s="718"/>
      <c r="B89" s="663" t="s">
        <v>821</v>
      </c>
      <c r="C89" s="678"/>
      <c r="D89" s="678"/>
      <c r="E89" s="678"/>
      <c r="F89" s="678"/>
      <c r="G89" s="678"/>
      <c r="H89" s="678"/>
      <c r="I89" s="678"/>
      <c r="J89" s="678"/>
      <c r="K89" s="678"/>
      <c r="L89" s="678"/>
      <c r="M89" s="878"/>
      <c r="N89" s="2044"/>
      <c r="O89" s="2044"/>
      <c r="P89" s="2045"/>
      <c r="Q89" s="2046"/>
      <c r="R89" s="2047"/>
      <c r="S89" s="2047"/>
      <c r="T89" s="2047"/>
      <c r="U89" s="2047"/>
      <c r="V89" s="2047"/>
      <c r="W89" s="2047"/>
      <c r="X89" s="2047"/>
      <c r="Y89" s="2047"/>
      <c r="Z89" s="2047"/>
      <c r="AA89" s="2047"/>
      <c r="AB89" s="2047"/>
      <c r="AC89" s="2047"/>
    </row>
    <row r="90" spans="1:29" s="1291" customFormat="1" ht="15.75" thickBot="1">
      <c r="A90" s="677"/>
      <c r="B90" s="668"/>
      <c r="C90" s="682"/>
      <c r="D90" s="661"/>
      <c r="E90" s="661"/>
      <c r="F90" s="661"/>
      <c r="G90" s="661"/>
      <c r="H90" s="661"/>
      <c r="I90" s="661"/>
      <c r="J90" s="661"/>
      <c r="K90" s="661"/>
      <c r="L90" s="661"/>
      <c r="M90" s="662"/>
      <c r="N90" s="2044"/>
      <c r="O90" s="2044"/>
      <c r="P90" s="2045"/>
      <c r="Q90" s="2046"/>
      <c r="R90" s="2047"/>
      <c r="S90" s="2047"/>
      <c r="T90" s="2047"/>
      <c r="U90" s="2047"/>
      <c r="V90" s="2047"/>
      <c r="W90" s="2047"/>
      <c r="X90" s="2047"/>
      <c r="Y90" s="2047"/>
      <c r="Z90" s="2047"/>
      <c r="AA90" s="2047"/>
      <c r="AB90" s="2047"/>
      <c r="AC90" s="2047"/>
    </row>
    <row r="91" spans="1:29" ht="15" thickTop="1">
      <c r="A91" s="725"/>
      <c r="B91" s="663">
        <f>B32</f>
        <v>111</v>
      </c>
      <c r="C91" s="533"/>
      <c r="D91" s="533"/>
      <c r="E91" s="533"/>
      <c r="F91" s="533"/>
      <c r="G91" s="678"/>
      <c r="H91" s="679"/>
      <c r="I91" s="679"/>
      <c r="J91" s="679"/>
      <c r="K91" s="679"/>
      <c r="L91" s="680"/>
      <c r="M91" s="681"/>
      <c r="N91" s="2041"/>
      <c r="O91" s="2041"/>
      <c r="P91" s="2042"/>
      <c r="Q91" s="2035"/>
      <c r="R91" s="2023"/>
      <c r="S91" s="2023"/>
      <c r="T91" s="2023"/>
      <c r="U91" s="2023"/>
      <c r="V91" s="2023"/>
      <c r="W91" s="2023"/>
      <c r="X91" s="2023"/>
      <c r="Y91" s="2023"/>
      <c r="Z91" s="2023"/>
      <c r="AA91" s="2023"/>
      <c r="AB91" s="2023"/>
      <c r="AC91" s="2023"/>
    </row>
    <row r="92" spans="1:29" ht="15.75" thickBot="1">
      <c r="A92" s="659"/>
      <c r="B92" s="668"/>
      <c r="C92" s="682"/>
      <c r="D92" s="661"/>
      <c r="E92" s="661"/>
      <c r="F92" s="661"/>
      <c r="G92" s="682"/>
      <c r="H92" s="683"/>
      <c r="I92" s="683"/>
      <c r="J92" s="683"/>
      <c r="K92" s="683"/>
      <c r="L92" s="683"/>
      <c r="M92" s="684"/>
      <c r="N92" s="2043"/>
      <c r="O92" s="2043"/>
      <c r="P92" s="2042"/>
      <c r="Q92" s="2035"/>
      <c r="R92" s="2023"/>
      <c r="S92" s="2023"/>
      <c r="T92" s="2023"/>
      <c r="U92" s="2023"/>
      <c r="V92" s="2023"/>
      <c r="W92" s="2023"/>
      <c r="X92" s="2023"/>
      <c r="Y92" s="2023"/>
      <c r="Z92" s="2023"/>
      <c r="AA92" s="2023"/>
      <c r="AB92" s="2023"/>
      <c r="AC92" s="2023"/>
    </row>
    <row r="93" spans="1:29" ht="15" thickTop="1">
      <c r="A93" s="725"/>
      <c r="B93" s="663">
        <f>B33</f>
        <v>111</v>
      </c>
      <c r="C93" s="533"/>
      <c r="D93" s="533"/>
      <c r="E93" s="533"/>
      <c r="F93" s="533"/>
      <c r="G93" s="678"/>
      <c r="H93" s="679"/>
      <c r="I93" s="679"/>
      <c r="J93" s="679"/>
      <c r="K93" s="679"/>
      <c r="L93" s="680"/>
      <c r="M93" s="681"/>
      <c r="N93" s="2041"/>
      <c r="O93" s="2041"/>
      <c r="P93" s="2042"/>
      <c r="Q93" s="2035"/>
      <c r="R93" s="2023"/>
      <c r="S93" s="2023"/>
      <c r="T93" s="2023"/>
      <c r="U93" s="2023"/>
      <c r="V93" s="2023"/>
      <c r="W93" s="2023"/>
      <c r="X93" s="2023"/>
      <c r="Y93" s="2023"/>
      <c r="Z93" s="2023"/>
      <c r="AA93" s="2023"/>
      <c r="AB93" s="2023"/>
      <c r="AC93" s="2023"/>
    </row>
    <row r="94" spans="1:29" ht="15.75" thickBot="1">
      <c r="A94" s="659"/>
      <c r="B94" s="668"/>
      <c r="C94" s="682"/>
      <c r="D94" s="661"/>
      <c r="E94" s="661"/>
      <c r="F94" s="661"/>
      <c r="G94" s="682"/>
      <c r="H94" s="683"/>
      <c r="I94" s="683"/>
      <c r="J94" s="683"/>
      <c r="K94" s="683"/>
      <c r="L94" s="683"/>
      <c r="M94" s="684"/>
      <c r="N94" s="2043"/>
      <c r="O94" s="2043"/>
      <c r="P94" s="2042"/>
      <c r="Q94" s="2035"/>
      <c r="R94" s="2023"/>
      <c r="S94" s="2023"/>
      <c r="T94" s="2023"/>
      <c r="U94" s="2023"/>
      <c r="V94" s="2023"/>
      <c r="W94" s="2023"/>
      <c r="X94" s="2023"/>
      <c r="Y94" s="2023"/>
      <c r="Z94" s="2023"/>
      <c r="AA94" s="2023"/>
      <c r="AB94" s="2023"/>
      <c r="AC94" s="2023"/>
    </row>
    <row r="95" spans="1:29" ht="15" thickTop="1">
      <c r="A95" s="725"/>
      <c r="B95" s="904">
        <f>B34</f>
        <v>111</v>
      </c>
      <c r="C95" s="533"/>
      <c r="D95" s="533"/>
      <c r="E95" s="533"/>
      <c r="F95" s="533"/>
      <c r="G95" s="678"/>
      <c r="H95" s="679"/>
      <c r="I95" s="679"/>
      <c r="J95" s="679"/>
      <c r="K95" s="679"/>
      <c r="L95" s="680"/>
      <c r="M95" s="681"/>
      <c r="N95" s="2043"/>
      <c r="O95" s="2043"/>
      <c r="P95" s="2082"/>
      <c r="Q95" s="2083"/>
      <c r="R95" s="2023"/>
      <c r="S95" s="2023"/>
      <c r="T95" s="2023"/>
      <c r="U95" s="2023"/>
      <c r="V95" s="2023"/>
      <c r="W95" s="2023"/>
      <c r="X95" s="2023"/>
      <c r="Y95" s="2023"/>
      <c r="Z95" s="2023"/>
      <c r="AA95" s="2023"/>
      <c r="AB95" s="2023"/>
      <c r="AC95" s="2023"/>
    </row>
    <row r="96" spans="1:29" ht="15.75" thickBot="1">
      <c r="A96" s="659"/>
      <c r="B96" s="668"/>
      <c r="C96" s="682"/>
      <c r="D96" s="682"/>
      <c r="E96" s="682"/>
      <c r="F96" s="682"/>
      <c r="G96" s="682"/>
      <c r="H96" s="683"/>
      <c r="I96" s="683"/>
      <c r="J96" s="683"/>
      <c r="K96" s="683"/>
      <c r="L96" s="683"/>
      <c r="M96" s="684"/>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3"/>
    <col min="36" max="16384" width="9" style="1202"/>
  </cols>
  <sheetData>
    <row r="1" spans="1:45" s="253" customFormat="1" ht="14.25" customHeight="1" thickBot="1">
      <c r="A1" s="361"/>
      <c r="B1" s="2110" t="s">
        <v>2290</v>
      </c>
      <c r="C1" s="3895" t="s">
        <v>2291</v>
      </c>
      <c r="D1" s="3896"/>
      <c r="E1" s="3896"/>
      <c r="F1" s="3896"/>
      <c r="G1" s="3896"/>
      <c r="H1" s="3896"/>
      <c r="I1" s="3896"/>
      <c r="J1" s="3896"/>
      <c r="K1" s="3896"/>
      <c r="L1" s="3896"/>
      <c r="M1" s="3896"/>
      <c r="N1" s="3896"/>
      <c r="O1" s="3896"/>
      <c r="P1" s="3896"/>
      <c r="Q1" s="3896"/>
      <c r="R1" s="3896"/>
      <c r="S1" s="3897"/>
      <c r="T1" s="2110" t="s">
        <v>2292</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4" t="s">
        <v>2293</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2" t="str">
        <f>S3&amp;"(含)"&amp;"-"</f>
        <v>(含)-</v>
      </c>
      <c r="T2" s="938"/>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9"/>
      <c r="C3" s="940"/>
      <c r="D3" s="941"/>
      <c r="E3" s="941"/>
      <c r="F3" s="941"/>
      <c r="G3" s="941"/>
      <c r="H3" s="941"/>
      <c r="I3" s="941"/>
      <c r="J3" s="942"/>
      <c r="K3" s="942"/>
      <c r="L3" s="943"/>
      <c r="M3" s="2115"/>
      <c r="N3" s="2116"/>
      <c r="O3" s="941"/>
      <c r="P3" s="941"/>
      <c r="Q3" s="941"/>
      <c r="R3" s="941"/>
      <c r="S3" s="2117"/>
      <c r="T3" s="944"/>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71" t="s">
        <v>2892</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3" t="s">
        <v>2891</v>
      </c>
      <c r="C7" s="1871"/>
      <c r="D7" s="1872"/>
      <c r="E7" s="1872"/>
      <c r="F7" s="1872"/>
      <c r="G7" s="1872"/>
      <c r="H7" s="1872"/>
      <c r="I7" s="1872"/>
      <c r="J7" s="1872"/>
      <c r="K7" s="1872"/>
      <c r="L7" s="1872"/>
      <c r="M7" s="2135"/>
      <c r="N7" s="2136"/>
      <c r="O7" s="2137"/>
      <c r="P7" s="2138"/>
      <c r="Q7" s="2139"/>
      <c r="R7" s="2140"/>
      <c r="S7" s="2141"/>
      <c r="T7" s="945"/>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3" t="s">
        <v>2890</v>
      </c>
      <c r="C9" s="1871"/>
      <c r="D9" s="1872"/>
      <c r="E9" s="1872"/>
      <c r="F9" s="1872"/>
      <c r="G9" s="1872"/>
      <c r="H9" s="1872"/>
      <c r="I9" s="1872"/>
      <c r="J9" s="1872"/>
      <c r="K9" s="1872"/>
      <c r="L9" s="1873"/>
      <c r="M9" s="2135"/>
      <c r="N9" s="2136"/>
      <c r="O9" s="2137"/>
      <c r="P9" s="2138"/>
      <c r="Q9" s="2139"/>
      <c r="R9" s="2140"/>
      <c r="S9" s="2141"/>
      <c r="T9" s="945"/>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2"/>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71" t="s">
        <v>2903</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71" t="s">
        <v>2889</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71" t="s">
        <v>2888</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2294</v>
      </c>
      <c r="B17" s="2154" t="s">
        <v>2295</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7"/>
      <c r="B19" s="935"/>
      <c r="C19" s="1898"/>
      <c r="D19" s="1898"/>
      <c r="E19" s="1898"/>
      <c r="F19" s="1898"/>
      <c r="G19" s="1898"/>
      <c r="H19" s="1898"/>
      <c r="I19" s="1898"/>
      <c r="J19" s="1898"/>
      <c r="K19" s="1898"/>
      <c r="L19" s="1898"/>
      <c r="M19" s="1898"/>
      <c r="N19" s="1898"/>
      <c r="O19" s="1898"/>
      <c r="P19" s="1898"/>
      <c r="Q19" s="1898"/>
      <c r="R19" s="2101"/>
      <c r="S19" s="1907"/>
    </row>
    <row r="20" spans="1:45" ht="15.75">
      <c r="A20" s="946" t="s">
        <v>822</v>
      </c>
      <c r="B20" s="763">
        <f>S22</f>
        <v>0</v>
      </c>
      <c r="C20" s="1898"/>
      <c r="D20" s="1898"/>
      <c r="E20" s="1898"/>
      <c r="F20" s="1898"/>
      <c r="G20" s="1898"/>
      <c r="H20" s="1898"/>
      <c r="I20" s="1898"/>
      <c r="J20" s="1898"/>
      <c r="K20" s="1898"/>
      <c r="L20" s="1898"/>
      <c r="M20" s="1898"/>
      <c r="N20" s="1898"/>
      <c r="O20" s="1898"/>
      <c r="P20" s="1898"/>
      <c r="Q20" s="1898"/>
      <c r="R20" s="2101"/>
      <c r="S20" s="1907"/>
    </row>
    <row r="21" spans="1:45" ht="15.75">
      <c r="A21" s="946" t="str">
        <f>IF(B23="土地面积","地面单价","楼面单价")</f>
        <v>楼面单价</v>
      </c>
      <c r="B21" s="763" t="e">
        <f>R22</f>
        <v>#DIV/0!</v>
      </c>
      <c r="C21" s="1898"/>
      <c r="D21" s="1898"/>
      <c r="E21" s="1898"/>
      <c r="F21" s="1898"/>
      <c r="G21" s="1898"/>
      <c r="H21" s="1898"/>
      <c r="I21" s="1898"/>
      <c r="J21" s="1898"/>
      <c r="K21" s="1898"/>
      <c r="L21" s="1898"/>
      <c r="M21" s="1898"/>
      <c r="N21" s="1898"/>
      <c r="O21" s="1898"/>
      <c r="P21" s="1898"/>
      <c r="Q21" s="1898"/>
      <c r="R21" s="2101"/>
      <c r="S21" s="1907"/>
    </row>
    <row r="22" spans="1:45">
      <c r="A22" s="787" t="s">
        <v>823</v>
      </c>
      <c r="B22" s="53">
        <f>SUM(B24:B10000)</f>
        <v>0</v>
      </c>
      <c r="C22" s="3892" t="s">
        <v>20</v>
      </c>
      <c r="D22" s="3893"/>
      <c r="E22" s="3893"/>
      <c r="F22" s="3893"/>
      <c r="G22" s="3893"/>
      <c r="H22" s="3893"/>
      <c r="I22" s="3893"/>
      <c r="J22" s="3893"/>
      <c r="K22" s="3893"/>
      <c r="L22" s="3893"/>
      <c r="M22" s="3893"/>
      <c r="N22" s="3893"/>
      <c r="O22" s="3893"/>
      <c r="P22" s="3893"/>
      <c r="Q22" s="3894"/>
      <c r="R22" s="482" t="e">
        <f>ROUND(S22*10000/B22,0)</f>
        <v>#DIV/0!</v>
      </c>
      <c r="S22" s="53">
        <f>SUM(S24:S10000)</f>
        <v>0</v>
      </c>
    </row>
    <row r="23" spans="1:45" s="1539" customFormat="1" ht="24">
      <c r="A23" s="17" t="s">
        <v>824</v>
      </c>
      <c r="B23" s="2855"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3" t="s">
        <v>826</v>
      </c>
      <c r="S23" s="17" t="s">
        <v>827</v>
      </c>
      <c r="T23" s="18"/>
      <c r="U23" s="18"/>
      <c r="V23" s="18"/>
      <c r="W23" s="18"/>
      <c r="X23" s="18"/>
      <c r="Y23" s="18"/>
      <c r="Z23" s="18"/>
      <c r="AA23" s="18"/>
      <c r="AB23" s="18"/>
      <c r="AC23" s="18"/>
      <c r="AD23" s="18"/>
      <c r="AE23" s="18"/>
      <c r="AF23" s="18"/>
      <c r="AG23" s="18"/>
      <c r="AH23" s="18"/>
      <c r="AI23" s="18"/>
    </row>
    <row r="24" spans="1:45" s="1540" customFormat="1">
      <c r="A24" s="947" t="s">
        <v>828</v>
      </c>
      <c r="B24" s="947"/>
      <c r="C24" s="3271">
        <v>1</v>
      </c>
      <c r="D24" s="3272"/>
      <c r="E24" s="3271">
        <v>1</v>
      </c>
      <c r="F24" s="3272"/>
      <c r="G24" s="3271">
        <v>1</v>
      </c>
      <c r="H24" s="3272"/>
      <c r="I24" s="3271">
        <v>1</v>
      </c>
      <c r="J24" s="3272"/>
      <c r="K24" s="3271">
        <v>1</v>
      </c>
      <c r="L24" s="3272"/>
      <c r="M24" s="3271">
        <v>1</v>
      </c>
      <c r="N24" s="3272"/>
      <c r="O24" s="3271">
        <v>1</v>
      </c>
      <c r="P24" s="3272"/>
      <c r="Q24" s="3271">
        <v>1</v>
      </c>
      <c r="R24" s="950"/>
      <c r="S24" s="948">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2">
        <f>IF(B25="",0,ROUND($R$24*C25*E25*G25*I25*K25*M25*O25*Q25,0))</f>
        <v>0</v>
      </c>
      <c r="S25" s="787">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2">
        <f t="shared" ref="R26:R89" si="20">IF(B26="",0,ROUND($R$24*C26*E26*G26*I26*K26*M26*O26*Q26,0))</f>
        <v>0</v>
      </c>
      <c r="S26" s="787">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2">
        <f t="shared" si="20"/>
        <v>0</v>
      </c>
      <c r="S27" s="787">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2">
        <f t="shared" si="20"/>
        <v>0</v>
      </c>
      <c r="S28" s="787">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2">
        <f t="shared" si="20"/>
        <v>0</v>
      </c>
      <c r="S29" s="787">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2">
        <f t="shared" si="20"/>
        <v>0</v>
      </c>
      <c r="S30" s="787">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2">
        <f t="shared" si="20"/>
        <v>0</v>
      </c>
      <c r="S31" s="787">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2">
        <f t="shared" si="20"/>
        <v>0</v>
      </c>
      <c r="S32" s="787">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2">
        <f t="shared" si="20"/>
        <v>0</v>
      </c>
      <c r="S33" s="787">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2">
        <f t="shared" si="20"/>
        <v>0</v>
      </c>
      <c r="S34" s="787">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2">
        <f t="shared" si="20"/>
        <v>0</v>
      </c>
      <c r="S35" s="787">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2">
        <f t="shared" si="20"/>
        <v>0</v>
      </c>
      <c r="S36" s="787">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2">
        <f t="shared" si="20"/>
        <v>0</v>
      </c>
      <c r="S37" s="787">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2">
        <f t="shared" si="20"/>
        <v>0</v>
      </c>
      <c r="S38" s="787">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2">
        <f t="shared" si="20"/>
        <v>0</v>
      </c>
      <c r="S39" s="787">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2">
        <f t="shared" si="20"/>
        <v>0</v>
      </c>
      <c r="S40" s="787">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2">
        <f t="shared" si="20"/>
        <v>0</v>
      </c>
      <c r="S41" s="787">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2">
        <f t="shared" si="20"/>
        <v>0</v>
      </c>
      <c r="S42" s="787">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2">
        <f t="shared" si="20"/>
        <v>0</v>
      </c>
      <c r="S43" s="787">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2">
        <f t="shared" si="20"/>
        <v>0</v>
      </c>
      <c r="S44" s="787">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2">
        <f t="shared" si="20"/>
        <v>0</v>
      </c>
      <c r="S45" s="787">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2">
        <f t="shared" si="20"/>
        <v>0</v>
      </c>
      <c r="S46" s="787">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2">
        <f t="shared" si="20"/>
        <v>0</v>
      </c>
      <c r="S47" s="787">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2">
        <f t="shared" si="20"/>
        <v>0</v>
      </c>
      <c r="S48" s="787">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2">
        <f t="shared" si="20"/>
        <v>0</v>
      </c>
      <c r="S49" s="787">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2">
        <f t="shared" si="20"/>
        <v>0</v>
      </c>
      <c r="S50" s="787">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2">
        <f t="shared" si="20"/>
        <v>0</v>
      </c>
      <c r="S51" s="787">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2">
        <f t="shared" si="20"/>
        <v>0</v>
      </c>
      <c r="S52" s="787">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2">
        <f t="shared" si="20"/>
        <v>0</v>
      </c>
      <c r="S53" s="787">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2">
        <f t="shared" si="20"/>
        <v>0</v>
      </c>
      <c r="S54" s="787">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2">
        <f t="shared" si="20"/>
        <v>0</v>
      </c>
      <c r="S55" s="787">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2">
        <f t="shared" si="20"/>
        <v>0</v>
      </c>
      <c r="S56" s="787">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2">
        <f t="shared" si="20"/>
        <v>0</v>
      </c>
      <c r="S57" s="787">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2">
        <f t="shared" si="20"/>
        <v>0</v>
      </c>
      <c r="S58" s="787">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2">
        <f t="shared" si="20"/>
        <v>0</v>
      </c>
      <c r="S59" s="787">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2">
        <f t="shared" si="20"/>
        <v>0</v>
      </c>
      <c r="S60" s="787">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2">
        <f t="shared" si="20"/>
        <v>0</v>
      </c>
      <c r="S61" s="787">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2">
        <f t="shared" si="20"/>
        <v>0</v>
      </c>
      <c r="S62" s="787">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2">
        <f t="shared" si="20"/>
        <v>0</v>
      </c>
      <c r="S63" s="787">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2">
        <f t="shared" si="20"/>
        <v>0</v>
      </c>
      <c r="S64" s="787">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2">
        <f t="shared" si="20"/>
        <v>0</v>
      </c>
      <c r="S65" s="787">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2">
        <f t="shared" si="20"/>
        <v>0</v>
      </c>
      <c r="S66" s="787">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2">
        <f t="shared" si="20"/>
        <v>0</v>
      </c>
      <c r="S67" s="787">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2">
        <f t="shared" si="20"/>
        <v>0</v>
      </c>
      <c r="S68" s="787">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2">
        <f t="shared" si="20"/>
        <v>0</v>
      </c>
      <c r="S69" s="787">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2">
        <f t="shared" si="20"/>
        <v>0</v>
      </c>
      <c r="S70" s="787">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2">
        <f t="shared" si="20"/>
        <v>0</v>
      </c>
      <c r="S71" s="787">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2">
        <f t="shared" si="20"/>
        <v>0</v>
      </c>
      <c r="S72" s="787">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2">
        <f t="shared" si="20"/>
        <v>0</v>
      </c>
      <c r="S73" s="787">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2">
        <f t="shared" si="20"/>
        <v>0</v>
      </c>
      <c r="S74" s="787">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2">
        <f t="shared" si="20"/>
        <v>0</v>
      </c>
      <c r="S75" s="787">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2">
        <f t="shared" si="20"/>
        <v>0</v>
      </c>
      <c r="S76" s="787">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2">
        <f t="shared" si="20"/>
        <v>0</v>
      </c>
      <c r="S77" s="787">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2">
        <f t="shared" si="20"/>
        <v>0</v>
      </c>
      <c r="S78" s="787">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2">
        <f t="shared" si="20"/>
        <v>0</v>
      </c>
      <c r="S79" s="787">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2">
        <f t="shared" si="20"/>
        <v>0</v>
      </c>
      <c r="S80" s="787">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2">
        <f t="shared" si="20"/>
        <v>0</v>
      </c>
      <c r="S81" s="787">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2">
        <f t="shared" si="20"/>
        <v>0</v>
      </c>
      <c r="S82" s="787">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2">
        <f t="shared" si="20"/>
        <v>0</v>
      </c>
      <c r="S83" s="787">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2">
        <f t="shared" si="20"/>
        <v>0</v>
      </c>
      <c r="S84" s="787">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2">
        <f t="shared" si="20"/>
        <v>0</v>
      </c>
      <c r="S85" s="787">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2">
        <f t="shared" si="20"/>
        <v>0</v>
      </c>
      <c r="S86" s="787">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2">
        <f t="shared" si="20"/>
        <v>0</v>
      </c>
      <c r="S87" s="787">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2">
        <f t="shared" si="20"/>
        <v>0</v>
      </c>
      <c r="S88" s="787">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2">
        <f t="shared" si="20"/>
        <v>0</v>
      </c>
      <c r="S89" s="787">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2">
        <f t="shared" ref="R90:R153" si="31">IF(B90="",0,ROUND($R$24*C90*E90*G90*I90*K90*M90*O90*Q90,0))</f>
        <v>0</v>
      </c>
      <c r="S90" s="787">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2">
        <f t="shared" si="31"/>
        <v>0</v>
      </c>
      <c r="S91" s="787">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2">
        <f t="shared" si="31"/>
        <v>0</v>
      </c>
      <c r="S92" s="787">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2">
        <f t="shared" si="31"/>
        <v>0</v>
      </c>
      <c r="S93" s="787">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2">
        <f t="shared" si="31"/>
        <v>0</v>
      </c>
      <c r="S94" s="787">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2">
        <f t="shared" si="31"/>
        <v>0</v>
      </c>
      <c r="S95" s="787">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2">
        <f t="shared" si="31"/>
        <v>0</v>
      </c>
      <c r="S96" s="787">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2">
        <f t="shared" si="31"/>
        <v>0</v>
      </c>
      <c r="S97" s="787">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2">
        <f t="shared" si="31"/>
        <v>0</v>
      </c>
      <c r="S98" s="787">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2">
        <f t="shared" si="31"/>
        <v>0</v>
      </c>
      <c r="S99" s="787">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2">
        <f t="shared" si="31"/>
        <v>0</v>
      </c>
      <c r="S100" s="787">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2">
        <f t="shared" si="31"/>
        <v>0</v>
      </c>
      <c r="S101" s="787">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2">
        <f t="shared" si="31"/>
        <v>0</v>
      </c>
      <c r="S102" s="787">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2">
        <f t="shared" si="31"/>
        <v>0</v>
      </c>
      <c r="S103" s="787">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2">
        <f t="shared" si="31"/>
        <v>0</v>
      </c>
      <c r="S104" s="787">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2">
        <f t="shared" si="31"/>
        <v>0</v>
      </c>
      <c r="S105" s="787">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2">
        <f t="shared" si="31"/>
        <v>0</v>
      </c>
      <c r="S106" s="787">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2">
        <f t="shared" si="31"/>
        <v>0</v>
      </c>
      <c r="S107" s="787">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2">
        <f t="shared" si="31"/>
        <v>0</v>
      </c>
      <c r="S108" s="787">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2">
        <f t="shared" si="31"/>
        <v>0</v>
      </c>
      <c r="S109" s="787">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2">
        <f t="shared" si="31"/>
        <v>0</v>
      </c>
      <c r="S110" s="787">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2">
        <f t="shared" si="31"/>
        <v>0</v>
      </c>
      <c r="S111" s="787">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2">
        <f t="shared" si="31"/>
        <v>0</v>
      </c>
      <c r="S112" s="787">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2">
        <f t="shared" si="31"/>
        <v>0</v>
      </c>
      <c r="S113" s="787">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2">
        <f t="shared" si="31"/>
        <v>0</v>
      </c>
      <c r="S114" s="787">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2">
        <f t="shared" si="31"/>
        <v>0</v>
      </c>
      <c r="S115" s="787">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2">
        <f t="shared" si="31"/>
        <v>0</v>
      </c>
      <c r="S116" s="787">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2">
        <f t="shared" si="31"/>
        <v>0</v>
      </c>
      <c r="S117" s="787">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2">
        <f t="shared" si="31"/>
        <v>0</v>
      </c>
      <c r="S118" s="787">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2">
        <f t="shared" si="31"/>
        <v>0</v>
      </c>
      <c r="S119" s="787">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2">
        <f t="shared" si="31"/>
        <v>0</v>
      </c>
      <c r="S120" s="787">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2">
        <f t="shared" si="31"/>
        <v>0</v>
      </c>
      <c r="S121" s="787">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2">
        <f t="shared" si="31"/>
        <v>0</v>
      </c>
      <c r="S122" s="787">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2">
        <f t="shared" si="31"/>
        <v>0</v>
      </c>
      <c r="S123" s="787">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2">
        <f t="shared" si="31"/>
        <v>0</v>
      </c>
      <c r="S124" s="787">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2">
        <f t="shared" si="31"/>
        <v>0</v>
      </c>
      <c r="S125" s="787">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2">
        <f t="shared" si="31"/>
        <v>0</v>
      </c>
      <c r="S126" s="787">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2">
        <f t="shared" si="31"/>
        <v>0</v>
      </c>
      <c r="S127" s="787">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2">
        <f t="shared" si="31"/>
        <v>0</v>
      </c>
      <c r="S128" s="787">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2">
        <f t="shared" si="31"/>
        <v>0</v>
      </c>
      <c r="S129" s="787">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2">
        <f t="shared" si="31"/>
        <v>0</v>
      </c>
      <c r="S130" s="787">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2">
        <f t="shared" si="31"/>
        <v>0</v>
      </c>
      <c r="S131" s="787">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2">
        <f t="shared" si="31"/>
        <v>0</v>
      </c>
      <c r="S132" s="787">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2">
        <f t="shared" si="31"/>
        <v>0</v>
      </c>
      <c r="S133" s="787">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2">
        <f t="shared" si="31"/>
        <v>0</v>
      </c>
      <c r="S134" s="787">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2">
        <f t="shared" si="31"/>
        <v>0</v>
      </c>
      <c r="S135" s="787">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2">
        <f t="shared" si="31"/>
        <v>0</v>
      </c>
      <c r="S136" s="787">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2">
        <f t="shared" si="31"/>
        <v>0</v>
      </c>
      <c r="S137" s="787">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2">
        <f t="shared" si="31"/>
        <v>0</v>
      </c>
      <c r="S138" s="787">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2">
        <f t="shared" si="31"/>
        <v>0</v>
      </c>
      <c r="S139" s="787">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2">
        <f t="shared" si="31"/>
        <v>0</v>
      </c>
      <c r="S140" s="787">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2">
        <f t="shared" si="31"/>
        <v>0</v>
      </c>
      <c r="S141" s="787">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2">
        <f t="shared" si="31"/>
        <v>0</v>
      </c>
      <c r="S142" s="787">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2">
        <f t="shared" si="31"/>
        <v>0</v>
      </c>
      <c r="S143" s="787">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2">
        <f t="shared" si="31"/>
        <v>0</v>
      </c>
      <c r="S144" s="787">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2">
        <f t="shared" si="31"/>
        <v>0</v>
      </c>
      <c r="S145" s="787">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2">
        <f t="shared" si="31"/>
        <v>0</v>
      </c>
      <c r="S146" s="787">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2">
        <f t="shared" si="31"/>
        <v>0</v>
      </c>
      <c r="S147" s="787">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2">
        <f t="shared" si="31"/>
        <v>0</v>
      </c>
      <c r="S148" s="787">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2">
        <f t="shared" si="31"/>
        <v>0</v>
      </c>
      <c r="S149" s="787">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2">
        <f t="shared" si="31"/>
        <v>0</v>
      </c>
      <c r="S150" s="787">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2">
        <f t="shared" si="31"/>
        <v>0</v>
      </c>
      <c r="S151" s="787">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2">
        <f t="shared" si="31"/>
        <v>0</v>
      </c>
      <c r="S152" s="787">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2">
        <f t="shared" si="31"/>
        <v>0</v>
      </c>
      <c r="S153" s="787">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2">
        <f t="shared" ref="R154:R217" si="41">IF(B154="",0,ROUND($R$24*C154*E154*G154*I154*K154*M154*O154*Q154,0))</f>
        <v>0</v>
      </c>
      <c r="S154" s="787">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2">
        <f t="shared" si="41"/>
        <v>0</v>
      </c>
      <c r="S155" s="787">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2">
        <f t="shared" si="41"/>
        <v>0</v>
      </c>
      <c r="S156" s="787">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2">
        <f t="shared" si="41"/>
        <v>0</v>
      </c>
      <c r="S157" s="787">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2">
        <f t="shared" si="41"/>
        <v>0</v>
      </c>
      <c r="S158" s="787">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2">
        <f t="shared" si="41"/>
        <v>0</v>
      </c>
      <c r="S159" s="787">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2">
        <f t="shared" si="41"/>
        <v>0</v>
      </c>
      <c r="S160" s="787">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2">
        <f t="shared" si="41"/>
        <v>0</v>
      </c>
      <c r="S161" s="787">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2">
        <f t="shared" si="41"/>
        <v>0</v>
      </c>
      <c r="S162" s="787">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2">
        <f t="shared" si="41"/>
        <v>0</v>
      </c>
      <c r="S163" s="787">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2">
        <f t="shared" si="41"/>
        <v>0</v>
      </c>
      <c r="S164" s="787">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2">
        <f t="shared" si="41"/>
        <v>0</v>
      </c>
      <c r="S165" s="787">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2">
        <f t="shared" si="41"/>
        <v>0</v>
      </c>
      <c r="S166" s="787">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2">
        <f t="shared" si="41"/>
        <v>0</v>
      </c>
      <c r="S167" s="787">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2">
        <f t="shared" si="41"/>
        <v>0</v>
      </c>
      <c r="S168" s="787">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2">
        <f t="shared" si="41"/>
        <v>0</v>
      </c>
      <c r="S169" s="787">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2">
        <f t="shared" si="41"/>
        <v>0</v>
      </c>
      <c r="S170" s="787">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2">
        <f t="shared" si="41"/>
        <v>0</v>
      </c>
      <c r="S171" s="787">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2">
        <f t="shared" si="41"/>
        <v>0</v>
      </c>
      <c r="S172" s="787">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2">
        <f t="shared" si="41"/>
        <v>0</v>
      </c>
      <c r="S173" s="787">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2">
        <f t="shared" si="41"/>
        <v>0</v>
      </c>
      <c r="S174" s="787">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2">
        <f t="shared" si="41"/>
        <v>0</v>
      </c>
      <c r="S175" s="787">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2">
        <f t="shared" si="41"/>
        <v>0</v>
      </c>
      <c r="S176" s="787">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2">
        <f t="shared" si="41"/>
        <v>0</v>
      </c>
      <c r="S177" s="787">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2">
        <f t="shared" si="41"/>
        <v>0</v>
      </c>
      <c r="S178" s="787">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2">
        <f t="shared" si="41"/>
        <v>0</v>
      </c>
      <c r="S179" s="787">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2">
        <f t="shared" si="41"/>
        <v>0</v>
      </c>
      <c r="S180" s="787">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2">
        <f t="shared" si="41"/>
        <v>0</v>
      </c>
      <c r="S181" s="787">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2">
        <f t="shared" si="41"/>
        <v>0</v>
      </c>
      <c r="S182" s="787">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2">
        <f t="shared" si="41"/>
        <v>0</v>
      </c>
      <c r="S183" s="787">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2">
        <f t="shared" si="41"/>
        <v>0</v>
      </c>
      <c r="S184" s="787">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2">
        <f t="shared" si="41"/>
        <v>0</v>
      </c>
      <c r="S185" s="787">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2">
        <f t="shared" si="41"/>
        <v>0</v>
      </c>
      <c r="S186" s="787">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2">
        <f t="shared" si="41"/>
        <v>0</v>
      </c>
      <c r="S187" s="787">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2">
        <f t="shared" si="41"/>
        <v>0</v>
      </c>
      <c r="S188" s="787">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2">
        <f t="shared" si="41"/>
        <v>0</v>
      </c>
      <c r="S189" s="787">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2">
        <f t="shared" si="41"/>
        <v>0</v>
      </c>
      <c r="S190" s="787">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2">
        <f t="shared" si="41"/>
        <v>0</v>
      </c>
      <c r="S191" s="787">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2">
        <f t="shared" si="41"/>
        <v>0</v>
      </c>
      <c r="S192" s="787">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2">
        <f t="shared" si="41"/>
        <v>0</v>
      </c>
      <c r="S193" s="787">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2">
        <f t="shared" si="41"/>
        <v>0</v>
      </c>
      <c r="S194" s="787">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2">
        <f t="shared" si="41"/>
        <v>0</v>
      </c>
      <c r="S195" s="787">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2">
        <f t="shared" si="41"/>
        <v>0</v>
      </c>
      <c r="S196" s="787">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2">
        <f t="shared" si="41"/>
        <v>0</v>
      </c>
      <c r="S197" s="787">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2">
        <f t="shared" si="41"/>
        <v>0</v>
      </c>
      <c r="S198" s="787">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2">
        <f t="shared" si="41"/>
        <v>0</v>
      </c>
      <c r="S199" s="787">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2">
        <f t="shared" si="41"/>
        <v>0</v>
      </c>
      <c r="S200" s="787">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2">
        <f t="shared" si="41"/>
        <v>0</v>
      </c>
      <c r="S201" s="787">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2">
        <f t="shared" si="41"/>
        <v>0</v>
      </c>
      <c r="S202" s="787">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2">
        <f t="shared" si="41"/>
        <v>0</v>
      </c>
      <c r="S203" s="787">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2">
        <f t="shared" si="41"/>
        <v>0</v>
      </c>
      <c r="S204" s="787">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2">
        <f t="shared" si="41"/>
        <v>0</v>
      </c>
      <c r="S205" s="787">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2">
        <f t="shared" si="41"/>
        <v>0</v>
      </c>
      <c r="S206" s="787">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2">
        <f t="shared" si="41"/>
        <v>0</v>
      </c>
      <c r="S207" s="787">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2">
        <f t="shared" si="41"/>
        <v>0</v>
      </c>
      <c r="S208" s="787">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2">
        <f t="shared" si="41"/>
        <v>0</v>
      </c>
      <c r="S209" s="787">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2">
        <f t="shared" si="41"/>
        <v>0</v>
      </c>
      <c r="S210" s="787">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2">
        <f t="shared" si="41"/>
        <v>0</v>
      </c>
      <c r="S211" s="787">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2">
        <f t="shared" si="41"/>
        <v>0</v>
      </c>
      <c r="S212" s="787">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2">
        <f t="shared" si="41"/>
        <v>0</v>
      </c>
      <c r="S213" s="787">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2">
        <f t="shared" si="41"/>
        <v>0</v>
      </c>
      <c r="S214" s="787">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2">
        <f t="shared" si="41"/>
        <v>0</v>
      </c>
      <c r="S215" s="787">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2">
        <f t="shared" si="41"/>
        <v>0</v>
      </c>
      <c r="S216" s="787">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2">
        <f t="shared" si="41"/>
        <v>0</v>
      </c>
      <c r="S217" s="787">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2">
        <f t="shared" ref="R218:R281" si="51">IF(B218="",0,ROUND($R$24*C218*E218*G218*I218*K218*M218*O218*Q218,0))</f>
        <v>0</v>
      </c>
      <c r="S218" s="787">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2">
        <f t="shared" si="51"/>
        <v>0</v>
      </c>
      <c r="S219" s="787">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2">
        <f t="shared" si="51"/>
        <v>0</v>
      </c>
      <c r="S220" s="787">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2">
        <f t="shared" si="51"/>
        <v>0</v>
      </c>
      <c r="S221" s="787">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2">
        <f t="shared" si="51"/>
        <v>0</v>
      </c>
      <c r="S222" s="787">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2">
        <f t="shared" si="51"/>
        <v>0</v>
      </c>
      <c r="S223" s="787">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2">
        <f t="shared" si="51"/>
        <v>0</v>
      </c>
      <c r="S224" s="787">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2">
        <f t="shared" si="51"/>
        <v>0</v>
      </c>
      <c r="S225" s="787">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2">
        <f t="shared" si="51"/>
        <v>0</v>
      </c>
      <c r="S226" s="787">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2">
        <f t="shared" si="51"/>
        <v>0</v>
      </c>
      <c r="S227" s="787">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2">
        <f t="shared" si="51"/>
        <v>0</v>
      </c>
      <c r="S228" s="787">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2">
        <f t="shared" si="51"/>
        <v>0</v>
      </c>
      <c r="S229" s="787">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2">
        <f t="shared" si="51"/>
        <v>0</v>
      </c>
      <c r="S230" s="787">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2">
        <f t="shared" si="51"/>
        <v>0</v>
      </c>
      <c r="S231" s="787">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2">
        <f t="shared" si="51"/>
        <v>0</v>
      </c>
      <c r="S232" s="787">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2">
        <f t="shared" si="51"/>
        <v>0</v>
      </c>
      <c r="S233" s="787">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2">
        <f t="shared" si="51"/>
        <v>0</v>
      </c>
      <c r="S234" s="787">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2">
        <f t="shared" si="51"/>
        <v>0</v>
      </c>
      <c r="S235" s="787">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2">
        <f t="shared" si="51"/>
        <v>0</v>
      </c>
      <c r="S236" s="787">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2">
        <f t="shared" si="51"/>
        <v>0</v>
      </c>
      <c r="S237" s="787">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2">
        <f t="shared" si="51"/>
        <v>0</v>
      </c>
      <c r="S238" s="787">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2">
        <f t="shared" si="51"/>
        <v>0</v>
      </c>
      <c r="S239" s="787">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2">
        <f t="shared" si="51"/>
        <v>0</v>
      </c>
      <c r="S240" s="787">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2">
        <f t="shared" si="51"/>
        <v>0</v>
      </c>
      <c r="S241" s="787">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2">
        <f t="shared" si="51"/>
        <v>0</v>
      </c>
      <c r="S242" s="787">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2">
        <f t="shared" si="51"/>
        <v>0</v>
      </c>
      <c r="S243" s="787">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2">
        <f t="shared" si="51"/>
        <v>0</v>
      </c>
      <c r="S244" s="787">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2">
        <f t="shared" si="51"/>
        <v>0</v>
      </c>
      <c r="S245" s="787">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2">
        <f t="shared" si="51"/>
        <v>0</v>
      </c>
      <c r="S246" s="787">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2">
        <f t="shared" si="51"/>
        <v>0</v>
      </c>
      <c r="S247" s="787">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2">
        <f t="shared" si="51"/>
        <v>0</v>
      </c>
      <c r="S248" s="787">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2">
        <f t="shared" si="51"/>
        <v>0</v>
      </c>
      <c r="S249" s="787">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2">
        <f t="shared" si="51"/>
        <v>0</v>
      </c>
      <c r="S250" s="787">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2">
        <f t="shared" si="51"/>
        <v>0</v>
      </c>
      <c r="S251" s="787">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2">
        <f t="shared" si="51"/>
        <v>0</v>
      </c>
      <c r="S252" s="787">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2">
        <f t="shared" si="51"/>
        <v>0</v>
      </c>
      <c r="S253" s="787">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2">
        <f t="shared" si="51"/>
        <v>0</v>
      </c>
      <c r="S254" s="787">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2">
        <f t="shared" si="51"/>
        <v>0</v>
      </c>
      <c r="S255" s="787">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2">
        <f t="shared" si="51"/>
        <v>0</v>
      </c>
      <c r="S256" s="787">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2">
        <f t="shared" si="51"/>
        <v>0</v>
      </c>
      <c r="S257" s="787">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2">
        <f t="shared" si="51"/>
        <v>0</v>
      </c>
      <c r="S258" s="787">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2">
        <f t="shared" si="51"/>
        <v>0</v>
      </c>
      <c r="S259" s="787">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2">
        <f t="shared" si="51"/>
        <v>0</v>
      </c>
      <c r="S260" s="787">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2">
        <f t="shared" si="51"/>
        <v>0</v>
      </c>
      <c r="S261" s="787">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2">
        <f t="shared" si="51"/>
        <v>0</v>
      </c>
      <c r="S262" s="787">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2">
        <f t="shared" si="51"/>
        <v>0</v>
      </c>
      <c r="S263" s="787">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2">
        <f t="shared" si="51"/>
        <v>0</v>
      </c>
      <c r="S264" s="787">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2">
        <f t="shared" si="51"/>
        <v>0</v>
      </c>
      <c r="S265" s="787">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2">
        <f t="shared" si="51"/>
        <v>0</v>
      </c>
      <c r="S266" s="787">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2">
        <f t="shared" si="51"/>
        <v>0</v>
      </c>
      <c r="S267" s="787">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2">
        <f t="shared" si="51"/>
        <v>0</v>
      </c>
      <c r="S268" s="787">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2">
        <f t="shared" si="51"/>
        <v>0</v>
      </c>
      <c r="S269" s="787">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2">
        <f t="shared" si="51"/>
        <v>0</v>
      </c>
      <c r="S270" s="787">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2">
        <f t="shared" si="51"/>
        <v>0</v>
      </c>
      <c r="S271" s="787">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2">
        <f t="shared" si="51"/>
        <v>0</v>
      </c>
      <c r="S272" s="787">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2">
        <f t="shared" si="51"/>
        <v>0</v>
      </c>
      <c r="S273" s="787">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2">
        <f t="shared" si="51"/>
        <v>0</v>
      </c>
      <c r="S274" s="787">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2">
        <f t="shared" si="51"/>
        <v>0</v>
      </c>
      <c r="S275" s="787">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2">
        <f t="shared" si="51"/>
        <v>0</v>
      </c>
      <c r="S276" s="787">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2">
        <f t="shared" si="51"/>
        <v>0</v>
      </c>
      <c r="S277" s="787">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2">
        <f t="shared" si="51"/>
        <v>0</v>
      </c>
      <c r="S278" s="787">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2">
        <f t="shared" si="51"/>
        <v>0</v>
      </c>
      <c r="S279" s="787">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2">
        <f t="shared" si="51"/>
        <v>0</v>
      </c>
      <c r="S280" s="787">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2">
        <f t="shared" si="51"/>
        <v>0</v>
      </c>
      <c r="S281" s="787">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2">
        <f t="shared" ref="R282:R345" si="61">IF(B282="",0,ROUND($R$24*C282*E282*G282*I282*K282*M282*O282*Q282,0))</f>
        <v>0</v>
      </c>
      <c r="S282" s="787">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2">
        <f t="shared" si="61"/>
        <v>0</v>
      </c>
      <c r="S283" s="787">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2">
        <f t="shared" si="61"/>
        <v>0</v>
      </c>
      <c r="S284" s="787">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2">
        <f t="shared" si="61"/>
        <v>0</v>
      </c>
      <c r="S285" s="787">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2">
        <f t="shared" si="61"/>
        <v>0</v>
      </c>
      <c r="S286" s="787">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2">
        <f t="shared" si="61"/>
        <v>0</v>
      </c>
      <c r="S287" s="787">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2">
        <f t="shared" si="61"/>
        <v>0</v>
      </c>
      <c r="S288" s="787">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2">
        <f t="shared" si="61"/>
        <v>0</v>
      </c>
      <c r="S289" s="787">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2">
        <f t="shared" si="61"/>
        <v>0</v>
      </c>
      <c r="S290" s="787">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2">
        <f t="shared" si="61"/>
        <v>0</v>
      </c>
      <c r="S291" s="787">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2">
        <f t="shared" si="61"/>
        <v>0</v>
      </c>
      <c r="S292" s="787">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2">
        <f t="shared" si="61"/>
        <v>0</v>
      </c>
      <c r="S293" s="787">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2">
        <f t="shared" si="61"/>
        <v>0</v>
      </c>
      <c r="S294" s="787">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2">
        <f t="shared" si="61"/>
        <v>0</v>
      </c>
      <c r="S295" s="787">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2">
        <f t="shared" si="61"/>
        <v>0</v>
      </c>
      <c r="S296" s="787">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2">
        <f t="shared" si="61"/>
        <v>0</v>
      </c>
      <c r="S297" s="787">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2">
        <f t="shared" si="61"/>
        <v>0</v>
      </c>
      <c r="S298" s="787">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2">
        <f t="shared" si="61"/>
        <v>0</v>
      </c>
      <c r="S299" s="787">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2">
        <f t="shared" si="61"/>
        <v>0</v>
      </c>
      <c r="S300" s="787">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2">
        <f t="shared" si="61"/>
        <v>0</v>
      </c>
      <c r="S301" s="787">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2">
        <f t="shared" si="61"/>
        <v>0</v>
      </c>
      <c r="S302" s="787">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2">
        <f t="shared" si="61"/>
        <v>0</v>
      </c>
      <c r="S303" s="787">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2">
        <f t="shared" si="61"/>
        <v>0</v>
      </c>
      <c r="S304" s="787">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2">
        <f t="shared" si="61"/>
        <v>0</v>
      </c>
      <c r="S305" s="787">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2">
        <f t="shared" si="61"/>
        <v>0</v>
      </c>
      <c r="S306" s="787">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2">
        <f t="shared" si="61"/>
        <v>0</v>
      </c>
      <c r="S307" s="787">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2">
        <f t="shared" si="61"/>
        <v>0</v>
      </c>
      <c r="S308" s="787">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2">
        <f t="shared" si="61"/>
        <v>0</v>
      </c>
      <c r="S309" s="787">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2">
        <f t="shared" si="61"/>
        <v>0</v>
      </c>
      <c r="S310" s="787">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2">
        <f t="shared" si="61"/>
        <v>0</v>
      </c>
      <c r="S311" s="787">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2">
        <f t="shared" si="61"/>
        <v>0</v>
      </c>
      <c r="S312" s="787">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2">
        <f t="shared" si="61"/>
        <v>0</v>
      </c>
      <c r="S313" s="787">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2">
        <f t="shared" si="61"/>
        <v>0</v>
      </c>
      <c r="S314" s="787">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2">
        <f t="shared" si="61"/>
        <v>0</v>
      </c>
      <c r="S315" s="787">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2">
        <f t="shared" si="61"/>
        <v>0</v>
      </c>
      <c r="S316" s="787">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2">
        <f t="shared" si="61"/>
        <v>0</v>
      </c>
      <c r="S317" s="787">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2">
        <f t="shared" si="61"/>
        <v>0</v>
      </c>
      <c r="S318" s="787">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2">
        <f t="shared" si="61"/>
        <v>0</v>
      </c>
      <c r="S319" s="787">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2">
        <f t="shared" si="61"/>
        <v>0</v>
      </c>
      <c r="S320" s="787">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2">
        <f t="shared" si="61"/>
        <v>0</v>
      </c>
      <c r="S321" s="787">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2">
        <f t="shared" si="61"/>
        <v>0</v>
      </c>
      <c r="S322" s="787">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2">
        <f t="shared" si="61"/>
        <v>0</v>
      </c>
      <c r="S323" s="787">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2">
        <f t="shared" si="61"/>
        <v>0</v>
      </c>
      <c r="S324" s="787">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2">
        <f t="shared" si="61"/>
        <v>0</v>
      </c>
      <c r="S325" s="787">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2">
        <f t="shared" si="61"/>
        <v>0</v>
      </c>
      <c r="S326" s="787">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2">
        <f t="shared" si="61"/>
        <v>0</v>
      </c>
      <c r="S327" s="787">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2">
        <f t="shared" si="61"/>
        <v>0</v>
      </c>
      <c r="S328" s="787">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2">
        <f t="shared" si="61"/>
        <v>0</v>
      </c>
      <c r="S329" s="787">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2">
        <f t="shared" si="61"/>
        <v>0</v>
      </c>
      <c r="S330" s="787">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2">
        <f t="shared" si="61"/>
        <v>0</v>
      </c>
      <c r="S331" s="787">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2">
        <f t="shared" si="61"/>
        <v>0</v>
      </c>
      <c r="S332" s="787">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2">
        <f t="shared" si="61"/>
        <v>0</v>
      </c>
      <c r="S333" s="787">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2">
        <f t="shared" si="61"/>
        <v>0</v>
      </c>
      <c r="S334" s="787">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2">
        <f t="shared" si="61"/>
        <v>0</v>
      </c>
      <c r="S335" s="787">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2">
        <f t="shared" si="61"/>
        <v>0</v>
      </c>
      <c r="S336" s="787">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2">
        <f t="shared" si="61"/>
        <v>0</v>
      </c>
      <c r="S337" s="787">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2">
        <f t="shared" si="61"/>
        <v>0</v>
      </c>
      <c r="S338" s="787">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2">
        <f t="shared" si="61"/>
        <v>0</v>
      </c>
      <c r="S339" s="787">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2">
        <f t="shared" si="61"/>
        <v>0</v>
      </c>
      <c r="S340" s="787">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2">
        <f t="shared" si="61"/>
        <v>0</v>
      </c>
      <c r="S341" s="787">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2">
        <f t="shared" si="61"/>
        <v>0</v>
      </c>
      <c r="S342" s="787">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2">
        <f t="shared" si="61"/>
        <v>0</v>
      </c>
      <c r="S343" s="787">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2">
        <f t="shared" si="61"/>
        <v>0</v>
      </c>
      <c r="S344" s="787">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2">
        <f t="shared" si="61"/>
        <v>0</v>
      </c>
      <c r="S345" s="787">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2">
        <f t="shared" ref="R346:R409" si="72">IF(B346="",0,ROUND($R$24*C346*E346*G346*I346*K346*M346*O346*Q346,0))</f>
        <v>0</v>
      </c>
      <c r="S346" s="787">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2">
        <f t="shared" si="72"/>
        <v>0</v>
      </c>
      <c r="S347" s="787">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2">
        <f t="shared" si="72"/>
        <v>0</v>
      </c>
      <c r="S348" s="787">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2">
        <f t="shared" si="72"/>
        <v>0</v>
      </c>
      <c r="S349" s="787">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2">
        <f t="shared" si="72"/>
        <v>0</v>
      </c>
      <c r="S350" s="787">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2">
        <f t="shared" si="72"/>
        <v>0</v>
      </c>
      <c r="S351" s="787">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2">
        <f t="shared" si="72"/>
        <v>0</v>
      </c>
      <c r="S352" s="787">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2">
        <f t="shared" si="72"/>
        <v>0</v>
      </c>
      <c r="S353" s="787">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2">
        <f t="shared" si="72"/>
        <v>0</v>
      </c>
      <c r="S354" s="787">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2">
        <f t="shared" si="72"/>
        <v>0</v>
      </c>
      <c r="S355" s="787">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2">
        <f t="shared" si="72"/>
        <v>0</v>
      </c>
      <c r="S356" s="787">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2">
        <f t="shared" si="72"/>
        <v>0</v>
      </c>
      <c r="S357" s="787">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2">
        <f t="shared" si="72"/>
        <v>0</v>
      </c>
      <c r="S358" s="787">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2">
        <f t="shared" si="72"/>
        <v>0</v>
      </c>
      <c r="S359" s="787">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2">
        <f t="shared" si="72"/>
        <v>0</v>
      </c>
      <c r="S360" s="787">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2">
        <f t="shared" si="72"/>
        <v>0</v>
      </c>
      <c r="S361" s="787">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2">
        <f t="shared" si="72"/>
        <v>0</v>
      </c>
      <c r="S362" s="787">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2">
        <f t="shared" si="72"/>
        <v>0</v>
      </c>
      <c r="S363" s="787">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2">
        <f t="shared" si="72"/>
        <v>0</v>
      </c>
      <c r="S364" s="787">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2">
        <f t="shared" si="72"/>
        <v>0</v>
      </c>
      <c r="S365" s="787">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2">
        <f t="shared" si="72"/>
        <v>0</v>
      </c>
      <c r="S366" s="787">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2">
        <f t="shared" si="72"/>
        <v>0</v>
      </c>
      <c r="S367" s="787">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2">
        <f t="shared" si="72"/>
        <v>0</v>
      </c>
      <c r="S368" s="787">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2">
        <f t="shared" si="72"/>
        <v>0</v>
      </c>
      <c r="S369" s="787">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2">
        <f t="shared" si="72"/>
        <v>0</v>
      </c>
      <c r="S370" s="787">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2">
        <f t="shared" si="72"/>
        <v>0</v>
      </c>
      <c r="S371" s="787">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2">
        <f t="shared" si="72"/>
        <v>0</v>
      </c>
      <c r="S372" s="787">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2">
        <f t="shared" si="72"/>
        <v>0</v>
      </c>
      <c r="S373" s="787">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2">
        <f t="shared" si="72"/>
        <v>0</v>
      </c>
      <c r="S374" s="787">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2">
        <f t="shared" si="72"/>
        <v>0</v>
      </c>
      <c r="S375" s="787">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2">
        <f t="shared" si="72"/>
        <v>0</v>
      </c>
      <c r="S376" s="787">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2">
        <f t="shared" si="72"/>
        <v>0</v>
      </c>
      <c r="S377" s="787">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2">
        <f t="shared" si="72"/>
        <v>0</v>
      </c>
      <c r="S378" s="787">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2">
        <f t="shared" si="72"/>
        <v>0</v>
      </c>
      <c r="S379" s="787">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2">
        <f t="shared" si="72"/>
        <v>0</v>
      </c>
      <c r="S380" s="787">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2">
        <f t="shared" si="72"/>
        <v>0</v>
      </c>
      <c r="S381" s="787">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2">
        <f t="shared" si="72"/>
        <v>0</v>
      </c>
      <c r="S382" s="787">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2">
        <f t="shared" si="72"/>
        <v>0</v>
      </c>
      <c r="S383" s="787">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2">
        <f t="shared" si="72"/>
        <v>0</v>
      </c>
      <c r="S384" s="787">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2">
        <f t="shared" si="72"/>
        <v>0</v>
      </c>
      <c r="S385" s="787">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2">
        <f t="shared" si="72"/>
        <v>0</v>
      </c>
      <c r="S386" s="787">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2">
        <f t="shared" si="72"/>
        <v>0</v>
      </c>
      <c r="S387" s="787">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2">
        <f t="shared" si="72"/>
        <v>0</v>
      </c>
      <c r="S388" s="787">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2">
        <f t="shared" si="72"/>
        <v>0</v>
      </c>
      <c r="S389" s="787">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2">
        <f t="shared" si="72"/>
        <v>0</v>
      </c>
      <c r="S390" s="787">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2">
        <f t="shared" si="72"/>
        <v>0</v>
      </c>
      <c r="S391" s="787">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2">
        <f t="shared" si="72"/>
        <v>0</v>
      </c>
      <c r="S392" s="787">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2">
        <f t="shared" si="72"/>
        <v>0</v>
      </c>
      <c r="S393" s="787">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2">
        <f t="shared" si="72"/>
        <v>0</v>
      </c>
      <c r="S394" s="787">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2">
        <f t="shared" si="72"/>
        <v>0</v>
      </c>
      <c r="S395" s="787">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2">
        <f t="shared" si="72"/>
        <v>0</v>
      </c>
      <c r="S396" s="787">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2">
        <f t="shared" si="72"/>
        <v>0</v>
      </c>
      <c r="S397" s="787">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2">
        <f t="shared" si="72"/>
        <v>0</v>
      </c>
      <c r="S398" s="787">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2">
        <f t="shared" si="72"/>
        <v>0</v>
      </c>
      <c r="S399" s="787">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2">
        <f t="shared" si="72"/>
        <v>0</v>
      </c>
      <c r="S400" s="787">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2">
        <f t="shared" si="72"/>
        <v>0</v>
      </c>
      <c r="S401" s="787">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2">
        <f t="shared" si="72"/>
        <v>0</v>
      </c>
      <c r="S402" s="787">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2">
        <f t="shared" si="72"/>
        <v>0</v>
      </c>
      <c r="S403" s="787">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2">
        <f t="shared" si="72"/>
        <v>0</v>
      </c>
      <c r="S404" s="787">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2">
        <f t="shared" si="72"/>
        <v>0</v>
      </c>
      <c r="S405" s="787">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2">
        <f t="shared" si="72"/>
        <v>0</v>
      </c>
      <c r="S406" s="787">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2">
        <f t="shared" si="72"/>
        <v>0</v>
      </c>
      <c r="S407" s="787">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2">
        <f t="shared" si="72"/>
        <v>0</v>
      </c>
      <c r="S408" s="787">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2">
        <f t="shared" si="72"/>
        <v>0</v>
      </c>
      <c r="S409" s="787">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2">
        <f t="shared" ref="R410:R473" si="82">IF(B410="",0,ROUND($R$24*C410*E410*G410*I410*K410*M410*O410*Q410,0))</f>
        <v>0</v>
      </c>
      <c r="S410" s="787">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2">
        <f t="shared" si="82"/>
        <v>0</v>
      </c>
      <c r="S411" s="787">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2">
        <f t="shared" si="82"/>
        <v>0</v>
      </c>
      <c r="S412" s="787">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2">
        <f t="shared" si="82"/>
        <v>0</v>
      </c>
      <c r="S413" s="787">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2">
        <f t="shared" si="82"/>
        <v>0</v>
      </c>
      <c r="S414" s="787">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2">
        <f t="shared" si="82"/>
        <v>0</v>
      </c>
      <c r="S415" s="787">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2">
        <f t="shared" si="82"/>
        <v>0</v>
      </c>
      <c r="S416" s="787">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2">
        <f t="shared" si="82"/>
        <v>0</v>
      </c>
      <c r="S417" s="787">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2">
        <f t="shared" si="82"/>
        <v>0</v>
      </c>
      <c r="S418" s="787">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2">
        <f t="shared" si="82"/>
        <v>0</v>
      </c>
      <c r="S419" s="787">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2">
        <f t="shared" si="82"/>
        <v>0</v>
      </c>
      <c r="S420" s="787">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2">
        <f t="shared" si="82"/>
        <v>0</v>
      </c>
      <c r="S421" s="787">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2">
        <f t="shared" si="82"/>
        <v>0</v>
      </c>
      <c r="S422" s="787">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2">
        <f t="shared" si="82"/>
        <v>0</v>
      </c>
      <c r="S423" s="787">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2">
        <f t="shared" si="82"/>
        <v>0</v>
      </c>
      <c r="S424" s="787">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2">
        <f t="shared" si="82"/>
        <v>0</v>
      </c>
      <c r="S425" s="787">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2">
        <f t="shared" si="82"/>
        <v>0</v>
      </c>
      <c r="S426" s="787">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2">
        <f t="shared" si="82"/>
        <v>0</v>
      </c>
      <c r="S427" s="787">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2">
        <f t="shared" si="82"/>
        <v>0</v>
      </c>
      <c r="S428" s="787">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2">
        <f t="shared" si="82"/>
        <v>0</v>
      </c>
      <c r="S429" s="787">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2">
        <f t="shared" si="82"/>
        <v>0</v>
      </c>
      <c r="S430" s="787">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2">
        <f t="shared" si="82"/>
        <v>0</v>
      </c>
      <c r="S431" s="787">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2">
        <f t="shared" si="82"/>
        <v>0</v>
      </c>
      <c r="S432" s="787">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2">
        <f t="shared" si="82"/>
        <v>0</v>
      </c>
      <c r="S433" s="787">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2">
        <f t="shared" si="82"/>
        <v>0</v>
      </c>
      <c r="S434" s="787">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2">
        <f t="shared" si="82"/>
        <v>0</v>
      </c>
      <c r="S435" s="787">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2">
        <f t="shared" si="82"/>
        <v>0</v>
      </c>
      <c r="S436" s="787">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2">
        <f t="shared" si="82"/>
        <v>0</v>
      </c>
      <c r="S437" s="787">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2">
        <f t="shared" si="82"/>
        <v>0</v>
      </c>
      <c r="S438" s="787">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2">
        <f t="shared" si="82"/>
        <v>0</v>
      </c>
      <c r="S439" s="787">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2">
        <f t="shared" si="82"/>
        <v>0</v>
      </c>
      <c r="S440" s="787">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2">
        <f t="shared" si="82"/>
        <v>0</v>
      </c>
      <c r="S441" s="787">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2">
        <f t="shared" si="82"/>
        <v>0</v>
      </c>
      <c r="S442" s="787">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2">
        <f t="shared" si="82"/>
        <v>0</v>
      </c>
      <c r="S443" s="787">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2">
        <f t="shared" si="82"/>
        <v>0</v>
      </c>
      <c r="S444" s="787">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2">
        <f t="shared" si="82"/>
        <v>0</v>
      </c>
      <c r="S445" s="787">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2">
        <f t="shared" si="82"/>
        <v>0</v>
      </c>
      <c r="S446" s="787">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2">
        <f t="shared" si="82"/>
        <v>0</v>
      </c>
      <c r="S447" s="787">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2">
        <f t="shared" si="82"/>
        <v>0</v>
      </c>
      <c r="S448" s="787">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2">
        <f t="shared" si="82"/>
        <v>0</v>
      </c>
      <c r="S449" s="787">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2">
        <f t="shared" si="82"/>
        <v>0</v>
      </c>
      <c r="S450" s="787">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2">
        <f t="shared" si="82"/>
        <v>0</v>
      </c>
      <c r="S451" s="787">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2">
        <f t="shared" si="82"/>
        <v>0</v>
      </c>
      <c r="S452" s="787">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2">
        <f t="shared" si="82"/>
        <v>0</v>
      </c>
      <c r="S453" s="787">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2">
        <f t="shared" si="82"/>
        <v>0</v>
      </c>
      <c r="S454" s="787">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2">
        <f t="shared" si="82"/>
        <v>0</v>
      </c>
      <c r="S455" s="787">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2">
        <f t="shared" si="82"/>
        <v>0</v>
      </c>
      <c r="S456" s="787">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2">
        <f t="shared" si="82"/>
        <v>0</v>
      </c>
      <c r="S457" s="787">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2">
        <f t="shared" si="82"/>
        <v>0</v>
      </c>
      <c r="S458" s="787">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2">
        <f t="shared" si="82"/>
        <v>0</v>
      </c>
      <c r="S459" s="787">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2">
        <f t="shared" si="82"/>
        <v>0</v>
      </c>
      <c r="S460" s="787">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2">
        <f t="shared" si="82"/>
        <v>0</v>
      </c>
      <c r="S461" s="787">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2">
        <f t="shared" si="82"/>
        <v>0</v>
      </c>
      <c r="S462" s="787">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2">
        <f t="shared" si="82"/>
        <v>0</v>
      </c>
      <c r="S463" s="787">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2">
        <f t="shared" si="82"/>
        <v>0</v>
      </c>
      <c r="S464" s="787">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2">
        <f t="shared" si="82"/>
        <v>0</v>
      </c>
      <c r="S465" s="787">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2">
        <f t="shared" si="82"/>
        <v>0</v>
      </c>
      <c r="S466" s="787">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2">
        <f t="shared" si="82"/>
        <v>0</v>
      </c>
      <c r="S467" s="787">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2">
        <f t="shared" si="82"/>
        <v>0</v>
      </c>
      <c r="S468" s="787">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2">
        <f t="shared" si="82"/>
        <v>0</v>
      </c>
      <c r="S469" s="787">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2">
        <f t="shared" si="82"/>
        <v>0</v>
      </c>
      <c r="S470" s="787">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2">
        <f t="shared" si="82"/>
        <v>0</v>
      </c>
      <c r="S471" s="787">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2">
        <f t="shared" si="82"/>
        <v>0</v>
      </c>
      <c r="S472" s="787">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2">
        <f t="shared" si="82"/>
        <v>0</v>
      </c>
      <c r="S473" s="787">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2">
        <f t="shared" ref="R474:R524" si="93">IF(B474="",0,ROUND($R$24*C474*E474*G474*I474*K474*M474*O474*Q474,0))</f>
        <v>0</v>
      </c>
      <c r="S474" s="787">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2">
        <f t="shared" si="93"/>
        <v>0</v>
      </c>
      <c r="S475" s="787">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2">
        <f t="shared" si="93"/>
        <v>0</v>
      </c>
      <c r="S476" s="787">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2">
        <f t="shared" si="93"/>
        <v>0</v>
      </c>
      <c r="S477" s="787">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2">
        <f t="shared" si="93"/>
        <v>0</v>
      </c>
      <c r="S478" s="787">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2">
        <f t="shared" si="93"/>
        <v>0</v>
      </c>
      <c r="S479" s="787">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2">
        <f t="shared" si="93"/>
        <v>0</v>
      </c>
      <c r="S480" s="787">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2">
        <f t="shared" si="93"/>
        <v>0</v>
      </c>
      <c r="S481" s="787">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2">
        <f t="shared" si="93"/>
        <v>0</v>
      </c>
      <c r="S482" s="787">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2">
        <f t="shared" si="93"/>
        <v>0</v>
      </c>
      <c r="S483" s="787">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2">
        <f t="shared" si="93"/>
        <v>0</v>
      </c>
      <c r="S484" s="787">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2">
        <f t="shared" si="93"/>
        <v>0</v>
      </c>
      <c r="S485" s="787">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2">
        <f t="shared" si="93"/>
        <v>0</v>
      </c>
      <c r="S486" s="787">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2">
        <f t="shared" si="93"/>
        <v>0</v>
      </c>
      <c r="S487" s="787">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2">
        <f t="shared" si="93"/>
        <v>0</v>
      </c>
      <c r="S488" s="787">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2">
        <f t="shared" si="93"/>
        <v>0</v>
      </c>
      <c r="S489" s="787">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2">
        <f t="shared" si="93"/>
        <v>0</v>
      </c>
      <c r="S490" s="787">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2">
        <f t="shared" si="93"/>
        <v>0</v>
      </c>
      <c r="S491" s="787">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2">
        <f t="shared" si="93"/>
        <v>0</v>
      </c>
      <c r="S492" s="787">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2">
        <f t="shared" si="93"/>
        <v>0</v>
      </c>
      <c r="S493" s="787">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2">
        <f t="shared" si="93"/>
        <v>0</v>
      </c>
      <c r="S494" s="787">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2">
        <f t="shared" si="93"/>
        <v>0</v>
      </c>
      <c r="S495" s="787">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2">
        <f t="shared" si="93"/>
        <v>0</v>
      </c>
      <c r="S496" s="787">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2">
        <f t="shared" si="93"/>
        <v>0</v>
      </c>
      <c r="S497" s="787">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2">
        <f t="shared" si="93"/>
        <v>0</v>
      </c>
      <c r="S498" s="787">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2">
        <f t="shared" si="93"/>
        <v>0</v>
      </c>
      <c r="S499" s="787">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2">
        <f t="shared" si="93"/>
        <v>0</v>
      </c>
      <c r="S500" s="787">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2">
        <f t="shared" si="93"/>
        <v>0</v>
      </c>
      <c r="S501" s="787">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2">
        <f t="shared" si="93"/>
        <v>0</v>
      </c>
      <c r="S502" s="787">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2">
        <f t="shared" si="93"/>
        <v>0</v>
      </c>
      <c r="S503" s="787">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2">
        <f t="shared" si="93"/>
        <v>0</v>
      </c>
      <c r="S504" s="787">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2">
        <f t="shared" si="93"/>
        <v>0</v>
      </c>
      <c r="S505" s="787">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2">
        <f t="shared" si="93"/>
        <v>0</v>
      </c>
      <c r="S506" s="787">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2">
        <f t="shared" si="93"/>
        <v>0</v>
      </c>
      <c r="S507" s="787">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2">
        <f t="shared" si="93"/>
        <v>0</v>
      </c>
      <c r="S508" s="787">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2">
        <f t="shared" si="93"/>
        <v>0</v>
      </c>
      <c r="S509" s="787">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2">
        <f t="shared" si="93"/>
        <v>0</v>
      </c>
      <c r="S510" s="787">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2">
        <f t="shared" si="93"/>
        <v>0</v>
      </c>
      <c r="S511" s="787">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2">
        <f t="shared" si="93"/>
        <v>0</v>
      </c>
      <c r="S512" s="787">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2">
        <f t="shared" si="93"/>
        <v>0</v>
      </c>
      <c r="S513" s="787">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2">
        <f t="shared" si="93"/>
        <v>0</v>
      </c>
      <c r="S514" s="787">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2">
        <f t="shared" si="93"/>
        <v>0</v>
      </c>
      <c r="S515" s="787">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2">
        <f t="shared" si="93"/>
        <v>0</v>
      </c>
      <c r="S516" s="787">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2">
        <f t="shared" si="93"/>
        <v>0</v>
      </c>
      <c r="S517" s="787">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2">
        <f t="shared" si="93"/>
        <v>0</v>
      </c>
      <c r="S518" s="787">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2">
        <f t="shared" si="93"/>
        <v>0</v>
      </c>
      <c r="S519" s="787">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2">
        <f t="shared" si="93"/>
        <v>0</v>
      </c>
      <c r="S520" s="787">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2">
        <f t="shared" si="93"/>
        <v>0</v>
      </c>
      <c r="S521" s="787">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2">
        <f t="shared" si="93"/>
        <v>0</v>
      </c>
      <c r="S522" s="787">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2">
        <f t="shared" si="93"/>
        <v>0</v>
      </c>
      <c r="S523" s="787">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2">
        <f t="shared" si="93"/>
        <v>0</v>
      </c>
      <c r="S524" s="787">
        <f t="shared" si="94"/>
        <v>0</v>
      </c>
    </row>
    <row r="525" spans="1:19">
      <c r="A525" s="253"/>
      <c r="B525" s="57"/>
      <c r="C525" s="57"/>
      <c r="D525" s="57"/>
      <c r="E525" s="57"/>
      <c r="F525" s="57"/>
      <c r="G525" s="57"/>
      <c r="H525" s="57"/>
      <c r="I525" s="57"/>
      <c r="J525" s="57"/>
      <c r="K525" s="57"/>
      <c r="L525" s="57"/>
      <c r="M525" s="57"/>
      <c r="N525" s="57"/>
      <c r="O525" s="57"/>
      <c r="P525" s="57"/>
      <c r="Q525" s="57"/>
      <c r="R525" s="2102"/>
      <c r="S525" s="253"/>
    </row>
    <row r="526" spans="1:19">
      <c r="A526" s="253"/>
      <c r="B526" s="57"/>
      <c r="C526" s="57"/>
      <c r="D526" s="57"/>
      <c r="E526" s="57"/>
      <c r="F526" s="57"/>
      <c r="G526" s="57"/>
      <c r="H526" s="57"/>
      <c r="I526" s="57"/>
      <c r="J526" s="57"/>
      <c r="K526" s="57"/>
      <c r="L526" s="57"/>
      <c r="M526" s="57"/>
      <c r="N526" s="57"/>
      <c r="O526" s="57"/>
      <c r="P526" s="57"/>
      <c r="Q526" s="57"/>
      <c r="R526" s="2102"/>
      <c r="S526" s="253"/>
    </row>
    <row r="527" spans="1:19">
      <c r="A527" s="253"/>
      <c r="B527" s="57"/>
      <c r="C527" s="57"/>
      <c r="D527" s="57"/>
      <c r="E527" s="57"/>
      <c r="F527" s="57"/>
      <c r="G527" s="57"/>
      <c r="H527" s="57"/>
      <c r="I527" s="57"/>
      <c r="J527" s="57"/>
      <c r="K527" s="57"/>
      <c r="L527" s="57"/>
      <c r="M527" s="57"/>
      <c r="N527" s="57"/>
      <c r="O527" s="57"/>
      <c r="P527" s="57"/>
      <c r="Q527" s="57"/>
      <c r="R527" s="2102"/>
      <c r="S527" s="253"/>
    </row>
    <row r="528" spans="1:19">
      <c r="A528" s="253"/>
      <c r="B528" s="57"/>
      <c r="C528" s="57"/>
      <c r="D528" s="57"/>
      <c r="E528" s="57"/>
      <c r="F528" s="57"/>
      <c r="G528" s="57"/>
      <c r="H528" s="57"/>
      <c r="I528" s="57"/>
      <c r="J528" s="57"/>
      <c r="K528" s="57"/>
      <c r="L528" s="57"/>
      <c r="M528" s="57"/>
      <c r="N528" s="57"/>
      <c r="O528" s="57"/>
      <c r="P528" s="57"/>
      <c r="Q528" s="57"/>
      <c r="R528" s="2102"/>
      <c r="S528" s="253"/>
    </row>
    <row r="529" spans="1:19">
      <c r="A529" s="253"/>
      <c r="B529" s="57"/>
      <c r="C529" s="57"/>
      <c r="D529" s="57"/>
      <c r="E529" s="57"/>
      <c r="F529" s="57"/>
      <c r="G529" s="57"/>
      <c r="H529" s="57"/>
      <c r="I529" s="57"/>
      <c r="J529" s="57"/>
      <c r="K529" s="57"/>
      <c r="L529" s="57"/>
      <c r="M529" s="57"/>
      <c r="N529" s="57"/>
      <c r="O529" s="57"/>
      <c r="P529" s="57"/>
      <c r="Q529" s="57"/>
      <c r="R529" s="2102"/>
      <c r="S529" s="253"/>
    </row>
    <row r="530" spans="1:19">
      <c r="A530" s="253"/>
      <c r="B530" s="57"/>
      <c r="C530" s="57"/>
      <c r="D530" s="57"/>
      <c r="E530" s="57"/>
      <c r="F530" s="57"/>
      <c r="G530" s="57"/>
      <c r="H530" s="57"/>
      <c r="I530" s="57"/>
      <c r="J530" s="57"/>
      <c r="K530" s="57"/>
      <c r="L530" s="57"/>
      <c r="M530" s="57"/>
      <c r="N530" s="57"/>
      <c r="O530" s="57"/>
      <c r="P530" s="57"/>
      <c r="Q530" s="57"/>
      <c r="R530" s="2102"/>
      <c r="S530" s="253"/>
    </row>
    <row r="531" spans="1:19">
      <c r="A531" s="253"/>
      <c r="B531" s="57"/>
      <c r="C531" s="57"/>
      <c r="D531" s="57"/>
      <c r="E531" s="57"/>
      <c r="F531" s="57"/>
      <c r="G531" s="57"/>
      <c r="H531" s="57"/>
      <c r="I531" s="57"/>
      <c r="J531" s="57"/>
      <c r="K531" s="57"/>
      <c r="L531" s="57"/>
      <c r="M531" s="57"/>
      <c r="N531" s="57"/>
      <c r="O531" s="57"/>
      <c r="P531" s="57"/>
      <c r="Q531" s="57"/>
      <c r="R531" s="2102"/>
      <c r="S531" s="253"/>
    </row>
    <row r="532" spans="1:19">
      <c r="A532" s="253"/>
      <c r="B532" s="57"/>
      <c r="C532" s="57"/>
      <c r="D532" s="57"/>
      <c r="E532" s="57"/>
      <c r="F532" s="57"/>
      <c r="G532" s="57"/>
      <c r="H532" s="57"/>
      <c r="I532" s="57"/>
      <c r="J532" s="57"/>
      <c r="K532" s="57"/>
      <c r="L532" s="57"/>
      <c r="M532" s="57"/>
      <c r="N532" s="57"/>
      <c r="O532" s="57"/>
      <c r="P532" s="57"/>
      <c r="Q532" s="57"/>
      <c r="R532" s="2102"/>
      <c r="S532" s="253"/>
    </row>
    <row r="533" spans="1:19">
      <c r="A533" s="253"/>
      <c r="B533" s="57"/>
      <c r="C533" s="57"/>
      <c r="D533" s="57"/>
      <c r="E533" s="57"/>
      <c r="F533" s="57"/>
      <c r="G533" s="57"/>
      <c r="H533" s="57"/>
      <c r="I533" s="57"/>
      <c r="J533" s="57"/>
      <c r="K533" s="57"/>
      <c r="L533" s="57"/>
      <c r="M533" s="57"/>
      <c r="N533" s="57"/>
      <c r="O533" s="57"/>
      <c r="P533" s="57"/>
      <c r="Q533" s="57"/>
      <c r="R533" s="2102"/>
      <c r="S533" s="253"/>
    </row>
    <row r="534" spans="1:19">
      <c r="A534" s="253"/>
      <c r="B534" s="57"/>
      <c r="C534" s="57"/>
      <c r="D534" s="57"/>
      <c r="E534" s="57"/>
      <c r="F534" s="57"/>
      <c r="G534" s="57"/>
      <c r="H534" s="57"/>
      <c r="I534" s="57"/>
      <c r="J534" s="57"/>
      <c r="K534" s="57"/>
      <c r="L534" s="57"/>
      <c r="M534" s="57"/>
      <c r="N534" s="57"/>
      <c r="O534" s="57"/>
      <c r="P534" s="57"/>
      <c r="Q534" s="57"/>
      <c r="R534" s="2102"/>
      <c r="S534" s="253"/>
    </row>
    <row r="535" spans="1:19">
      <c r="A535" s="253"/>
      <c r="B535" s="57"/>
      <c r="C535" s="57"/>
      <c r="D535" s="57"/>
      <c r="E535" s="57"/>
      <c r="F535" s="57"/>
      <c r="G535" s="57"/>
      <c r="H535" s="57"/>
      <c r="I535" s="57"/>
      <c r="J535" s="57"/>
      <c r="K535" s="57"/>
      <c r="L535" s="57"/>
      <c r="M535" s="57"/>
      <c r="N535" s="57"/>
      <c r="O535" s="57"/>
      <c r="P535" s="57"/>
      <c r="Q535" s="57"/>
      <c r="R535" s="2102"/>
      <c r="S535" s="253"/>
    </row>
    <row r="536" spans="1:19">
      <c r="A536" s="253"/>
      <c r="B536" s="57"/>
      <c r="C536" s="57"/>
      <c r="D536" s="57"/>
      <c r="E536" s="57"/>
      <c r="F536" s="57"/>
      <c r="G536" s="57"/>
      <c r="H536" s="57"/>
      <c r="I536" s="57"/>
      <c r="J536" s="57"/>
      <c r="K536" s="57"/>
      <c r="L536" s="57"/>
      <c r="M536" s="57"/>
      <c r="N536" s="57"/>
      <c r="O536" s="57"/>
      <c r="P536" s="57"/>
      <c r="Q536" s="57"/>
      <c r="R536" s="2102"/>
      <c r="S536" s="253"/>
    </row>
    <row r="537" spans="1:19">
      <c r="A537" s="253"/>
      <c r="B537" s="57"/>
      <c r="C537" s="57"/>
      <c r="D537" s="57"/>
      <c r="E537" s="57"/>
      <c r="F537" s="57"/>
      <c r="G537" s="57"/>
      <c r="H537" s="57"/>
      <c r="I537" s="57"/>
      <c r="J537" s="57"/>
      <c r="K537" s="57"/>
      <c r="L537" s="57"/>
      <c r="M537" s="57"/>
      <c r="N537" s="57"/>
      <c r="O537" s="57"/>
      <c r="P537" s="57"/>
      <c r="Q537" s="57"/>
      <c r="R537" s="2102"/>
      <c r="S537" s="253"/>
    </row>
    <row r="538" spans="1:19">
      <c r="A538" s="253"/>
      <c r="B538" s="57"/>
      <c r="C538" s="57"/>
      <c r="D538" s="57"/>
      <c r="E538" s="57"/>
      <c r="F538" s="57"/>
      <c r="G538" s="57"/>
      <c r="H538" s="57"/>
      <c r="I538" s="57"/>
      <c r="J538" s="57"/>
      <c r="K538" s="57"/>
      <c r="L538" s="57"/>
      <c r="M538" s="57"/>
      <c r="N538" s="57"/>
      <c r="O538" s="57"/>
      <c r="P538" s="57"/>
      <c r="Q538" s="57"/>
      <c r="R538" s="2102"/>
      <c r="S538" s="253"/>
    </row>
    <row r="539" spans="1:19">
      <c r="A539" s="253"/>
      <c r="B539" s="57"/>
      <c r="C539" s="57"/>
      <c r="D539" s="57"/>
      <c r="E539" s="57"/>
      <c r="F539" s="57"/>
      <c r="G539" s="57"/>
      <c r="H539" s="57"/>
      <c r="I539" s="57"/>
      <c r="J539" s="57"/>
      <c r="K539" s="57"/>
      <c r="L539" s="57"/>
      <c r="M539" s="57"/>
      <c r="N539" s="57"/>
      <c r="O539" s="57"/>
      <c r="P539" s="57"/>
      <c r="Q539" s="57"/>
      <c r="R539" s="2102"/>
      <c r="S539" s="253"/>
    </row>
    <row r="540" spans="1:19">
      <c r="A540" s="253"/>
      <c r="B540" s="57"/>
      <c r="C540" s="57"/>
      <c r="D540" s="57"/>
      <c r="E540" s="57"/>
      <c r="F540" s="57"/>
      <c r="G540" s="57"/>
      <c r="H540" s="57"/>
      <c r="I540" s="57"/>
      <c r="J540" s="57"/>
      <c r="K540" s="57"/>
      <c r="L540" s="57"/>
      <c r="M540" s="57"/>
      <c r="N540" s="57"/>
      <c r="O540" s="57"/>
      <c r="P540" s="57"/>
      <c r="Q540" s="57"/>
      <c r="R540" s="2102"/>
      <c r="S540" s="253"/>
    </row>
    <row r="541" spans="1:19">
      <c r="A541" s="253"/>
      <c r="B541" s="57"/>
      <c r="C541" s="57"/>
      <c r="D541" s="57"/>
      <c r="E541" s="57"/>
      <c r="F541" s="57"/>
      <c r="G541" s="57"/>
      <c r="H541" s="57"/>
      <c r="I541" s="57"/>
      <c r="J541" s="57"/>
      <c r="K541" s="57"/>
      <c r="L541" s="57"/>
      <c r="M541" s="57"/>
      <c r="N541" s="57"/>
      <c r="O541" s="57"/>
      <c r="P541" s="57"/>
      <c r="Q541" s="57"/>
      <c r="R541" s="2102"/>
      <c r="S541" s="253"/>
    </row>
    <row r="542" spans="1:19">
      <c r="A542" s="253"/>
      <c r="B542" s="57"/>
      <c r="C542" s="57"/>
      <c r="D542" s="57"/>
      <c r="E542" s="57"/>
      <c r="F542" s="57"/>
      <c r="G542" s="57"/>
      <c r="H542" s="57"/>
      <c r="I542" s="57"/>
      <c r="J542" s="57"/>
      <c r="K542" s="57"/>
      <c r="L542" s="57"/>
      <c r="M542" s="57"/>
      <c r="N542" s="57"/>
      <c r="O542" s="57"/>
      <c r="P542" s="57"/>
      <c r="Q542" s="57"/>
      <c r="R542" s="2102"/>
      <c r="S542" s="253"/>
    </row>
    <row r="543" spans="1:19">
      <c r="A543" s="253"/>
      <c r="B543" s="57"/>
      <c r="C543" s="57"/>
      <c r="D543" s="57"/>
      <c r="E543" s="57"/>
      <c r="F543" s="57"/>
      <c r="G543" s="57"/>
      <c r="H543" s="57"/>
      <c r="I543" s="57"/>
      <c r="J543" s="57"/>
      <c r="K543" s="57"/>
      <c r="L543" s="57"/>
      <c r="M543" s="57"/>
      <c r="N543" s="57"/>
      <c r="O543" s="57"/>
      <c r="P543" s="57"/>
      <c r="Q543" s="57"/>
      <c r="R543" s="2102"/>
      <c r="S543" s="253"/>
    </row>
    <row r="544" spans="1:19">
      <c r="A544" s="253"/>
      <c r="B544" s="57"/>
      <c r="C544" s="57"/>
      <c r="D544" s="57"/>
      <c r="E544" s="57"/>
      <c r="F544" s="57"/>
      <c r="G544" s="57"/>
      <c r="H544" s="57"/>
      <c r="I544" s="57"/>
      <c r="J544" s="57"/>
      <c r="K544" s="57"/>
      <c r="L544" s="57"/>
      <c r="M544" s="57"/>
      <c r="N544" s="57"/>
      <c r="O544" s="57"/>
      <c r="P544" s="57"/>
      <c r="Q544" s="57"/>
      <c r="R544" s="2102"/>
      <c r="S544" s="253"/>
    </row>
    <row r="545" spans="1:19">
      <c r="A545" s="253"/>
      <c r="B545" s="57"/>
      <c r="C545" s="57"/>
      <c r="D545" s="57"/>
      <c r="E545" s="57"/>
      <c r="F545" s="57"/>
      <c r="G545" s="57"/>
      <c r="H545" s="57"/>
      <c r="I545" s="57"/>
      <c r="J545" s="57"/>
      <c r="K545" s="57"/>
      <c r="L545" s="57"/>
      <c r="M545" s="57"/>
      <c r="N545" s="57"/>
      <c r="O545" s="57"/>
      <c r="P545" s="57"/>
      <c r="Q545" s="57"/>
      <c r="R545" s="2102"/>
      <c r="S545" s="253"/>
    </row>
    <row r="546" spans="1:19">
      <c r="A546" s="253"/>
      <c r="B546" s="57"/>
      <c r="C546" s="57"/>
      <c r="D546" s="57"/>
      <c r="E546" s="57"/>
      <c r="F546" s="57"/>
      <c r="G546" s="57"/>
      <c r="H546" s="57"/>
      <c r="I546" s="57"/>
      <c r="J546" s="57"/>
      <c r="K546" s="57"/>
      <c r="L546" s="57"/>
      <c r="M546" s="57"/>
      <c r="N546" s="57"/>
      <c r="O546" s="57"/>
      <c r="P546" s="57"/>
      <c r="Q546" s="57"/>
      <c r="R546" s="2102"/>
      <c r="S546" s="253"/>
    </row>
    <row r="547" spans="1:19">
      <c r="A547" s="253"/>
      <c r="B547" s="57"/>
      <c r="C547" s="57"/>
      <c r="D547" s="57"/>
      <c r="E547" s="57"/>
      <c r="F547" s="57"/>
      <c r="G547" s="57"/>
      <c r="H547" s="57"/>
      <c r="I547" s="57"/>
      <c r="J547" s="57"/>
      <c r="K547" s="57"/>
      <c r="L547" s="57"/>
      <c r="M547" s="57"/>
      <c r="N547" s="57"/>
      <c r="O547" s="57"/>
      <c r="P547" s="57"/>
      <c r="Q547" s="57"/>
      <c r="R547" s="2102"/>
      <c r="S547" s="253"/>
    </row>
    <row r="548" spans="1:19">
      <c r="A548" s="253"/>
      <c r="B548" s="57"/>
      <c r="C548" s="57"/>
      <c r="D548" s="57"/>
      <c r="E548" s="57"/>
      <c r="F548" s="57"/>
      <c r="G548" s="57"/>
      <c r="H548" s="57"/>
      <c r="I548" s="57"/>
      <c r="J548" s="57"/>
      <c r="K548" s="57"/>
      <c r="L548" s="57"/>
      <c r="M548" s="57"/>
      <c r="N548" s="57"/>
      <c r="O548" s="57"/>
      <c r="P548" s="57"/>
      <c r="Q548" s="57"/>
      <c r="R548" s="2102"/>
      <c r="S548" s="253"/>
    </row>
    <row r="549" spans="1:19">
      <c r="A549" s="253"/>
      <c r="B549" s="57"/>
      <c r="C549" s="57"/>
      <c r="D549" s="57"/>
      <c r="E549" s="57"/>
      <c r="F549" s="57"/>
      <c r="G549" s="57"/>
      <c r="H549" s="57"/>
      <c r="I549" s="57"/>
      <c r="J549" s="57"/>
      <c r="K549" s="57"/>
      <c r="L549" s="57"/>
      <c r="M549" s="57"/>
      <c r="N549" s="57"/>
      <c r="O549" s="57"/>
      <c r="P549" s="57"/>
      <c r="Q549" s="57"/>
      <c r="R549" s="2102"/>
      <c r="S549" s="253"/>
    </row>
    <row r="550" spans="1:19">
      <c r="A550" s="253"/>
      <c r="B550" s="57"/>
      <c r="C550" s="57"/>
      <c r="D550" s="57"/>
      <c r="E550" s="57"/>
      <c r="F550" s="57"/>
      <c r="G550" s="57"/>
      <c r="H550" s="57"/>
      <c r="I550" s="57"/>
      <c r="J550" s="57"/>
      <c r="K550" s="57"/>
      <c r="L550" s="57"/>
      <c r="M550" s="57"/>
      <c r="N550" s="57"/>
      <c r="O550" s="57"/>
      <c r="P550" s="57"/>
      <c r="Q550" s="57"/>
      <c r="R550" s="2102"/>
      <c r="S550" s="253"/>
    </row>
    <row r="551" spans="1:19">
      <c r="A551" s="253"/>
      <c r="B551" s="57"/>
      <c r="C551" s="57"/>
      <c r="D551" s="57"/>
      <c r="E551" s="57"/>
      <c r="F551" s="57"/>
      <c r="G551" s="57"/>
      <c r="H551" s="57"/>
      <c r="I551" s="57"/>
      <c r="J551" s="57"/>
      <c r="K551" s="57"/>
      <c r="L551" s="57"/>
      <c r="M551" s="57"/>
      <c r="N551" s="57"/>
      <c r="O551" s="57"/>
      <c r="P551" s="57"/>
      <c r="Q551" s="57"/>
      <c r="R551" s="2102"/>
      <c r="S551" s="253"/>
    </row>
    <row r="552" spans="1:19">
      <c r="A552" s="253"/>
      <c r="B552" s="57"/>
      <c r="C552" s="57"/>
      <c r="D552" s="57"/>
      <c r="E552" s="57"/>
      <c r="F552" s="57"/>
      <c r="G552" s="57"/>
      <c r="H552" s="57"/>
      <c r="I552" s="57"/>
      <c r="J552" s="57"/>
      <c r="K552" s="57"/>
      <c r="L552" s="57"/>
      <c r="M552" s="57"/>
      <c r="N552" s="57"/>
      <c r="O552" s="57"/>
      <c r="P552" s="57"/>
      <c r="Q552" s="57"/>
      <c r="R552" s="2102"/>
      <c r="S552" s="253"/>
    </row>
    <row r="553" spans="1:19">
      <c r="A553" s="253"/>
      <c r="B553" s="57"/>
      <c r="C553" s="57"/>
      <c r="D553" s="57"/>
      <c r="E553" s="57"/>
      <c r="F553" s="57"/>
      <c r="G553" s="57"/>
      <c r="H553" s="57"/>
      <c r="I553" s="57"/>
      <c r="J553" s="57"/>
      <c r="K553" s="57"/>
      <c r="L553" s="57"/>
      <c r="M553" s="57"/>
      <c r="N553" s="57"/>
      <c r="O553" s="57"/>
      <c r="P553" s="57"/>
      <c r="Q553" s="57"/>
      <c r="R553" s="2102"/>
      <c r="S553" s="253"/>
    </row>
    <row r="554" spans="1:19">
      <c r="A554" s="253"/>
      <c r="B554" s="57"/>
      <c r="C554" s="57"/>
      <c r="D554" s="57"/>
      <c r="E554" s="57"/>
      <c r="F554" s="57"/>
      <c r="G554" s="57"/>
      <c r="H554" s="57"/>
      <c r="I554" s="57"/>
      <c r="J554" s="57"/>
      <c r="K554" s="57"/>
      <c r="L554" s="57"/>
      <c r="M554" s="57"/>
      <c r="N554" s="57"/>
      <c r="O554" s="57"/>
      <c r="P554" s="57"/>
      <c r="Q554" s="57"/>
      <c r="R554" s="2102"/>
      <c r="S554" s="253"/>
    </row>
    <row r="555" spans="1:19">
      <c r="A555" s="253"/>
      <c r="B555" s="57"/>
      <c r="C555" s="57"/>
      <c r="D555" s="57"/>
      <c r="E555" s="57"/>
      <c r="F555" s="57"/>
      <c r="G555" s="57"/>
      <c r="H555" s="57"/>
      <c r="I555" s="57"/>
      <c r="J555" s="57"/>
      <c r="K555" s="57"/>
      <c r="L555" s="57"/>
      <c r="M555" s="57"/>
      <c r="N555" s="57"/>
      <c r="O555" s="57"/>
      <c r="P555" s="57"/>
      <c r="Q555" s="57"/>
      <c r="R555" s="2102"/>
      <c r="S555" s="253"/>
    </row>
    <row r="556" spans="1:19">
      <c r="A556" s="253"/>
      <c r="B556" s="57"/>
      <c r="C556" s="57"/>
      <c r="D556" s="57"/>
      <c r="E556" s="57"/>
      <c r="F556" s="57"/>
      <c r="G556" s="57"/>
      <c r="H556" s="57"/>
      <c r="I556" s="57"/>
      <c r="J556" s="57"/>
      <c r="K556" s="57"/>
      <c r="L556" s="57"/>
      <c r="M556" s="57"/>
      <c r="N556" s="57"/>
      <c r="O556" s="57"/>
      <c r="P556" s="57"/>
      <c r="Q556" s="57"/>
      <c r="R556" s="2102"/>
      <c r="S556" s="253"/>
    </row>
    <row r="557" spans="1:19">
      <c r="A557" s="253"/>
      <c r="B557" s="57"/>
      <c r="C557" s="57"/>
      <c r="D557" s="57"/>
      <c r="E557" s="57"/>
      <c r="F557" s="57"/>
      <c r="G557" s="57"/>
      <c r="H557" s="57"/>
      <c r="I557" s="57"/>
      <c r="J557" s="57"/>
      <c r="K557" s="57"/>
      <c r="L557" s="57"/>
      <c r="M557" s="57"/>
      <c r="N557" s="57"/>
      <c r="O557" s="57"/>
      <c r="P557" s="57"/>
      <c r="Q557" s="57"/>
      <c r="R557" s="2102"/>
      <c r="S557" s="253"/>
    </row>
    <row r="558" spans="1:19">
      <c r="A558" s="253"/>
      <c r="B558" s="57"/>
      <c r="C558" s="57"/>
      <c r="D558" s="57"/>
      <c r="E558" s="57"/>
      <c r="F558" s="57"/>
      <c r="G558" s="57"/>
      <c r="H558" s="57"/>
      <c r="I558" s="57"/>
      <c r="J558" s="57"/>
      <c r="K558" s="57"/>
      <c r="L558" s="57"/>
      <c r="M558" s="57"/>
      <c r="N558" s="57"/>
      <c r="O558" s="57"/>
      <c r="P558" s="57"/>
      <c r="Q558" s="57"/>
      <c r="R558" s="2102"/>
      <c r="S558" s="253"/>
    </row>
    <row r="559" spans="1:19">
      <c r="A559" s="253"/>
      <c r="B559" s="57"/>
      <c r="C559" s="57"/>
      <c r="D559" s="57"/>
      <c r="E559" s="57"/>
      <c r="F559" s="57"/>
      <c r="G559" s="57"/>
      <c r="H559" s="57"/>
      <c r="I559" s="57"/>
      <c r="J559" s="57"/>
      <c r="K559" s="57"/>
      <c r="L559" s="57"/>
      <c r="M559" s="57"/>
      <c r="N559" s="57"/>
      <c r="O559" s="57"/>
      <c r="P559" s="57"/>
      <c r="Q559" s="57"/>
      <c r="R559" s="2102"/>
      <c r="S559" s="253"/>
    </row>
    <row r="560" spans="1:19">
      <c r="A560" s="253"/>
      <c r="B560" s="57"/>
      <c r="C560" s="57"/>
      <c r="D560" s="57"/>
      <c r="E560" s="57"/>
      <c r="F560" s="57"/>
      <c r="G560" s="57"/>
      <c r="H560" s="57"/>
      <c r="I560" s="57"/>
      <c r="J560" s="57"/>
      <c r="K560" s="57"/>
      <c r="L560" s="57"/>
      <c r="M560" s="57"/>
      <c r="N560" s="57"/>
      <c r="O560" s="57"/>
      <c r="P560" s="57"/>
      <c r="Q560" s="57"/>
      <c r="R560" s="2102"/>
      <c r="S560" s="253"/>
    </row>
    <row r="561" spans="1:19">
      <c r="A561" s="253"/>
      <c r="B561" s="57"/>
      <c r="C561" s="57"/>
      <c r="D561" s="57"/>
      <c r="E561" s="57"/>
      <c r="F561" s="57"/>
      <c r="G561" s="57"/>
      <c r="H561" s="57"/>
      <c r="I561" s="57"/>
      <c r="J561" s="57"/>
      <c r="K561" s="57"/>
      <c r="L561" s="57"/>
      <c r="M561" s="57"/>
      <c r="N561" s="57"/>
      <c r="O561" s="57"/>
      <c r="P561" s="57"/>
      <c r="Q561" s="57"/>
      <c r="R561" s="2102"/>
      <c r="S561" s="253"/>
    </row>
    <row r="562" spans="1:19">
      <c r="A562" s="253"/>
      <c r="B562" s="57"/>
      <c r="C562" s="57"/>
      <c r="D562" s="57"/>
      <c r="E562" s="57"/>
      <c r="F562" s="57"/>
      <c r="G562" s="57"/>
      <c r="H562" s="57"/>
      <c r="I562" s="57"/>
      <c r="J562" s="57"/>
      <c r="K562" s="57"/>
      <c r="L562" s="57"/>
      <c r="M562" s="57"/>
      <c r="N562" s="57"/>
      <c r="O562" s="57"/>
      <c r="P562" s="57"/>
      <c r="Q562" s="57"/>
      <c r="R562" s="2102"/>
      <c r="S562" s="253"/>
    </row>
    <row r="563" spans="1:19">
      <c r="A563" s="253"/>
      <c r="B563" s="57"/>
      <c r="C563" s="57"/>
      <c r="D563" s="57"/>
      <c r="E563" s="57"/>
      <c r="F563" s="57"/>
      <c r="G563" s="57"/>
      <c r="H563" s="57"/>
      <c r="I563" s="57"/>
      <c r="J563" s="57"/>
      <c r="K563" s="57"/>
      <c r="L563" s="57"/>
      <c r="M563" s="57"/>
      <c r="N563" s="57"/>
      <c r="O563" s="57"/>
      <c r="P563" s="57"/>
      <c r="Q563" s="57"/>
      <c r="R563" s="2102"/>
      <c r="S563" s="253"/>
    </row>
    <row r="564" spans="1:19">
      <c r="A564" s="253"/>
      <c r="B564" s="57"/>
      <c r="C564" s="57"/>
      <c r="D564" s="57"/>
      <c r="E564" s="57"/>
      <c r="F564" s="57"/>
      <c r="G564" s="57"/>
      <c r="H564" s="57"/>
      <c r="I564" s="57"/>
      <c r="J564" s="57"/>
      <c r="K564" s="57"/>
      <c r="L564" s="57"/>
      <c r="M564" s="57"/>
      <c r="N564" s="57"/>
      <c r="O564" s="57"/>
      <c r="P564" s="57"/>
      <c r="Q564" s="57"/>
      <c r="R564" s="2102"/>
      <c r="S564" s="253"/>
    </row>
    <row r="565" spans="1:19">
      <c r="A565" s="253"/>
      <c r="B565" s="57"/>
      <c r="C565" s="57"/>
      <c r="D565" s="57"/>
      <c r="E565" s="57"/>
      <c r="F565" s="57"/>
      <c r="G565" s="57"/>
      <c r="H565" s="57"/>
      <c r="I565" s="57"/>
      <c r="J565" s="57"/>
      <c r="K565" s="57"/>
      <c r="L565" s="57"/>
      <c r="M565" s="57"/>
      <c r="N565" s="57"/>
      <c r="O565" s="57"/>
      <c r="P565" s="57"/>
      <c r="Q565" s="57"/>
      <c r="R565" s="2102"/>
      <c r="S565" s="253"/>
    </row>
    <row r="566" spans="1:19">
      <c r="A566" s="253"/>
      <c r="B566" s="57"/>
      <c r="C566" s="57"/>
      <c r="D566" s="57"/>
      <c r="E566" s="57"/>
      <c r="F566" s="57"/>
      <c r="G566" s="57"/>
      <c r="H566" s="57"/>
      <c r="I566" s="57"/>
      <c r="J566" s="57"/>
      <c r="K566" s="57"/>
      <c r="L566" s="57"/>
      <c r="M566" s="57"/>
      <c r="N566" s="57"/>
      <c r="O566" s="57"/>
      <c r="P566" s="57"/>
      <c r="Q566" s="57"/>
      <c r="R566" s="2102"/>
      <c r="S566" s="253"/>
    </row>
    <row r="567" spans="1:19">
      <c r="A567" s="253"/>
      <c r="B567" s="57"/>
      <c r="C567" s="57"/>
      <c r="D567" s="57"/>
      <c r="E567" s="57"/>
      <c r="F567" s="57"/>
      <c r="G567" s="57"/>
      <c r="H567" s="57"/>
      <c r="I567" s="57"/>
      <c r="J567" s="57"/>
      <c r="K567" s="57"/>
      <c r="L567" s="57"/>
      <c r="M567" s="57"/>
      <c r="N567" s="57"/>
      <c r="O567" s="57"/>
      <c r="P567" s="57"/>
      <c r="Q567" s="57"/>
      <c r="R567" s="2102"/>
      <c r="S567" s="253"/>
    </row>
    <row r="568" spans="1:19">
      <c r="A568" s="253"/>
      <c r="B568" s="57"/>
      <c r="C568" s="57"/>
      <c r="D568" s="57"/>
      <c r="E568" s="57"/>
      <c r="F568" s="57"/>
      <c r="G568" s="57"/>
      <c r="H568" s="57"/>
      <c r="I568" s="57"/>
      <c r="J568" s="57"/>
      <c r="K568" s="57"/>
      <c r="L568" s="57"/>
      <c r="M568" s="57"/>
      <c r="N568" s="57"/>
      <c r="O568" s="57"/>
      <c r="P568" s="57"/>
      <c r="Q568" s="57"/>
      <c r="R568" s="2102"/>
      <c r="S568" s="253"/>
    </row>
    <row r="569" spans="1:19">
      <c r="A569" s="253"/>
      <c r="B569" s="57"/>
      <c r="C569" s="57"/>
      <c r="D569" s="57"/>
      <c r="E569" s="57"/>
      <c r="F569" s="57"/>
      <c r="G569" s="57"/>
      <c r="H569" s="57"/>
      <c r="I569" s="57"/>
      <c r="J569" s="57"/>
      <c r="K569" s="57"/>
      <c r="L569" s="57"/>
      <c r="M569" s="57"/>
      <c r="N569" s="57"/>
      <c r="O569" s="57"/>
      <c r="P569" s="57"/>
      <c r="Q569" s="57"/>
      <c r="R569" s="2102"/>
      <c r="S569" s="253"/>
    </row>
    <row r="570" spans="1:19">
      <c r="A570" s="253"/>
      <c r="B570" s="57"/>
      <c r="C570" s="57"/>
      <c r="D570" s="57"/>
      <c r="E570" s="57"/>
      <c r="F570" s="57"/>
      <c r="G570" s="57"/>
      <c r="H570" s="57"/>
      <c r="I570" s="57"/>
      <c r="J570" s="57"/>
      <c r="K570" s="57"/>
      <c r="L570" s="57"/>
      <c r="M570" s="57"/>
      <c r="N570" s="57"/>
      <c r="O570" s="57"/>
      <c r="P570" s="57"/>
      <c r="Q570" s="57"/>
      <c r="R570" s="2102"/>
      <c r="S570" s="253"/>
    </row>
    <row r="571" spans="1:19">
      <c r="A571" s="253"/>
      <c r="B571" s="57"/>
      <c r="C571" s="57"/>
      <c r="D571" s="57"/>
      <c r="E571" s="57"/>
      <c r="F571" s="57"/>
      <c r="G571" s="57"/>
      <c r="H571" s="57"/>
      <c r="I571" s="57"/>
      <c r="J571" s="57"/>
      <c r="K571" s="57"/>
      <c r="L571" s="57"/>
      <c r="M571" s="57"/>
      <c r="N571" s="57"/>
      <c r="O571" s="57"/>
      <c r="P571" s="57"/>
      <c r="Q571" s="57"/>
      <c r="R571" s="2102"/>
      <c r="S571" s="253"/>
    </row>
    <row r="572" spans="1:19">
      <c r="A572" s="253"/>
      <c r="B572" s="57"/>
      <c r="C572" s="57"/>
      <c r="D572" s="57"/>
      <c r="E572" s="57"/>
      <c r="F572" s="57"/>
      <c r="G572" s="57"/>
      <c r="H572" s="57"/>
      <c r="I572" s="57"/>
      <c r="J572" s="57"/>
      <c r="K572" s="57"/>
      <c r="L572" s="57"/>
      <c r="M572" s="57"/>
      <c r="N572" s="57"/>
      <c r="O572" s="57"/>
      <c r="P572" s="57"/>
      <c r="Q572" s="57"/>
      <c r="R572" s="2102"/>
      <c r="S572" s="253"/>
    </row>
    <row r="573" spans="1:19">
      <c r="A573" s="253"/>
      <c r="B573" s="57"/>
      <c r="C573" s="57"/>
      <c r="D573" s="57"/>
      <c r="E573" s="57"/>
      <c r="F573" s="57"/>
      <c r="G573" s="57"/>
      <c r="H573" s="57"/>
      <c r="I573" s="57"/>
      <c r="J573" s="57"/>
      <c r="K573" s="57"/>
      <c r="L573" s="57"/>
      <c r="M573" s="57"/>
      <c r="N573" s="57"/>
      <c r="O573" s="57"/>
      <c r="P573" s="57"/>
      <c r="Q573" s="57"/>
      <c r="R573" s="2102"/>
      <c r="S573" s="253"/>
    </row>
    <row r="574" spans="1:19">
      <c r="A574" s="253"/>
      <c r="B574" s="57"/>
      <c r="C574" s="57"/>
      <c r="D574" s="57"/>
      <c r="E574" s="57"/>
      <c r="F574" s="57"/>
      <c r="G574" s="57"/>
      <c r="H574" s="57"/>
      <c r="I574" s="57"/>
      <c r="J574" s="57"/>
      <c r="K574" s="57"/>
      <c r="L574" s="57"/>
      <c r="M574" s="57"/>
      <c r="N574" s="57"/>
      <c r="O574" s="57"/>
      <c r="P574" s="57"/>
      <c r="Q574" s="57"/>
      <c r="R574" s="2102"/>
      <c r="S574" s="253"/>
    </row>
    <row r="575" spans="1:19">
      <c r="A575" s="253"/>
      <c r="B575" s="57"/>
      <c r="C575" s="57"/>
      <c r="D575" s="57"/>
      <c r="E575" s="57"/>
      <c r="F575" s="57"/>
      <c r="G575" s="57"/>
      <c r="H575" s="57"/>
      <c r="I575" s="57"/>
      <c r="J575" s="57"/>
      <c r="K575" s="57"/>
      <c r="L575" s="57"/>
      <c r="M575" s="57"/>
      <c r="N575" s="57"/>
      <c r="O575" s="57"/>
      <c r="P575" s="57"/>
      <c r="Q575" s="57"/>
      <c r="R575" s="2102"/>
      <c r="S575" s="253"/>
    </row>
    <row r="576" spans="1:19">
      <c r="A576" s="253"/>
      <c r="B576" s="57"/>
      <c r="C576" s="57"/>
      <c r="D576" s="57"/>
      <c r="E576" s="57"/>
      <c r="F576" s="57"/>
      <c r="G576" s="57"/>
      <c r="H576" s="57"/>
      <c r="I576" s="57"/>
      <c r="J576" s="57"/>
      <c r="K576" s="57"/>
      <c r="L576" s="57"/>
      <c r="M576" s="57"/>
      <c r="N576" s="57"/>
      <c r="O576" s="57"/>
      <c r="P576" s="57"/>
      <c r="Q576" s="57"/>
      <c r="R576" s="2102"/>
      <c r="S576" s="253"/>
    </row>
    <row r="577" spans="1:19">
      <c r="A577" s="253"/>
      <c r="B577" s="57"/>
      <c r="C577" s="57"/>
      <c r="D577" s="57"/>
      <c r="E577" s="57"/>
      <c r="F577" s="57"/>
      <c r="G577" s="57"/>
      <c r="H577" s="57"/>
      <c r="I577" s="57"/>
      <c r="J577" s="57"/>
      <c r="K577" s="57"/>
      <c r="L577" s="57"/>
      <c r="M577" s="57"/>
      <c r="N577" s="57"/>
      <c r="O577" s="57"/>
      <c r="P577" s="57"/>
      <c r="Q577" s="57"/>
      <c r="R577" s="2102"/>
      <c r="S577" s="253"/>
    </row>
    <row r="578" spans="1:19">
      <c r="A578" s="253"/>
      <c r="B578" s="57"/>
      <c r="C578" s="57"/>
      <c r="D578" s="57"/>
      <c r="E578" s="57"/>
      <c r="F578" s="57"/>
      <c r="G578" s="57"/>
      <c r="H578" s="57"/>
      <c r="I578" s="57"/>
      <c r="J578" s="57"/>
      <c r="K578" s="57"/>
      <c r="L578" s="57"/>
      <c r="M578" s="57"/>
      <c r="N578" s="57"/>
      <c r="O578" s="57"/>
      <c r="P578" s="57"/>
      <c r="Q578" s="57"/>
      <c r="R578" s="2102"/>
      <c r="S578" s="253"/>
    </row>
    <row r="579" spans="1:19">
      <c r="A579" s="253"/>
      <c r="B579" s="57"/>
      <c r="C579" s="57"/>
      <c r="D579" s="57"/>
      <c r="E579" s="57"/>
      <c r="F579" s="57"/>
      <c r="G579" s="57"/>
      <c r="H579" s="57"/>
      <c r="I579" s="57"/>
      <c r="J579" s="57"/>
      <c r="K579" s="57"/>
      <c r="L579" s="57"/>
      <c r="M579" s="57"/>
      <c r="N579" s="57"/>
      <c r="O579" s="57"/>
      <c r="P579" s="57"/>
      <c r="Q579" s="57"/>
      <c r="R579" s="2102"/>
      <c r="S579" s="253"/>
    </row>
    <row r="580" spans="1:19">
      <c r="A580" s="253"/>
      <c r="B580" s="57"/>
      <c r="C580" s="57"/>
      <c r="D580" s="57"/>
      <c r="E580" s="57"/>
      <c r="F580" s="57"/>
      <c r="G580" s="57"/>
      <c r="H580" s="57"/>
      <c r="I580" s="57"/>
      <c r="J580" s="57"/>
      <c r="K580" s="57"/>
      <c r="L580" s="57"/>
      <c r="M580" s="57"/>
      <c r="N580" s="57"/>
      <c r="O580" s="57"/>
      <c r="P580" s="57"/>
      <c r="Q580" s="57"/>
      <c r="R580" s="2102"/>
      <c r="S580" s="253"/>
    </row>
    <row r="581" spans="1:19">
      <c r="A581" s="253"/>
      <c r="B581" s="57"/>
      <c r="C581" s="57"/>
      <c r="D581" s="57"/>
      <c r="E581" s="57"/>
      <c r="F581" s="57"/>
      <c r="G581" s="57"/>
      <c r="H581" s="57"/>
      <c r="I581" s="57"/>
      <c r="J581" s="57"/>
      <c r="K581" s="57"/>
      <c r="L581" s="57"/>
      <c r="M581" s="57"/>
      <c r="N581" s="57"/>
      <c r="O581" s="57"/>
      <c r="P581" s="57"/>
      <c r="Q581" s="57"/>
      <c r="R581" s="2102"/>
      <c r="S581" s="253"/>
    </row>
    <row r="582" spans="1:19">
      <c r="A582" s="253"/>
      <c r="B582" s="57"/>
      <c r="C582" s="57"/>
      <c r="D582" s="57"/>
      <c r="E582" s="57"/>
      <c r="F582" s="57"/>
      <c r="G582" s="57"/>
      <c r="H582" s="57"/>
      <c r="I582" s="57"/>
      <c r="J582" s="57"/>
      <c r="K582" s="57"/>
      <c r="L582" s="57"/>
      <c r="M582" s="57"/>
      <c r="N582" s="57"/>
      <c r="O582" s="57"/>
      <c r="P582" s="57"/>
      <c r="Q582" s="57"/>
      <c r="R582" s="2102"/>
      <c r="S582" s="253"/>
    </row>
    <row r="583" spans="1:19">
      <c r="A583" s="253"/>
      <c r="B583" s="57"/>
      <c r="C583" s="57"/>
      <c r="D583" s="57"/>
      <c r="E583" s="57"/>
      <c r="F583" s="57"/>
      <c r="G583" s="57"/>
      <c r="H583" s="57"/>
      <c r="I583" s="57"/>
      <c r="J583" s="57"/>
      <c r="K583" s="57"/>
      <c r="L583" s="57"/>
      <c r="M583" s="57"/>
      <c r="N583" s="57"/>
      <c r="O583" s="57"/>
      <c r="P583" s="57"/>
      <c r="Q583" s="57"/>
      <c r="R583" s="2102"/>
      <c r="S583" s="253"/>
    </row>
    <row r="584" spans="1:19">
      <c r="A584" s="253"/>
      <c r="B584" s="57"/>
      <c r="C584" s="57"/>
      <c r="D584" s="57"/>
      <c r="E584" s="57"/>
      <c r="F584" s="57"/>
      <c r="G584" s="57"/>
      <c r="H584" s="57"/>
      <c r="I584" s="57"/>
      <c r="J584" s="57"/>
      <c r="K584" s="57"/>
      <c r="L584" s="57"/>
      <c r="M584" s="57"/>
      <c r="N584" s="57"/>
      <c r="O584" s="57"/>
      <c r="P584" s="57"/>
      <c r="Q584" s="57"/>
      <c r="R584" s="2102"/>
      <c r="S584" s="253"/>
    </row>
    <row r="585" spans="1:19">
      <c r="A585" s="253"/>
      <c r="B585" s="57"/>
      <c r="C585" s="57"/>
      <c r="D585" s="57"/>
      <c r="E585" s="57"/>
      <c r="F585" s="57"/>
      <c r="G585" s="57"/>
      <c r="H585" s="57"/>
      <c r="I585" s="57"/>
      <c r="J585" s="57"/>
      <c r="K585" s="57"/>
      <c r="L585" s="57"/>
      <c r="M585" s="57"/>
      <c r="N585" s="57"/>
      <c r="O585" s="57"/>
      <c r="P585" s="57"/>
      <c r="Q585" s="57"/>
      <c r="R585" s="2102"/>
      <c r="S585" s="253"/>
    </row>
    <row r="586" spans="1:19">
      <c r="A586" s="253"/>
      <c r="B586" s="57"/>
      <c r="C586" s="57"/>
      <c r="D586" s="57"/>
      <c r="E586" s="57"/>
      <c r="F586" s="57"/>
      <c r="G586" s="57"/>
      <c r="H586" s="57"/>
      <c r="I586" s="57"/>
      <c r="J586" s="57"/>
      <c r="K586" s="57"/>
      <c r="L586" s="57"/>
      <c r="M586" s="57"/>
      <c r="N586" s="57"/>
      <c r="O586" s="57"/>
      <c r="P586" s="57"/>
      <c r="Q586" s="57"/>
      <c r="R586" s="2102"/>
      <c r="S586" s="253"/>
    </row>
    <row r="587" spans="1:19">
      <c r="A587" s="253"/>
      <c r="B587" s="57"/>
      <c r="C587" s="57"/>
      <c r="D587" s="57"/>
      <c r="E587" s="57"/>
      <c r="F587" s="57"/>
      <c r="G587" s="57"/>
      <c r="H587" s="57"/>
      <c r="I587" s="57"/>
      <c r="J587" s="57"/>
      <c r="K587" s="57"/>
      <c r="L587" s="57"/>
      <c r="M587" s="57"/>
      <c r="N587" s="57"/>
      <c r="O587" s="57"/>
      <c r="P587" s="57"/>
      <c r="Q587" s="57"/>
      <c r="R587" s="2102"/>
      <c r="S587" s="253"/>
    </row>
    <row r="588" spans="1:19">
      <c r="A588" s="253"/>
      <c r="B588" s="57"/>
      <c r="C588" s="57"/>
      <c r="D588" s="57"/>
      <c r="E588" s="57"/>
      <c r="F588" s="57"/>
      <c r="G588" s="57"/>
      <c r="H588" s="57"/>
      <c r="I588" s="57"/>
      <c r="J588" s="57"/>
      <c r="K588" s="57"/>
      <c r="L588" s="57"/>
      <c r="M588" s="57"/>
      <c r="N588" s="57"/>
      <c r="O588" s="57"/>
      <c r="P588" s="57"/>
      <c r="Q588" s="57"/>
      <c r="R588" s="2102"/>
      <c r="S588" s="253"/>
    </row>
    <row r="589" spans="1:19">
      <c r="A589" s="253"/>
      <c r="B589" s="57"/>
      <c r="C589" s="57"/>
      <c r="D589" s="57"/>
      <c r="E589" s="57"/>
      <c r="F589" s="57"/>
      <c r="G589" s="57"/>
      <c r="H589" s="57"/>
      <c r="I589" s="57"/>
      <c r="J589" s="57"/>
      <c r="K589" s="57"/>
      <c r="L589" s="57"/>
      <c r="M589" s="57"/>
      <c r="N589" s="57"/>
      <c r="O589" s="57"/>
      <c r="P589" s="57"/>
      <c r="Q589" s="57"/>
      <c r="R589" s="2102"/>
      <c r="S589" s="253"/>
    </row>
    <row r="590" spans="1:19">
      <c r="A590" s="253"/>
      <c r="B590" s="57"/>
      <c r="C590" s="57"/>
      <c r="D590" s="57"/>
      <c r="E590" s="57"/>
      <c r="F590" s="57"/>
      <c r="G590" s="57"/>
      <c r="H590" s="57"/>
      <c r="I590" s="57"/>
      <c r="J590" s="57"/>
      <c r="K590" s="57"/>
      <c r="L590" s="57"/>
      <c r="M590" s="57"/>
      <c r="N590" s="57"/>
      <c r="O590" s="57"/>
      <c r="P590" s="57"/>
      <c r="Q590" s="57"/>
      <c r="R590" s="2102"/>
      <c r="S590" s="253"/>
    </row>
    <row r="591" spans="1:19">
      <c r="A591" s="253"/>
      <c r="B591" s="57"/>
      <c r="C591" s="57"/>
      <c r="D591" s="57"/>
      <c r="E591" s="57"/>
      <c r="F591" s="57"/>
      <c r="G591" s="57"/>
      <c r="H591" s="57"/>
      <c r="I591" s="57"/>
      <c r="J591" s="57"/>
      <c r="K591" s="57"/>
      <c r="L591" s="57"/>
      <c r="M591" s="57"/>
      <c r="N591" s="57"/>
      <c r="O591" s="57"/>
      <c r="P591" s="57"/>
      <c r="Q591" s="57"/>
      <c r="R591" s="2102"/>
      <c r="S591" s="253"/>
    </row>
    <row r="592" spans="1:19">
      <c r="A592" s="253"/>
      <c r="B592" s="57"/>
      <c r="C592" s="57"/>
      <c r="D592" s="57"/>
      <c r="E592" s="57"/>
      <c r="F592" s="57"/>
      <c r="G592" s="57"/>
      <c r="H592" s="57"/>
      <c r="I592" s="57"/>
      <c r="J592" s="57"/>
      <c r="K592" s="57"/>
      <c r="L592" s="57"/>
      <c r="M592" s="57"/>
      <c r="N592" s="57"/>
      <c r="O592" s="57"/>
      <c r="P592" s="57"/>
      <c r="Q592" s="57"/>
      <c r="R592" s="2102"/>
      <c r="S592" s="253"/>
    </row>
    <row r="593" spans="1:19">
      <c r="A593" s="253"/>
      <c r="B593" s="57"/>
      <c r="C593" s="57"/>
      <c r="D593" s="57"/>
      <c r="E593" s="57"/>
      <c r="F593" s="57"/>
      <c r="G593" s="57"/>
      <c r="H593" s="57"/>
      <c r="I593" s="57"/>
      <c r="J593" s="57"/>
      <c r="K593" s="57"/>
      <c r="L593" s="57"/>
      <c r="M593" s="57"/>
      <c r="N593" s="57"/>
      <c r="O593" s="57"/>
      <c r="P593" s="57"/>
      <c r="Q593" s="57"/>
      <c r="R593" s="2102"/>
      <c r="S593" s="253"/>
    </row>
    <row r="594" spans="1:19">
      <c r="A594" s="253"/>
      <c r="B594" s="57"/>
      <c r="C594" s="57"/>
      <c r="D594" s="57"/>
      <c r="E594" s="57"/>
      <c r="F594" s="57"/>
      <c r="G594" s="57"/>
      <c r="H594" s="57"/>
      <c r="I594" s="57"/>
      <c r="J594" s="57"/>
      <c r="K594" s="57"/>
      <c r="L594" s="57"/>
      <c r="M594" s="57"/>
      <c r="N594" s="57"/>
      <c r="O594" s="57"/>
      <c r="P594" s="57"/>
      <c r="Q594" s="57"/>
      <c r="R594" s="2102"/>
      <c r="S594" s="253"/>
    </row>
    <row r="595" spans="1:19">
      <c r="A595" s="253"/>
      <c r="B595" s="57"/>
      <c r="C595" s="57"/>
      <c r="D595" s="57"/>
      <c r="E595" s="57"/>
      <c r="F595" s="57"/>
      <c r="G595" s="57"/>
      <c r="H595" s="57"/>
      <c r="I595" s="57"/>
      <c r="J595" s="57"/>
      <c r="K595" s="57"/>
      <c r="L595" s="57"/>
      <c r="M595" s="57"/>
      <c r="N595" s="57"/>
      <c r="O595" s="57"/>
      <c r="P595" s="57"/>
      <c r="Q595" s="57"/>
      <c r="R595" s="2102"/>
      <c r="S595" s="253"/>
    </row>
    <row r="596" spans="1:19">
      <c r="A596" s="253"/>
      <c r="B596" s="57"/>
      <c r="C596" s="57"/>
      <c r="D596" s="57"/>
      <c r="E596" s="57"/>
      <c r="F596" s="57"/>
      <c r="G596" s="57"/>
      <c r="H596" s="57"/>
      <c r="I596" s="57"/>
      <c r="J596" s="57"/>
      <c r="K596" s="57"/>
      <c r="L596" s="57"/>
      <c r="M596" s="57"/>
      <c r="N596" s="57"/>
      <c r="O596" s="57"/>
      <c r="P596" s="57"/>
      <c r="Q596" s="57"/>
      <c r="R596" s="2102"/>
      <c r="S596" s="253"/>
    </row>
    <row r="597" spans="1:19">
      <c r="A597" s="253"/>
      <c r="B597" s="57"/>
      <c r="C597" s="57"/>
      <c r="D597" s="57"/>
      <c r="E597" s="57"/>
      <c r="F597" s="57"/>
      <c r="G597" s="57"/>
      <c r="H597" s="57"/>
      <c r="I597" s="57"/>
      <c r="J597" s="57"/>
      <c r="K597" s="57"/>
      <c r="L597" s="57"/>
      <c r="M597" s="57"/>
      <c r="N597" s="57"/>
      <c r="O597" s="57"/>
      <c r="P597" s="57"/>
      <c r="Q597" s="57"/>
      <c r="R597" s="2102"/>
      <c r="S597" s="253"/>
    </row>
    <row r="598" spans="1:19">
      <c r="A598" s="253"/>
      <c r="B598" s="57"/>
      <c r="C598" s="57"/>
      <c r="D598" s="57"/>
      <c r="E598" s="57"/>
      <c r="F598" s="57"/>
      <c r="G598" s="57"/>
      <c r="H598" s="57"/>
      <c r="I598" s="57"/>
      <c r="J598" s="57"/>
      <c r="K598" s="57"/>
      <c r="L598" s="57"/>
      <c r="M598" s="57"/>
      <c r="N598" s="57"/>
      <c r="O598" s="57"/>
      <c r="P598" s="57"/>
      <c r="Q598" s="57"/>
      <c r="R598" s="2102"/>
      <c r="S598" s="253"/>
    </row>
    <row r="599" spans="1:19">
      <c r="A599" s="253"/>
      <c r="B599" s="57"/>
      <c r="C599" s="57"/>
      <c r="D599" s="57"/>
      <c r="E599" s="57"/>
      <c r="F599" s="57"/>
      <c r="G599" s="57"/>
      <c r="H599" s="57"/>
      <c r="I599" s="57"/>
      <c r="J599" s="57"/>
      <c r="K599" s="57"/>
      <c r="L599" s="57"/>
      <c r="M599" s="57"/>
      <c r="N599" s="57"/>
      <c r="O599" s="57"/>
      <c r="P599" s="57"/>
      <c r="Q599" s="57"/>
      <c r="R599" s="2102"/>
      <c r="S599" s="253"/>
    </row>
    <row r="600" spans="1:19">
      <c r="A600" s="253"/>
      <c r="B600" s="57"/>
      <c r="C600" s="57"/>
      <c r="D600" s="57"/>
      <c r="E600" s="57"/>
      <c r="F600" s="57"/>
      <c r="G600" s="57"/>
      <c r="H600" s="57"/>
      <c r="I600" s="57"/>
      <c r="J600" s="57"/>
      <c r="K600" s="57"/>
      <c r="L600" s="57"/>
      <c r="M600" s="57"/>
      <c r="N600" s="57"/>
      <c r="O600" s="57"/>
      <c r="P600" s="57"/>
      <c r="Q600" s="57"/>
      <c r="R600" s="2102"/>
      <c r="S600" s="253"/>
    </row>
    <row r="601" spans="1:19">
      <c r="A601" s="253"/>
      <c r="B601" s="57"/>
      <c r="C601" s="57"/>
      <c r="D601" s="57"/>
      <c r="E601" s="57"/>
      <c r="F601" s="57"/>
      <c r="G601" s="57"/>
      <c r="H601" s="57"/>
      <c r="I601" s="57"/>
      <c r="J601" s="57"/>
      <c r="K601" s="57"/>
      <c r="L601" s="57"/>
      <c r="M601" s="57"/>
      <c r="N601" s="57"/>
      <c r="O601" s="57"/>
      <c r="P601" s="57"/>
      <c r="Q601" s="57"/>
      <c r="R601" s="2102"/>
      <c r="S601" s="253"/>
    </row>
    <row r="602" spans="1:19">
      <c r="A602" s="253"/>
      <c r="B602" s="57"/>
      <c r="C602" s="57"/>
      <c r="D602" s="57"/>
      <c r="E602" s="57"/>
      <c r="F602" s="57"/>
      <c r="G602" s="57"/>
      <c r="H602" s="57"/>
      <c r="I602" s="57"/>
      <c r="J602" s="57"/>
      <c r="K602" s="57"/>
      <c r="L602" s="57"/>
      <c r="M602" s="57"/>
      <c r="N602" s="57"/>
      <c r="O602" s="57"/>
      <c r="P602" s="57"/>
      <c r="Q602" s="57"/>
      <c r="R602" s="2102"/>
      <c r="S602" s="253"/>
    </row>
    <row r="603" spans="1:19">
      <c r="A603" s="253"/>
      <c r="B603" s="57"/>
      <c r="C603" s="57"/>
      <c r="D603" s="57"/>
      <c r="E603" s="57"/>
      <c r="F603" s="57"/>
      <c r="G603" s="57"/>
      <c r="H603" s="57"/>
      <c r="I603" s="57"/>
      <c r="J603" s="57"/>
      <c r="K603" s="57"/>
      <c r="L603" s="57"/>
      <c r="M603" s="57"/>
      <c r="N603" s="57"/>
      <c r="O603" s="57"/>
      <c r="P603" s="57"/>
      <c r="Q603" s="57"/>
      <c r="R603" s="2102"/>
      <c r="S603" s="253"/>
    </row>
    <row r="604" spans="1:19">
      <c r="A604" s="253"/>
      <c r="B604" s="57"/>
      <c r="C604" s="57"/>
      <c r="D604" s="57"/>
      <c r="E604" s="57"/>
      <c r="F604" s="57"/>
      <c r="G604" s="57"/>
      <c r="H604" s="57"/>
      <c r="I604" s="57"/>
      <c r="J604" s="57"/>
      <c r="K604" s="57"/>
      <c r="L604" s="57"/>
      <c r="M604" s="57"/>
      <c r="N604" s="57"/>
      <c r="O604" s="57"/>
      <c r="P604" s="57"/>
      <c r="Q604" s="57"/>
      <c r="R604" s="2102"/>
      <c r="S604" s="253"/>
    </row>
    <row r="605" spans="1:19">
      <c r="A605" s="253"/>
      <c r="B605" s="57"/>
      <c r="C605" s="57"/>
      <c r="D605" s="57"/>
      <c r="E605" s="57"/>
      <c r="F605" s="57"/>
      <c r="G605" s="57"/>
      <c r="H605" s="57"/>
      <c r="I605" s="57"/>
      <c r="J605" s="57"/>
      <c r="K605" s="57"/>
      <c r="L605" s="57"/>
      <c r="M605" s="57"/>
      <c r="N605" s="57"/>
      <c r="O605" s="57"/>
      <c r="P605" s="57"/>
      <c r="Q605" s="57"/>
      <c r="R605" s="2102"/>
      <c r="S605" s="253"/>
    </row>
    <row r="606" spans="1:19">
      <c r="A606" s="253"/>
      <c r="B606" s="57"/>
      <c r="C606" s="57"/>
      <c r="D606" s="57"/>
      <c r="E606" s="57"/>
      <c r="F606" s="57"/>
      <c r="G606" s="57"/>
      <c r="H606" s="57"/>
      <c r="I606" s="57"/>
      <c r="J606" s="57"/>
      <c r="K606" s="57"/>
      <c r="L606" s="57"/>
      <c r="M606" s="57"/>
      <c r="N606" s="57"/>
      <c r="O606" s="57"/>
      <c r="P606" s="57"/>
      <c r="Q606" s="57"/>
      <c r="R606" s="2102"/>
      <c r="S606" s="253"/>
    </row>
    <row r="607" spans="1:19">
      <c r="A607" s="253"/>
      <c r="B607" s="57"/>
      <c r="C607" s="57"/>
      <c r="D607" s="57"/>
      <c r="E607" s="57"/>
      <c r="F607" s="57"/>
      <c r="G607" s="57"/>
      <c r="H607" s="57"/>
      <c r="I607" s="57"/>
      <c r="J607" s="57"/>
      <c r="K607" s="57"/>
      <c r="L607" s="57"/>
      <c r="M607" s="57"/>
      <c r="N607" s="57"/>
      <c r="O607" s="57"/>
      <c r="P607" s="57"/>
      <c r="Q607" s="57"/>
      <c r="R607" s="2102"/>
      <c r="S607" s="253"/>
    </row>
    <row r="608" spans="1:19">
      <c r="A608" s="253"/>
      <c r="B608" s="57"/>
      <c r="C608" s="57"/>
      <c r="D608" s="57"/>
      <c r="E608" s="57"/>
      <c r="F608" s="57"/>
      <c r="G608" s="57"/>
      <c r="H608" s="57"/>
      <c r="I608" s="57"/>
      <c r="J608" s="57"/>
      <c r="K608" s="57"/>
      <c r="L608" s="57"/>
      <c r="M608" s="57"/>
      <c r="N608" s="57"/>
      <c r="O608" s="57"/>
      <c r="P608" s="57"/>
      <c r="Q608" s="57"/>
      <c r="R608" s="2102"/>
      <c r="S608" s="253"/>
    </row>
    <row r="609" spans="1:19">
      <c r="A609" s="253"/>
      <c r="B609" s="57"/>
      <c r="C609" s="57"/>
      <c r="D609" s="57"/>
      <c r="E609" s="57"/>
      <c r="F609" s="57"/>
      <c r="G609" s="57"/>
      <c r="H609" s="57"/>
      <c r="I609" s="57"/>
      <c r="J609" s="57"/>
      <c r="K609" s="57"/>
      <c r="L609" s="57"/>
      <c r="M609" s="57"/>
      <c r="N609" s="57"/>
      <c r="O609" s="57"/>
      <c r="P609" s="57"/>
      <c r="Q609" s="57"/>
      <c r="R609" s="2102"/>
      <c r="S609" s="253"/>
    </row>
    <row r="610" spans="1:19">
      <c r="A610" s="253"/>
      <c r="B610" s="57"/>
      <c r="C610" s="57"/>
      <c r="D610" s="57"/>
      <c r="E610" s="57"/>
      <c r="F610" s="57"/>
      <c r="G610" s="57"/>
      <c r="H610" s="57"/>
      <c r="I610" s="57"/>
      <c r="J610" s="57"/>
      <c r="K610" s="57"/>
      <c r="L610" s="57"/>
      <c r="M610" s="57"/>
      <c r="N610" s="57"/>
      <c r="O610" s="57"/>
      <c r="P610" s="57"/>
      <c r="Q610" s="57"/>
      <c r="R610" s="2102"/>
      <c r="S610" s="253"/>
    </row>
    <row r="611" spans="1:19">
      <c r="A611" s="253"/>
      <c r="B611" s="57"/>
      <c r="C611" s="57"/>
      <c r="D611" s="57"/>
      <c r="E611" s="57"/>
      <c r="F611" s="57"/>
      <c r="G611" s="57"/>
      <c r="H611" s="57"/>
      <c r="I611" s="57"/>
      <c r="J611" s="57"/>
      <c r="K611" s="57"/>
      <c r="L611" s="57"/>
      <c r="M611" s="57"/>
      <c r="N611" s="57"/>
      <c r="O611" s="57"/>
      <c r="P611" s="57"/>
      <c r="Q611" s="57"/>
      <c r="R611" s="2102"/>
      <c r="S611" s="253"/>
    </row>
    <row r="612" spans="1:19">
      <c r="A612" s="253"/>
      <c r="B612" s="57"/>
      <c r="C612" s="57"/>
      <c r="D612" s="57"/>
      <c r="E612" s="57"/>
      <c r="F612" s="57"/>
      <c r="G612" s="57"/>
      <c r="H612" s="57"/>
      <c r="I612" s="57"/>
      <c r="J612" s="57"/>
      <c r="K612" s="57"/>
      <c r="L612" s="57"/>
      <c r="M612" s="57"/>
      <c r="N612" s="57"/>
      <c r="O612" s="57"/>
      <c r="P612" s="57"/>
      <c r="Q612" s="57"/>
      <c r="R612" s="2102"/>
      <c r="S612" s="253"/>
    </row>
    <row r="613" spans="1:19">
      <c r="A613" s="253"/>
      <c r="B613" s="57"/>
      <c r="C613" s="57"/>
      <c r="D613" s="57"/>
      <c r="E613" s="57"/>
      <c r="F613" s="57"/>
      <c r="G613" s="57"/>
      <c r="H613" s="57"/>
      <c r="I613" s="57"/>
      <c r="J613" s="57"/>
      <c r="K613" s="57"/>
      <c r="L613" s="57"/>
      <c r="M613" s="57"/>
      <c r="N613" s="57"/>
      <c r="O613" s="57"/>
      <c r="P613" s="57"/>
      <c r="Q613" s="57"/>
      <c r="R613" s="2102"/>
      <c r="S613" s="253"/>
    </row>
    <row r="614" spans="1:19">
      <c r="A614" s="253"/>
      <c r="B614" s="57"/>
      <c r="C614" s="57"/>
      <c r="D614" s="57"/>
      <c r="E614" s="57"/>
      <c r="F614" s="57"/>
      <c r="G614" s="57"/>
      <c r="H614" s="57"/>
      <c r="I614" s="57"/>
      <c r="J614" s="57"/>
      <c r="K614" s="57"/>
      <c r="L614" s="57"/>
      <c r="M614" s="57"/>
      <c r="N614" s="57"/>
      <c r="O614" s="57"/>
      <c r="P614" s="57"/>
      <c r="Q614" s="57"/>
      <c r="R614" s="2102"/>
      <c r="S614" s="253"/>
    </row>
    <row r="615" spans="1:19">
      <c r="A615" s="253"/>
      <c r="B615" s="57"/>
      <c r="C615" s="57"/>
      <c r="D615" s="57"/>
      <c r="E615" s="57"/>
      <c r="F615" s="57"/>
      <c r="G615" s="57"/>
      <c r="H615" s="57"/>
      <c r="I615" s="57"/>
      <c r="J615" s="57"/>
      <c r="K615" s="57"/>
      <c r="L615" s="57"/>
      <c r="M615" s="57"/>
      <c r="N615" s="57"/>
      <c r="O615" s="57"/>
      <c r="P615" s="57"/>
      <c r="Q615" s="57"/>
      <c r="R615" s="2102"/>
      <c r="S615" s="253"/>
    </row>
    <row r="616" spans="1:19">
      <c r="A616" s="253"/>
      <c r="B616" s="57"/>
      <c r="C616" s="57"/>
      <c r="D616" s="57"/>
      <c r="E616" s="57"/>
      <c r="F616" s="57"/>
      <c r="G616" s="57"/>
      <c r="H616" s="57"/>
      <c r="I616" s="57"/>
      <c r="J616" s="57"/>
      <c r="K616" s="57"/>
      <c r="L616" s="57"/>
      <c r="M616" s="57"/>
      <c r="N616" s="57"/>
      <c r="O616" s="57"/>
      <c r="P616" s="57"/>
      <c r="Q616" s="57"/>
      <c r="R616" s="2102"/>
      <c r="S616" s="253"/>
    </row>
    <row r="617" spans="1:19">
      <c r="A617" s="253"/>
      <c r="B617" s="57"/>
      <c r="C617" s="57"/>
      <c r="D617" s="57"/>
      <c r="E617" s="57"/>
      <c r="F617" s="57"/>
      <c r="G617" s="57"/>
      <c r="H617" s="57"/>
      <c r="I617" s="57"/>
      <c r="J617" s="57"/>
      <c r="K617" s="57"/>
      <c r="L617" s="57"/>
      <c r="M617" s="57"/>
      <c r="N617" s="57"/>
      <c r="O617" s="57"/>
      <c r="P617" s="57"/>
      <c r="Q617" s="57"/>
      <c r="R617" s="2102"/>
      <c r="S617" s="253"/>
    </row>
    <row r="618" spans="1:19">
      <c r="A618" s="253"/>
      <c r="B618" s="57"/>
      <c r="C618" s="57"/>
      <c r="D618" s="57"/>
      <c r="E618" s="57"/>
      <c r="F618" s="57"/>
      <c r="G618" s="57"/>
      <c r="H618" s="57"/>
      <c r="I618" s="57"/>
      <c r="J618" s="57"/>
      <c r="K618" s="57"/>
      <c r="L618" s="57"/>
      <c r="M618" s="57"/>
      <c r="N618" s="57"/>
      <c r="O618" s="57"/>
      <c r="P618" s="57"/>
      <c r="Q618" s="57"/>
      <c r="R618" s="2102"/>
      <c r="S618" s="253"/>
    </row>
    <row r="619" spans="1:19">
      <c r="A619" s="253"/>
      <c r="B619" s="57"/>
      <c r="C619" s="57"/>
      <c r="D619" s="57"/>
      <c r="E619" s="57"/>
      <c r="F619" s="57"/>
      <c r="G619" s="57"/>
      <c r="H619" s="57"/>
      <c r="I619" s="57"/>
      <c r="J619" s="57"/>
      <c r="K619" s="57"/>
      <c r="L619" s="57"/>
      <c r="M619" s="57"/>
      <c r="N619" s="57"/>
      <c r="O619" s="57"/>
      <c r="P619" s="57"/>
      <c r="Q619" s="57"/>
      <c r="R619" s="2102"/>
      <c r="S619" s="253"/>
    </row>
    <row r="620" spans="1:19">
      <c r="A620" s="253"/>
      <c r="B620" s="57"/>
      <c r="C620" s="57"/>
      <c r="D620" s="57"/>
      <c r="E620" s="57"/>
      <c r="F620" s="57"/>
      <c r="G620" s="57"/>
      <c r="H620" s="57"/>
      <c r="I620" s="57"/>
      <c r="J620" s="57"/>
      <c r="K620" s="57"/>
      <c r="L620" s="57"/>
      <c r="M620" s="57"/>
      <c r="N620" s="57"/>
      <c r="O620" s="57"/>
      <c r="P620" s="57"/>
      <c r="Q620" s="57"/>
      <c r="R620" s="2102"/>
      <c r="S620" s="253"/>
    </row>
    <row r="621" spans="1:19">
      <c r="A621" s="253"/>
      <c r="B621" s="57"/>
      <c r="C621" s="57"/>
      <c r="D621" s="57"/>
      <c r="E621" s="57"/>
      <c r="F621" s="57"/>
      <c r="G621" s="57"/>
      <c r="H621" s="57"/>
      <c r="I621" s="57"/>
      <c r="J621" s="57"/>
      <c r="K621" s="57"/>
      <c r="L621" s="57"/>
      <c r="M621" s="57"/>
      <c r="N621" s="57"/>
      <c r="O621" s="57"/>
      <c r="P621" s="57"/>
      <c r="Q621" s="57"/>
      <c r="R621" s="2102"/>
      <c r="S621" s="253"/>
    </row>
    <row r="622" spans="1:19">
      <c r="A622" s="253"/>
      <c r="B622" s="57"/>
      <c r="C622" s="57"/>
      <c r="D622" s="57"/>
      <c r="E622" s="57"/>
      <c r="F622" s="57"/>
      <c r="G622" s="57"/>
      <c r="H622" s="57"/>
      <c r="I622" s="57"/>
      <c r="J622" s="57"/>
      <c r="K622" s="57"/>
      <c r="L622" s="57"/>
      <c r="M622" s="57"/>
      <c r="N622" s="57"/>
      <c r="O622" s="57"/>
      <c r="P622" s="57"/>
      <c r="Q622" s="57"/>
      <c r="R622" s="2102"/>
      <c r="S622" s="253"/>
    </row>
    <row r="623" spans="1:19">
      <c r="A623" s="253"/>
      <c r="B623" s="57"/>
      <c r="C623" s="57"/>
      <c r="D623" s="57"/>
      <c r="E623" s="57"/>
      <c r="F623" s="57"/>
      <c r="G623" s="57"/>
      <c r="H623" s="57"/>
      <c r="I623" s="57"/>
      <c r="J623" s="57"/>
      <c r="K623" s="57"/>
      <c r="L623" s="57"/>
      <c r="M623" s="57"/>
      <c r="N623" s="57"/>
      <c r="O623" s="57"/>
      <c r="P623" s="57"/>
      <c r="Q623" s="57"/>
      <c r="R623" s="2102"/>
      <c r="S623" s="253"/>
    </row>
    <row r="624" spans="1:19">
      <c r="A624" s="253"/>
      <c r="B624" s="57"/>
      <c r="C624" s="57"/>
      <c r="D624" s="57"/>
      <c r="E624" s="57"/>
      <c r="F624" s="57"/>
      <c r="G624" s="57"/>
      <c r="H624" s="57"/>
      <c r="I624" s="57"/>
      <c r="J624" s="57"/>
      <c r="K624" s="57"/>
      <c r="L624" s="57"/>
      <c r="M624" s="57"/>
      <c r="N624" s="57"/>
      <c r="O624" s="57"/>
      <c r="P624" s="57"/>
      <c r="Q624" s="57"/>
      <c r="R624" s="2102"/>
      <c r="S624" s="253"/>
    </row>
    <row r="625" spans="1:19">
      <c r="A625" s="253"/>
      <c r="B625" s="57"/>
      <c r="C625" s="57"/>
      <c r="D625" s="57"/>
      <c r="E625" s="57"/>
      <c r="F625" s="57"/>
      <c r="G625" s="57"/>
      <c r="H625" s="57"/>
      <c r="I625" s="57"/>
      <c r="J625" s="57"/>
      <c r="K625" s="57"/>
      <c r="L625" s="57"/>
      <c r="M625" s="57"/>
      <c r="N625" s="57"/>
      <c r="O625" s="57"/>
      <c r="P625" s="57"/>
      <c r="Q625" s="57"/>
      <c r="R625" s="2102"/>
      <c r="S625" s="253"/>
    </row>
    <row r="626" spans="1:19">
      <c r="A626" s="253"/>
      <c r="B626" s="57"/>
      <c r="C626" s="57"/>
      <c r="D626" s="57"/>
      <c r="E626" s="57"/>
      <c r="F626" s="57"/>
      <c r="G626" s="57"/>
      <c r="H626" s="57"/>
      <c r="I626" s="57"/>
      <c r="J626" s="57"/>
      <c r="K626" s="57"/>
      <c r="L626" s="57"/>
      <c r="M626" s="57"/>
      <c r="N626" s="57"/>
      <c r="O626" s="57"/>
      <c r="P626" s="57"/>
      <c r="Q626" s="57"/>
      <c r="R626" s="2102"/>
      <c r="S626" s="253"/>
    </row>
    <row r="627" spans="1:19">
      <c r="A627" s="253"/>
      <c r="B627" s="57"/>
      <c r="C627" s="57"/>
      <c r="D627" s="57"/>
      <c r="E627" s="57"/>
      <c r="F627" s="57"/>
      <c r="G627" s="57"/>
      <c r="H627" s="57"/>
      <c r="I627" s="57"/>
      <c r="J627" s="57"/>
      <c r="K627" s="57"/>
      <c r="L627" s="57"/>
      <c r="M627" s="57"/>
      <c r="N627" s="57"/>
      <c r="O627" s="57"/>
      <c r="P627" s="57"/>
      <c r="Q627" s="57"/>
      <c r="R627" s="2102"/>
      <c r="S627" s="253"/>
    </row>
    <row r="628" spans="1:19">
      <c r="A628" s="253"/>
      <c r="B628" s="57"/>
      <c r="C628" s="57"/>
      <c r="D628" s="57"/>
      <c r="E628" s="57"/>
      <c r="F628" s="57"/>
      <c r="G628" s="57"/>
      <c r="H628" s="57"/>
      <c r="I628" s="57"/>
      <c r="J628" s="57"/>
      <c r="K628" s="57"/>
      <c r="L628" s="57"/>
      <c r="M628" s="57"/>
      <c r="N628" s="57"/>
      <c r="O628" s="57"/>
      <c r="P628" s="57"/>
      <c r="Q628" s="57"/>
      <c r="R628" s="2102"/>
      <c r="S628" s="253"/>
    </row>
    <row r="629" spans="1:19">
      <c r="A629" s="253"/>
      <c r="B629" s="57"/>
      <c r="C629" s="57"/>
      <c r="D629" s="57"/>
      <c r="E629" s="57"/>
      <c r="F629" s="57"/>
      <c r="G629" s="57"/>
      <c r="H629" s="57"/>
      <c r="I629" s="57"/>
      <c r="J629" s="57"/>
      <c r="K629" s="57"/>
      <c r="L629" s="57"/>
      <c r="M629" s="57"/>
      <c r="N629" s="57"/>
      <c r="O629" s="57"/>
      <c r="P629" s="57"/>
      <c r="Q629" s="57"/>
      <c r="R629" s="2102"/>
      <c r="S629" s="253"/>
    </row>
    <row r="630" spans="1:19">
      <c r="A630" s="253"/>
      <c r="B630" s="57"/>
      <c r="C630" s="57"/>
      <c r="D630" s="57"/>
      <c r="E630" s="57"/>
      <c r="F630" s="57"/>
      <c r="G630" s="57"/>
      <c r="H630" s="57"/>
      <c r="I630" s="57"/>
      <c r="J630" s="57"/>
      <c r="K630" s="57"/>
      <c r="L630" s="57"/>
      <c r="M630" s="57"/>
      <c r="N630" s="57"/>
      <c r="O630" s="57"/>
      <c r="P630" s="57"/>
      <c r="Q630" s="57"/>
      <c r="R630" s="2102"/>
      <c r="S630" s="253"/>
    </row>
    <row r="631" spans="1:19">
      <c r="A631" s="253"/>
      <c r="B631" s="57"/>
      <c r="C631" s="57"/>
      <c r="D631" s="57"/>
      <c r="E631" s="57"/>
      <c r="F631" s="57"/>
      <c r="G631" s="57"/>
      <c r="H631" s="57"/>
      <c r="I631" s="57"/>
      <c r="J631" s="57"/>
      <c r="K631" s="57"/>
      <c r="L631" s="57"/>
      <c r="M631" s="57"/>
      <c r="N631" s="57"/>
      <c r="O631" s="57"/>
      <c r="P631" s="57"/>
      <c r="Q631" s="57"/>
      <c r="R631" s="2102"/>
      <c r="S631" s="253"/>
    </row>
    <row r="632" spans="1:19">
      <c r="A632" s="253"/>
      <c r="B632" s="57"/>
      <c r="C632" s="57"/>
      <c r="D632" s="57"/>
      <c r="E632" s="57"/>
      <c r="F632" s="57"/>
      <c r="G632" s="57"/>
      <c r="H632" s="57"/>
      <c r="I632" s="57"/>
      <c r="J632" s="57"/>
      <c r="K632" s="57"/>
      <c r="L632" s="57"/>
      <c r="M632" s="57"/>
      <c r="N632" s="57"/>
      <c r="O632" s="57"/>
      <c r="P632" s="57"/>
      <c r="Q632" s="57"/>
      <c r="R632" s="2102"/>
      <c r="S632" s="253"/>
    </row>
    <row r="633" spans="1:19">
      <c r="A633" s="253"/>
      <c r="B633" s="57"/>
      <c r="C633" s="57"/>
      <c r="D633" s="57"/>
      <c r="E633" s="57"/>
      <c r="F633" s="57"/>
      <c r="G633" s="57"/>
      <c r="H633" s="57"/>
      <c r="I633" s="57"/>
      <c r="J633" s="57"/>
      <c r="K633" s="57"/>
      <c r="L633" s="57"/>
      <c r="M633" s="57"/>
      <c r="N633" s="57"/>
      <c r="O633" s="57"/>
      <c r="P633" s="57"/>
      <c r="Q633" s="57"/>
      <c r="R633" s="2102"/>
      <c r="S633" s="253"/>
    </row>
    <row r="634" spans="1:19">
      <c r="A634" s="253"/>
      <c r="B634" s="57"/>
      <c r="C634" s="57"/>
      <c r="D634" s="57"/>
      <c r="E634" s="57"/>
      <c r="F634" s="57"/>
      <c r="G634" s="57"/>
      <c r="H634" s="57"/>
      <c r="I634" s="57"/>
      <c r="J634" s="57"/>
      <c r="K634" s="57"/>
      <c r="L634" s="57"/>
      <c r="M634" s="57"/>
      <c r="N634" s="57"/>
      <c r="O634" s="57"/>
      <c r="P634" s="57"/>
      <c r="Q634" s="57"/>
      <c r="R634" s="2102"/>
      <c r="S634" s="253"/>
    </row>
    <row r="635" spans="1:19">
      <c r="A635" s="253"/>
      <c r="B635" s="57"/>
      <c r="C635" s="57"/>
      <c r="D635" s="57"/>
      <c r="E635" s="57"/>
      <c r="F635" s="57"/>
      <c r="G635" s="57"/>
      <c r="H635" s="57"/>
      <c r="I635" s="57"/>
      <c r="J635" s="57"/>
      <c r="K635" s="57"/>
      <c r="L635" s="57"/>
      <c r="M635" s="57"/>
      <c r="N635" s="57"/>
      <c r="O635" s="57"/>
      <c r="P635" s="57"/>
      <c r="Q635" s="57"/>
      <c r="R635" s="2102"/>
      <c r="S635" s="253"/>
    </row>
    <row r="636" spans="1:19">
      <c r="A636" s="253"/>
      <c r="B636" s="57"/>
      <c r="C636" s="57"/>
      <c r="D636" s="57"/>
      <c r="E636" s="57"/>
      <c r="F636" s="57"/>
      <c r="G636" s="57"/>
      <c r="H636" s="57"/>
      <c r="I636" s="57"/>
      <c r="J636" s="57"/>
      <c r="K636" s="57"/>
      <c r="L636" s="57"/>
      <c r="M636" s="57"/>
      <c r="N636" s="57"/>
      <c r="O636" s="57"/>
      <c r="P636" s="57"/>
      <c r="Q636" s="57"/>
      <c r="R636" s="2102"/>
      <c r="S636" s="253"/>
    </row>
    <row r="637" spans="1:19">
      <c r="A637" s="253"/>
      <c r="B637" s="57"/>
      <c r="C637" s="57"/>
      <c r="D637" s="57"/>
      <c r="E637" s="57"/>
      <c r="F637" s="57"/>
      <c r="G637" s="57"/>
      <c r="H637" s="57"/>
      <c r="I637" s="57"/>
      <c r="J637" s="57"/>
      <c r="K637" s="57"/>
      <c r="L637" s="57"/>
      <c r="M637" s="57"/>
      <c r="N637" s="57"/>
      <c r="O637" s="57"/>
      <c r="P637" s="57"/>
      <c r="Q637" s="57"/>
      <c r="R637" s="2102"/>
      <c r="S637" s="253"/>
    </row>
    <row r="638" spans="1:19">
      <c r="A638" s="253"/>
      <c r="B638" s="57"/>
      <c r="C638" s="57"/>
      <c r="D638" s="57"/>
      <c r="E638" s="57"/>
      <c r="F638" s="57"/>
      <c r="G638" s="57"/>
      <c r="H638" s="57"/>
      <c r="I638" s="57"/>
      <c r="J638" s="57"/>
      <c r="K638" s="57"/>
      <c r="L638" s="57"/>
      <c r="M638" s="57"/>
      <c r="N638" s="57"/>
      <c r="O638" s="57"/>
      <c r="P638" s="57"/>
      <c r="Q638" s="57"/>
      <c r="R638" s="2102"/>
      <c r="S638" s="253"/>
    </row>
    <row r="639" spans="1:19">
      <c r="A639" s="253"/>
      <c r="B639" s="57"/>
      <c r="C639" s="57"/>
      <c r="D639" s="57"/>
      <c r="E639" s="57"/>
      <c r="F639" s="57"/>
      <c r="G639" s="57"/>
      <c r="H639" s="57"/>
      <c r="I639" s="57"/>
      <c r="J639" s="57"/>
      <c r="K639" s="57"/>
      <c r="L639" s="57"/>
      <c r="M639" s="57"/>
      <c r="N639" s="57"/>
      <c r="O639" s="57"/>
      <c r="P639" s="57"/>
      <c r="Q639" s="57"/>
      <c r="R639" s="2102"/>
      <c r="S639" s="253"/>
    </row>
    <row r="640" spans="1:19">
      <c r="A640" s="253"/>
      <c r="B640" s="57"/>
      <c r="C640" s="57"/>
      <c r="D640" s="57"/>
      <c r="E640" s="57"/>
      <c r="F640" s="57"/>
      <c r="G640" s="57"/>
      <c r="H640" s="57"/>
      <c r="I640" s="57"/>
      <c r="J640" s="57"/>
      <c r="K640" s="57"/>
      <c r="L640" s="57"/>
      <c r="M640" s="57"/>
      <c r="N640" s="57"/>
      <c r="O640" s="57"/>
      <c r="P640" s="57"/>
      <c r="Q640" s="57"/>
      <c r="R640" s="2102"/>
      <c r="S640" s="253"/>
    </row>
    <row r="641" spans="1:19">
      <c r="A641" s="253"/>
      <c r="B641" s="57"/>
      <c r="C641" s="57"/>
      <c r="D641" s="57"/>
      <c r="E641" s="57"/>
      <c r="F641" s="57"/>
      <c r="G641" s="57"/>
      <c r="H641" s="57"/>
      <c r="I641" s="57"/>
      <c r="J641" s="57"/>
      <c r="K641" s="57"/>
      <c r="L641" s="57"/>
      <c r="M641" s="57"/>
      <c r="N641" s="57"/>
      <c r="O641" s="57"/>
      <c r="P641" s="57"/>
      <c r="Q641" s="57"/>
      <c r="R641" s="2102"/>
      <c r="S641" s="253"/>
    </row>
    <row r="642" spans="1:19">
      <c r="A642" s="253"/>
      <c r="B642" s="57"/>
      <c r="C642" s="57"/>
      <c r="D642" s="57"/>
      <c r="E642" s="57"/>
      <c r="F642" s="57"/>
      <c r="G642" s="57"/>
      <c r="H642" s="57"/>
      <c r="I642" s="57"/>
      <c r="J642" s="57"/>
      <c r="K642" s="57"/>
      <c r="L642" s="57"/>
      <c r="M642" s="57"/>
      <c r="N642" s="57"/>
      <c r="O642" s="57"/>
      <c r="P642" s="57"/>
      <c r="Q642" s="57"/>
      <c r="R642" s="2102"/>
      <c r="S642" s="253"/>
    </row>
    <row r="643" spans="1:19">
      <c r="A643" s="253"/>
      <c r="B643" s="57"/>
      <c r="C643" s="57"/>
      <c r="D643" s="57"/>
      <c r="E643" s="57"/>
      <c r="F643" s="57"/>
      <c r="G643" s="57"/>
      <c r="H643" s="57"/>
      <c r="I643" s="57"/>
      <c r="J643" s="57"/>
      <c r="K643" s="57"/>
      <c r="L643" s="57"/>
      <c r="M643" s="57"/>
      <c r="N643" s="57"/>
      <c r="O643" s="57"/>
      <c r="P643" s="57"/>
      <c r="Q643" s="57"/>
      <c r="R643" s="2102"/>
      <c r="S643" s="253"/>
    </row>
    <row r="644" spans="1:19">
      <c r="A644" s="253"/>
      <c r="B644" s="57"/>
      <c r="C644" s="57"/>
      <c r="D644" s="57"/>
      <c r="E644" s="57"/>
      <c r="F644" s="57"/>
      <c r="G644" s="57"/>
      <c r="H644" s="57"/>
      <c r="I644" s="57"/>
      <c r="J644" s="57"/>
      <c r="K644" s="57"/>
      <c r="L644" s="57"/>
      <c r="M644" s="57"/>
      <c r="N644" s="57"/>
      <c r="O644" s="57"/>
      <c r="P644" s="57"/>
      <c r="Q644" s="57"/>
      <c r="R644" s="2102"/>
      <c r="S644" s="253"/>
    </row>
    <row r="645" spans="1:19">
      <c r="A645" s="253"/>
      <c r="B645" s="57"/>
      <c r="C645" s="57"/>
      <c r="D645" s="57"/>
      <c r="E645" s="57"/>
      <c r="F645" s="57"/>
      <c r="G645" s="57"/>
      <c r="H645" s="57"/>
      <c r="I645" s="57"/>
      <c r="J645" s="57"/>
      <c r="K645" s="57"/>
      <c r="L645" s="57"/>
      <c r="M645" s="57"/>
      <c r="N645" s="57"/>
      <c r="O645" s="57"/>
      <c r="P645" s="57"/>
      <c r="Q645" s="57"/>
      <c r="R645" s="2102"/>
      <c r="S645" s="253"/>
    </row>
    <row r="646" spans="1:19">
      <c r="A646" s="253"/>
      <c r="B646" s="57"/>
      <c r="C646" s="57"/>
      <c r="D646" s="57"/>
      <c r="E646" s="57"/>
      <c r="F646" s="57"/>
      <c r="G646" s="57"/>
      <c r="H646" s="57"/>
      <c r="I646" s="57"/>
      <c r="J646" s="57"/>
      <c r="K646" s="57"/>
      <c r="L646" s="57"/>
      <c r="M646" s="57"/>
      <c r="N646" s="57"/>
      <c r="O646" s="57"/>
      <c r="P646" s="57"/>
      <c r="Q646" s="57"/>
      <c r="R646" s="2102"/>
      <c r="S646" s="253"/>
    </row>
    <row r="647" spans="1:19">
      <c r="A647" s="253"/>
      <c r="B647" s="57"/>
      <c r="C647" s="57"/>
      <c r="D647" s="57"/>
      <c r="E647" s="57"/>
      <c r="F647" s="57"/>
      <c r="G647" s="57"/>
      <c r="H647" s="57"/>
      <c r="I647" s="57"/>
      <c r="J647" s="57"/>
      <c r="K647" s="57"/>
      <c r="L647" s="57"/>
      <c r="M647" s="57"/>
      <c r="N647" s="57"/>
      <c r="O647" s="57"/>
      <c r="P647" s="57"/>
      <c r="Q647" s="57"/>
      <c r="R647" s="2102"/>
      <c r="S647" s="253"/>
    </row>
    <row r="648" spans="1:19">
      <c r="A648" s="253"/>
      <c r="B648" s="57"/>
      <c r="C648" s="57"/>
      <c r="D648" s="57"/>
      <c r="E648" s="57"/>
      <c r="F648" s="57"/>
      <c r="G648" s="57"/>
      <c r="H648" s="57"/>
      <c r="I648" s="57"/>
      <c r="J648" s="57"/>
      <c r="K648" s="57"/>
      <c r="L648" s="57"/>
      <c r="M648" s="57"/>
      <c r="N648" s="57"/>
      <c r="O648" s="57"/>
      <c r="P648" s="57"/>
      <c r="Q648" s="57"/>
      <c r="R648" s="2102"/>
      <c r="S648" s="253"/>
    </row>
    <row r="649" spans="1:19">
      <c r="A649" s="253"/>
      <c r="B649" s="57"/>
      <c r="C649" s="57"/>
      <c r="D649" s="57"/>
      <c r="E649" s="57"/>
      <c r="F649" s="57"/>
      <c r="G649" s="57"/>
      <c r="H649" s="57"/>
      <c r="I649" s="57"/>
      <c r="J649" s="57"/>
      <c r="K649" s="57"/>
      <c r="L649" s="57"/>
      <c r="M649" s="57"/>
      <c r="N649" s="57"/>
      <c r="O649" s="57"/>
      <c r="P649" s="57"/>
      <c r="Q649" s="57"/>
      <c r="R649" s="2102"/>
      <c r="S649" s="253"/>
    </row>
    <row r="650" spans="1:19">
      <c r="A650" s="253"/>
      <c r="B650" s="57"/>
      <c r="C650" s="57"/>
      <c r="D650" s="57"/>
      <c r="E650" s="57"/>
      <c r="F650" s="57"/>
      <c r="G650" s="57"/>
      <c r="H650" s="57"/>
      <c r="I650" s="57"/>
      <c r="J650" s="57"/>
      <c r="K650" s="57"/>
      <c r="L650" s="57"/>
      <c r="M650" s="57"/>
      <c r="N650" s="57"/>
      <c r="O650" s="57"/>
      <c r="P650" s="57"/>
      <c r="Q650" s="57"/>
      <c r="R650" s="2102"/>
      <c r="S650" s="253"/>
    </row>
    <row r="651" spans="1:19">
      <c r="A651" s="253"/>
      <c r="B651" s="57"/>
      <c r="C651" s="57"/>
      <c r="D651" s="57"/>
      <c r="E651" s="57"/>
      <c r="F651" s="57"/>
      <c r="G651" s="57"/>
      <c r="H651" s="57"/>
      <c r="I651" s="57"/>
      <c r="J651" s="57"/>
      <c r="K651" s="57"/>
      <c r="L651" s="57"/>
      <c r="M651" s="57"/>
      <c r="N651" s="57"/>
      <c r="O651" s="57"/>
      <c r="P651" s="57"/>
      <c r="Q651" s="57"/>
      <c r="R651" s="2102"/>
      <c r="S651" s="253"/>
    </row>
    <row r="652" spans="1:19">
      <c r="A652" s="253"/>
      <c r="B652" s="57"/>
      <c r="C652" s="57"/>
      <c r="D652" s="57"/>
      <c r="E652" s="57"/>
      <c r="F652" s="57"/>
      <c r="G652" s="57"/>
      <c r="H652" s="57"/>
      <c r="I652" s="57"/>
      <c r="J652" s="57"/>
      <c r="K652" s="57"/>
      <c r="L652" s="57"/>
      <c r="M652" s="57"/>
      <c r="N652" s="57"/>
      <c r="O652" s="57"/>
      <c r="P652" s="57"/>
      <c r="Q652" s="57"/>
      <c r="R652" s="2102"/>
      <c r="S652" s="253"/>
    </row>
    <row r="653" spans="1:19">
      <c r="A653" s="253"/>
      <c r="B653" s="57"/>
      <c r="C653" s="57"/>
      <c r="D653" s="57"/>
      <c r="E653" s="57"/>
      <c r="F653" s="57"/>
      <c r="G653" s="57"/>
      <c r="H653" s="57"/>
      <c r="I653" s="57"/>
      <c r="J653" s="57"/>
      <c r="K653" s="57"/>
      <c r="L653" s="57"/>
      <c r="M653" s="57"/>
      <c r="N653" s="57"/>
      <c r="O653" s="57"/>
      <c r="P653" s="57"/>
      <c r="Q653" s="57"/>
      <c r="R653" s="2102"/>
      <c r="S653" s="253"/>
    </row>
    <row r="654" spans="1:19">
      <c r="A654" s="253"/>
      <c r="B654" s="57"/>
      <c r="C654" s="57"/>
      <c r="D654" s="57"/>
      <c r="E654" s="57"/>
      <c r="F654" s="57"/>
      <c r="G654" s="57"/>
      <c r="H654" s="57"/>
      <c r="I654" s="57"/>
      <c r="J654" s="57"/>
      <c r="K654" s="57"/>
      <c r="L654" s="57"/>
      <c r="M654" s="57"/>
      <c r="N654" s="57"/>
      <c r="O654" s="57"/>
      <c r="P654" s="57"/>
      <c r="Q654" s="57"/>
      <c r="R654" s="2102"/>
      <c r="S654" s="253"/>
    </row>
    <row r="655" spans="1:19">
      <c r="A655" s="253"/>
      <c r="B655" s="57"/>
      <c r="C655" s="57"/>
      <c r="D655" s="57"/>
      <c r="E655" s="57"/>
      <c r="F655" s="57"/>
      <c r="G655" s="57"/>
      <c r="H655" s="57"/>
      <c r="I655" s="57"/>
      <c r="J655" s="57"/>
      <c r="K655" s="57"/>
      <c r="L655" s="57"/>
      <c r="M655" s="57"/>
      <c r="N655" s="57"/>
      <c r="O655" s="57"/>
      <c r="P655" s="57"/>
      <c r="Q655" s="57"/>
      <c r="R655" s="2102"/>
      <c r="S655" s="253"/>
    </row>
    <row r="656" spans="1:19">
      <c r="A656" s="253"/>
      <c r="B656" s="57"/>
      <c r="C656" s="57"/>
      <c r="D656" s="57"/>
      <c r="E656" s="57"/>
      <c r="F656" s="57"/>
      <c r="G656" s="57"/>
      <c r="H656" s="57"/>
      <c r="I656" s="57"/>
      <c r="J656" s="57"/>
      <c r="K656" s="57"/>
      <c r="L656" s="57"/>
      <c r="M656" s="57"/>
      <c r="N656" s="57"/>
      <c r="O656" s="57"/>
      <c r="P656" s="57"/>
      <c r="Q656" s="57"/>
      <c r="R656" s="2102"/>
      <c r="S656" s="253"/>
    </row>
    <row r="657" spans="1:19">
      <c r="A657" s="253"/>
      <c r="B657" s="57"/>
      <c r="C657" s="57"/>
      <c r="D657" s="57"/>
      <c r="E657" s="57"/>
      <c r="F657" s="57"/>
      <c r="G657" s="57"/>
      <c r="H657" s="57"/>
      <c r="I657" s="57"/>
      <c r="J657" s="57"/>
      <c r="K657" s="57"/>
      <c r="L657" s="57"/>
      <c r="M657" s="57"/>
      <c r="N657" s="57"/>
      <c r="O657" s="57"/>
      <c r="P657" s="57"/>
      <c r="Q657" s="57"/>
      <c r="R657" s="2102"/>
      <c r="S657" s="253"/>
    </row>
    <row r="658" spans="1:19">
      <c r="A658" s="253"/>
      <c r="B658" s="57"/>
      <c r="C658" s="57"/>
      <c r="D658" s="57"/>
      <c r="E658" s="57"/>
      <c r="F658" s="57"/>
      <c r="G658" s="57"/>
      <c r="H658" s="57"/>
      <c r="I658" s="57"/>
      <c r="J658" s="57"/>
      <c r="K658" s="57"/>
      <c r="L658" s="57"/>
      <c r="M658" s="57"/>
      <c r="N658" s="57"/>
      <c r="O658" s="57"/>
      <c r="P658" s="57"/>
      <c r="Q658" s="57"/>
      <c r="R658" s="2102"/>
      <c r="S658" s="253"/>
    </row>
    <row r="659" spans="1:19">
      <c r="A659" s="253"/>
      <c r="B659" s="57"/>
      <c r="C659" s="57"/>
      <c r="D659" s="57"/>
      <c r="E659" s="57"/>
      <c r="F659" s="57"/>
      <c r="G659" s="57"/>
      <c r="H659" s="57"/>
      <c r="I659" s="57"/>
      <c r="J659" s="57"/>
      <c r="K659" s="57"/>
      <c r="L659" s="57"/>
      <c r="M659" s="57"/>
      <c r="N659" s="57"/>
      <c r="O659" s="57"/>
      <c r="P659" s="57"/>
      <c r="Q659" s="57"/>
      <c r="R659" s="2102"/>
      <c r="S659" s="253"/>
    </row>
    <row r="660" spans="1:19">
      <c r="A660" s="253"/>
      <c r="B660" s="57"/>
      <c r="C660" s="57"/>
      <c r="D660" s="57"/>
      <c r="E660" s="57"/>
      <c r="F660" s="57"/>
      <c r="G660" s="57"/>
      <c r="H660" s="57"/>
      <c r="I660" s="57"/>
      <c r="J660" s="57"/>
      <c r="K660" s="57"/>
      <c r="L660" s="57"/>
      <c r="M660" s="57"/>
      <c r="N660" s="57"/>
      <c r="O660" s="57"/>
      <c r="P660" s="57"/>
      <c r="Q660" s="57"/>
      <c r="R660" s="2102"/>
      <c r="S660" s="253"/>
    </row>
    <row r="661" spans="1:19">
      <c r="A661" s="253"/>
      <c r="B661" s="57"/>
      <c r="C661" s="57"/>
      <c r="D661" s="57"/>
      <c r="E661" s="57"/>
      <c r="F661" s="57"/>
      <c r="G661" s="57"/>
      <c r="H661" s="57"/>
      <c r="I661" s="57"/>
      <c r="J661" s="57"/>
      <c r="K661" s="57"/>
      <c r="L661" s="57"/>
      <c r="M661" s="57"/>
      <c r="N661" s="57"/>
      <c r="O661" s="57"/>
      <c r="P661" s="57"/>
      <c r="Q661" s="57"/>
      <c r="R661" s="2102"/>
      <c r="S661" s="253"/>
    </row>
    <row r="662" spans="1:19">
      <c r="A662" s="253"/>
      <c r="B662" s="57"/>
      <c r="C662" s="57"/>
      <c r="D662" s="57"/>
      <c r="E662" s="57"/>
      <c r="F662" s="57"/>
      <c r="G662" s="57"/>
      <c r="H662" s="57"/>
      <c r="I662" s="57"/>
      <c r="J662" s="57"/>
      <c r="K662" s="57"/>
      <c r="L662" s="57"/>
      <c r="M662" s="57"/>
      <c r="N662" s="57"/>
      <c r="O662" s="57"/>
      <c r="P662" s="57"/>
      <c r="Q662" s="57"/>
      <c r="R662" s="2102"/>
      <c r="S662" s="253"/>
    </row>
    <row r="663" spans="1:19">
      <c r="A663" s="253"/>
      <c r="B663" s="57"/>
      <c r="C663" s="57"/>
      <c r="D663" s="57"/>
      <c r="E663" s="57"/>
      <c r="F663" s="57"/>
      <c r="G663" s="57"/>
      <c r="H663" s="57"/>
      <c r="I663" s="57"/>
      <c r="J663" s="57"/>
      <c r="K663" s="57"/>
      <c r="L663" s="57"/>
      <c r="M663" s="57"/>
      <c r="N663" s="57"/>
      <c r="O663" s="57"/>
      <c r="P663" s="57"/>
      <c r="Q663" s="57"/>
      <c r="R663" s="2102"/>
      <c r="S663" s="253"/>
    </row>
    <row r="664" spans="1:19">
      <c r="A664" s="253"/>
      <c r="B664" s="57"/>
      <c r="C664" s="57"/>
      <c r="D664" s="57"/>
      <c r="E664" s="57"/>
      <c r="F664" s="57"/>
      <c r="G664" s="57"/>
      <c r="H664" s="57"/>
      <c r="I664" s="57"/>
      <c r="J664" s="57"/>
      <c r="K664" s="57"/>
      <c r="L664" s="57"/>
      <c r="M664" s="57"/>
      <c r="N664" s="57"/>
      <c r="O664" s="57"/>
      <c r="P664" s="57"/>
      <c r="Q664" s="57"/>
      <c r="R664" s="2102"/>
      <c r="S664" s="253"/>
    </row>
    <row r="665" spans="1:19">
      <c r="A665" s="253"/>
      <c r="B665" s="57"/>
      <c r="C665" s="57"/>
      <c r="D665" s="57"/>
      <c r="E665" s="57"/>
      <c r="F665" s="57"/>
      <c r="G665" s="57"/>
      <c r="H665" s="57"/>
      <c r="I665" s="57"/>
      <c r="J665" s="57"/>
      <c r="K665" s="57"/>
      <c r="L665" s="57"/>
      <c r="M665" s="57"/>
      <c r="N665" s="57"/>
      <c r="O665" s="57"/>
      <c r="P665" s="57"/>
      <c r="Q665" s="57"/>
      <c r="R665" s="2102"/>
      <c r="S665" s="253"/>
    </row>
    <row r="666" spans="1:19">
      <c r="A666" s="253"/>
      <c r="B666" s="57"/>
      <c r="C666" s="57"/>
      <c r="D666" s="57"/>
      <c r="E666" s="57"/>
      <c r="F666" s="57"/>
      <c r="G666" s="57"/>
      <c r="H666" s="57"/>
      <c r="I666" s="57"/>
      <c r="J666" s="57"/>
      <c r="K666" s="57"/>
      <c r="L666" s="57"/>
      <c r="M666" s="57"/>
      <c r="N666" s="57"/>
      <c r="O666" s="57"/>
      <c r="P666" s="57"/>
      <c r="Q666" s="57"/>
      <c r="R666" s="2102"/>
      <c r="S666" s="253"/>
    </row>
    <row r="667" spans="1:19">
      <c r="A667" s="253"/>
      <c r="B667" s="57"/>
      <c r="C667" s="57"/>
      <c r="D667" s="57"/>
      <c r="E667" s="57"/>
      <c r="F667" s="57"/>
      <c r="G667" s="57"/>
      <c r="H667" s="57"/>
      <c r="I667" s="57"/>
      <c r="J667" s="57"/>
      <c r="K667" s="57"/>
      <c r="L667" s="57"/>
      <c r="M667" s="57"/>
      <c r="N667" s="57"/>
      <c r="O667" s="57"/>
      <c r="P667" s="57"/>
      <c r="Q667" s="57"/>
      <c r="R667" s="2102"/>
      <c r="S667" s="253"/>
    </row>
    <row r="668" spans="1:19">
      <c r="A668" s="253"/>
      <c r="B668" s="57"/>
      <c r="C668" s="57"/>
      <c r="D668" s="57"/>
      <c r="E668" s="57"/>
      <c r="F668" s="57"/>
      <c r="G668" s="57"/>
      <c r="H668" s="57"/>
      <c r="I668" s="57"/>
      <c r="J668" s="57"/>
      <c r="K668" s="57"/>
      <c r="L668" s="57"/>
      <c r="M668" s="57"/>
      <c r="N668" s="57"/>
      <c r="O668" s="57"/>
      <c r="P668" s="57"/>
      <c r="Q668" s="57"/>
      <c r="R668" s="2102"/>
      <c r="S668" s="253"/>
    </row>
    <row r="669" spans="1:19">
      <c r="A669" s="253"/>
      <c r="B669" s="57"/>
      <c r="C669" s="57"/>
      <c r="D669" s="57"/>
      <c r="E669" s="57"/>
      <c r="F669" s="57"/>
      <c r="G669" s="57"/>
      <c r="H669" s="57"/>
      <c r="I669" s="57"/>
      <c r="J669" s="57"/>
      <c r="K669" s="57"/>
      <c r="L669" s="57"/>
      <c r="M669" s="57"/>
      <c r="N669" s="57"/>
      <c r="O669" s="57"/>
      <c r="P669" s="57"/>
      <c r="Q669" s="57"/>
      <c r="R669" s="2102"/>
      <c r="S669" s="253"/>
    </row>
    <row r="670" spans="1:19">
      <c r="A670" s="253"/>
      <c r="B670" s="57"/>
      <c r="C670" s="57"/>
      <c r="D670" s="57"/>
      <c r="E670" s="57"/>
      <c r="F670" s="57"/>
      <c r="G670" s="57"/>
      <c r="H670" s="57"/>
      <c r="I670" s="57"/>
      <c r="J670" s="57"/>
      <c r="K670" s="57"/>
      <c r="L670" s="57"/>
      <c r="M670" s="57"/>
      <c r="N670" s="57"/>
      <c r="O670" s="57"/>
      <c r="P670" s="57"/>
      <c r="Q670" s="57"/>
      <c r="R670" s="2102"/>
      <c r="S670" s="253"/>
    </row>
    <row r="671" spans="1:19">
      <c r="A671" s="253"/>
      <c r="B671" s="57"/>
      <c r="C671" s="57"/>
      <c r="D671" s="57"/>
      <c r="E671" s="57"/>
      <c r="F671" s="57"/>
      <c r="G671" s="57"/>
      <c r="H671" s="57"/>
      <c r="I671" s="57"/>
      <c r="J671" s="57"/>
      <c r="K671" s="57"/>
      <c r="L671" s="57"/>
      <c r="M671" s="57"/>
      <c r="N671" s="57"/>
      <c r="O671" s="57"/>
      <c r="P671" s="57"/>
      <c r="Q671" s="57"/>
      <c r="R671" s="2102"/>
      <c r="S671" s="253"/>
    </row>
    <row r="672" spans="1:19">
      <c r="A672" s="253"/>
      <c r="B672" s="57"/>
      <c r="C672" s="57"/>
      <c r="D672" s="57"/>
      <c r="E672" s="57"/>
      <c r="F672" s="57"/>
      <c r="G672" s="57"/>
      <c r="H672" s="57"/>
      <c r="I672" s="57"/>
      <c r="J672" s="57"/>
      <c r="K672" s="57"/>
      <c r="L672" s="57"/>
      <c r="M672" s="57"/>
      <c r="N672" s="57"/>
      <c r="O672" s="57"/>
      <c r="P672" s="57"/>
      <c r="Q672" s="57"/>
      <c r="R672" s="2102"/>
      <c r="S672" s="253"/>
    </row>
    <row r="673" spans="1:19">
      <c r="A673" s="253"/>
      <c r="B673" s="57"/>
      <c r="C673" s="57"/>
      <c r="D673" s="57"/>
      <c r="E673" s="57"/>
      <c r="F673" s="57"/>
      <c r="G673" s="57"/>
      <c r="H673" s="57"/>
      <c r="I673" s="57"/>
      <c r="J673" s="57"/>
      <c r="K673" s="57"/>
      <c r="L673" s="57"/>
      <c r="M673" s="57"/>
      <c r="N673" s="57"/>
      <c r="O673" s="57"/>
      <c r="P673" s="57"/>
      <c r="Q673" s="57"/>
      <c r="R673" s="2102"/>
      <c r="S673" s="253"/>
    </row>
    <row r="674" spans="1:19">
      <c r="A674" s="253"/>
      <c r="B674" s="57"/>
      <c r="C674" s="57"/>
      <c r="D674" s="57"/>
      <c r="E674" s="57"/>
      <c r="F674" s="57"/>
      <c r="G674" s="57"/>
      <c r="H674" s="57"/>
      <c r="I674" s="57"/>
      <c r="J674" s="57"/>
      <c r="K674" s="57"/>
      <c r="L674" s="57"/>
      <c r="M674" s="57"/>
      <c r="N674" s="57"/>
      <c r="O674" s="57"/>
      <c r="P674" s="57"/>
      <c r="Q674" s="57"/>
      <c r="R674" s="2102"/>
      <c r="S674" s="253"/>
    </row>
    <row r="675" spans="1:19">
      <c r="A675" s="253"/>
      <c r="B675" s="57"/>
      <c r="C675" s="57"/>
      <c r="D675" s="57"/>
      <c r="E675" s="57"/>
      <c r="F675" s="57"/>
      <c r="G675" s="57"/>
      <c r="H675" s="57"/>
      <c r="I675" s="57"/>
      <c r="J675" s="57"/>
      <c r="K675" s="57"/>
      <c r="L675" s="57"/>
      <c r="M675" s="57"/>
      <c r="N675" s="57"/>
      <c r="O675" s="57"/>
      <c r="P675" s="57"/>
      <c r="Q675" s="57"/>
      <c r="R675" s="2102"/>
      <c r="S675" s="253"/>
    </row>
    <row r="676" spans="1:19">
      <c r="A676" s="253"/>
      <c r="B676" s="57"/>
      <c r="C676" s="57"/>
      <c r="D676" s="57"/>
      <c r="E676" s="57"/>
      <c r="F676" s="57"/>
      <c r="G676" s="57"/>
      <c r="H676" s="57"/>
      <c r="I676" s="57"/>
      <c r="J676" s="57"/>
      <c r="K676" s="57"/>
      <c r="L676" s="57"/>
      <c r="M676" s="57"/>
      <c r="N676" s="57"/>
      <c r="O676" s="57"/>
      <c r="P676" s="57"/>
      <c r="Q676" s="57"/>
      <c r="R676" s="2102"/>
      <c r="S676" s="253"/>
    </row>
    <row r="677" spans="1:19">
      <c r="A677" s="253"/>
      <c r="B677" s="57"/>
      <c r="C677" s="57"/>
      <c r="D677" s="57"/>
      <c r="E677" s="57"/>
      <c r="F677" s="57"/>
      <c r="G677" s="57"/>
      <c r="H677" s="57"/>
      <c r="I677" s="57"/>
      <c r="J677" s="57"/>
      <c r="K677" s="57"/>
      <c r="L677" s="57"/>
      <c r="M677" s="57"/>
      <c r="N677" s="57"/>
      <c r="O677" s="57"/>
      <c r="P677" s="57"/>
      <c r="Q677" s="57"/>
      <c r="R677" s="2102"/>
      <c r="S677" s="253"/>
    </row>
    <row r="678" spans="1:19">
      <c r="A678" s="253"/>
      <c r="B678" s="57"/>
      <c r="C678" s="57"/>
      <c r="D678" s="57"/>
      <c r="E678" s="57"/>
      <c r="F678" s="57"/>
      <c r="G678" s="57"/>
      <c r="H678" s="57"/>
      <c r="I678" s="57"/>
      <c r="J678" s="57"/>
      <c r="K678" s="57"/>
      <c r="L678" s="57"/>
      <c r="M678" s="57"/>
      <c r="N678" s="57"/>
      <c r="O678" s="57"/>
      <c r="P678" s="57"/>
      <c r="Q678" s="57"/>
      <c r="R678" s="2102"/>
      <c r="S678" s="253"/>
    </row>
    <row r="679" spans="1:19">
      <c r="A679" s="253"/>
      <c r="B679" s="57"/>
      <c r="C679" s="57"/>
      <c r="D679" s="57"/>
      <c r="E679" s="57"/>
      <c r="F679" s="57"/>
      <c r="G679" s="57"/>
      <c r="H679" s="57"/>
      <c r="I679" s="57"/>
      <c r="J679" s="57"/>
      <c r="K679" s="57"/>
      <c r="L679" s="57"/>
      <c r="M679" s="57"/>
      <c r="N679" s="57"/>
      <c r="O679" s="57"/>
      <c r="P679" s="57"/>
      <c r="Q679" s="57"/>
      <c r="R679" s="2102"/>
      <c r="S679" s="253"/>
    </row>
    <row r="680" spans="1:19">
      <c r="A680" s="253"/>
      <c r="B680" s="57"/>
      <c r="C680" s="57"/>
      <c r="D680" s="57"/>
      <c r="E680" s="57"/>
      <c r="F680" s="57"/>
      <c r="G680" s="57"/>
      <c r="H680" s="57"/>
      <c r="I680" s="57"/>
      <c r="J680" s="57"/>
      <c r="K680" s="57"/>
      <c r="L680" s="57"/>
      <c r="M680" s="57"/>
      <c r="N680" s="57"/>
      <c r="O680" s="57"/>
      <c r="P680" s="57"/>
      <c r="Q680" s="57"/>
      <c r="R680" s="2102"/>
      <c r="S680" s="253"/>
    </row>
    <row r="681" spans="1:19">
      <c r="A681" s="253"/>
      <c r="B681" s="57"/>
      <c r="C681" s="57"/>
      <c r="D681" s="57"/>
      <c r="E681" s="57"/>
      <c r="F681" s="57"/>
      <c r="G681" s="57"/>
      <c r="H681" s="57"/>
      <c r="I681" s="57"/>
      <c r="J681" s="57"/>
      <c r="K681" s="57"/>
      <c r="L681" s="57"/>
      <c r="M681" s="57"/>
      <c r="N681" s="57"/>
      <c r="O681" s="57"/>
      <c r="P681" s="57"/>
      <c r="Q681" s="57"/>
      <c r="R681" s="2102"/>
      <c r="S681" s="253"/>
    </row>
    <row r="682" spans="1:19">
      <c r="A682" s="253"/>
      <c r="B682" s="57"/>
      <c r="C682" s="57"/>
      <c r="D682" s="57"/>
      <c r="E682" s="57"/>
      <c r="F682" s="57"/>
      <c r="G682" s="57"/>
      <c r="H682" s="57"/>
      <c r="I682" s="57"/>
      <c r="J682" s="57"/>
      <c r="K682" s="57"/>
      <c r="L682" s="57"/>
      <c r="M682" s="57"/>
      <c r="N682" s="57"/>
      <c r="O682" s="57"/>
      <c r="P682" s="57"/>
      <c r="Q682" s="57"/>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13" customWidth="1"/>
    <col min="2" max="3" width="21.375" style="1713" customWidth="1"/>
    <col min="4" max="4" width="19.875" style="1713" customWidth="1"/>
    <col min="5" max="16384" width="9" style="1713"/>
  </cols>
  <sheetData>
    <row r="1" spans="1:4">
      <c r="A1" s="3514" t="s">
        <v>2053</v>
      </c>
      <c r="B1" s="3514"/>
      <c r="C1" s="3514"/>
      <c r="D1" s="3514"/>
    </row>
    <row r="2" spans="1:4" ht="47.25" customHeight="1">
      <c r="A2" s="3515" t="str">
        <f>"1.权利限制："&amp;项目基本情况!L24&amp;"未设定租赁等其他他项权利。"</f>
        <v>1.权利限制：根据估价对象《不动产权证书》原件、《国有土地使用权》复印件，截至估价期日，估价对象抵押权未见登记。未设定租赁等其他他项权利。</v>
      </c>
      <c r="B2" s="3515"/>
      <c r="C2" s="3515"/>
      <c r="D2" s="3515"/>
    </row>
    <row r="3" spans="1:4" ht="48" customHeight="1">
      <c r="A3" s="35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514"/>
      <c r="C3" s="3514"/>
      <c r="D3" s="3514"/>
    </row>
    <row r="4" spans="1:4" ht="36.75" customHeight="1">
      <c r="A4" s="3514" t="str">
        <f>"3.估价规划限制条件：详见"&amp;项目基本情况!E21&amp;"。"</f>
        <v>3.估价规划限制条件：详见《建设工程规划许可证》[]、《出让合同》[]。</v>
      </c>
      <c r="B4" s="3514"/>
      <c r="C4" s="3514"/>
      <c r="D4" s="3514"/>
    </row>
    <row r="5" spans="1:4">
      <c r="A5" s="3513" t="s">
        <v>2054</v>
      </c>
      <c r="B5" s="3513"/>
      <c r="C5" s="3513"/>
      <c r="D5" s="3513"/>
    </row>
    <row r="6" spans="1:4">
      <c r="A6" s="3514" t="s">
        <v>2032</v>
      </c>
      <c r="B6" s="3514"/>
      <c r="C6" s="3514"/>
      <c r="D6" s="3514"/>
    </row>
    <row r="7" spans="1:4" ht="33" customHeight="1">
      <c r="A7" s="3514" t="s">
        <v>2555</v>
      </c>
      <c r="B7" s="3514"/>
      <c r="C7" s="3514"/>
      <c r="D7" s="3514"/>
    </row>
    <row r="8" spans="1:4" ht="32.25" customHeight="1">
      <c r="A8" s="35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4"/>
      <c r="C8" s="3514"/>
      <c r="D8" s="3514"/>
    </row>
    <row r="9" spans="1:4" ht="33.75" customHeight="1">
      <c r="A9" s="3514" t="str">
        <f>IF(项目基本情况!B8="抵押","3.抵押双方在办理抵押登记手续时，应使用本公司出具的正式《土地估价报告》，特提请报告使用者注意。","——")</f>
        <v>——</v>
      </c>
      <c r="B9" s="3514"/>
      <c r="C9" s="3514"/>
      <c r="D9" s="3514"/>
    </row>
    <row r="10" spans="1:4">
      <c r="A10" s="3514" t="str">
        <f>IF(项目基本情况!B8="抵押","4.估价师所知悉的法定优先受偿款情况为：","——")</f>
        <v>——</v>
      </c>
      <c r="B10" s="3514"/>
      <c r="C10" s="3514"/>
      <c r="D10" s="3514"/>
    </row>
    <row r="11" spans="1:4" ht="37.5" customHeight="1">
      <c r="A11" s="3516" t="str">
        <f>IF(项目基本情况!B8="抵押","（1）"&amp;CONCATENATE(项目基本情况!L24,项目基本情况!L25,项目基本情况!L26),"——")</f>
        <v>——</v>
      </c>
      <c r="B11" s="3516"/>
      <c r="C11" s="3516"/>
      <c r="D11" s="3516"/>
    </row>
    <row r="12" spans="1:4" ht="168" customHeight="1">
      <c r="A12" s="3513" t="s">
        <v>2056</v>
      </c>
      <c r="B12" s="3513"/>
      <c r="C12" s="3513"/>
      <c r="D12" s="3513"/>
    </row>
    <row r="13" spans="1:4">
      <c r="A13" s="3517" t="s">
        <v>2725</v>
      </c>
      <c r="B13" s="3517"/>
      <c r="C13" s="3517"/>
      <c r="D13" s="3517"/>
    </row>
    <row r="14" spans="1:4">
      <c r="A14" s="3516" t="str">
        <f>IF(项目基本情况!B8="抵押","综上，"&amp;'结果表(商业）'!K47,"——")</f>
        <v>——</v>
      </c>
      <c r="B14" s="3516"/>
      <c r="C14" s="3516"/>
      <c r="D14" s="3516"/>
    </row>
    <row r="15" spans="1:4" ht="58.5" customHeight="1">
      <c r="A15" s="3514" t="str">
        <f>IF('结果表(商业）'!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4"/>
      <c r="C15" s="3514"/>
      <c r="D15" s="3514"/>
    </row>
    <row r="16" spans="1:4" ht="70.5" customHeight="1">
      <c r="A16" s="3514" t="str">
        <f>IF('结果表(商业）'!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4"/>
      <c r="C16" s="3514"/>
      <c r="D16" s="3514"/>
    </row>
    <row r="17" spans="1:4">
      <c r="A17" s="3514" t="s">
        <v>2681</v>
      </c>
      <c r="B17" s="3514"/>
      <c r="C17" s="3514"/>
      <c r="D17" s="3514"/>
    </row>
    <row r="18" spans="1:4">
      <c r="A18" s="3514" t="s">
        <v>2673</v>
      </c>
      <c r="B18" s="3514"/>
      <c r="C18" s="3514"/>
      <c r="D18" s="3514"/>
    </row>
    <row r="19" spans="1:4">
      <c r="A19" s="2581" t="s">
        <v>2674</v>
      </c>
      <c r="B19" s="2581" t="s">
        <v>2675</v>
      </c>
      <c r="C19" s="2581" t="s">
        <v>2676</v>
      </c>
      <c r="D19" s="2581" t="s">
        <v>2677</v>
      </c>
    </row>
    <row r="20" spans="1:4">
      <c r="A20" s="2581" t="str">
        <f>项目基本情况!B4</f>
        <v>土地估价师</v>
      </c>
      <c r="B20" s="2581">
        <f>项目基本情况!C4</f>
        <v>0</v>
      </c>
      <c r="C20" s="2583"/>
      <c r="D20" s="1711" t="s">
        <v>2682</v>
      </c>
    </row>
    <row r="21" spans="1:4">
      <c r="A21" s="2581" t="str">
        <f>项目基本情况!D4</f>
        <v>土地估价师</v>
      </c>
      <c r="B21" s="2581">
        <f>项目基本情况!E4</f>
        <v>0</v>
      </c>
      <c r="C21" s="2583"/>
      <c r="D21" s="1711" t="s">
        <v>2683</v>
      </c>
    </row>
    <row r="23" spans="1:4">
      <c r="A23" s="3514" t="s">
        <v>2678</v>
      </c>
      <c r="B23" s="3514"/>
      <c r="C23" s="3514"/>
      <c r="D23" s="3514"/>
    </row>
    <row r="24" spans="1:4">
      <c r="A24" s="2581" t="s">
        <v>2674</v>
      </c>
      <c r="B24" s="2581" t="s">
        <v>2679</v>
      </c>
      <c r="C24" s="2581" t="s">
        <v>2676</v>
      </c>
      <c r="D24" s="2581" t="s">
        <v>2677</v>
      </c>
    </row>
    <row r="25" spans="1:4">
      <c r="A25" s="2584" t="s">
        <v>2680</v>
      </c>
      <c r="B25" s="2581" t="s">
        <v>943</v>
      </c>
      <c r="C25" s="2583"/>
      <c r="D25" s="1711" t="s">
        <v>2683</v>
      </c>
    </row>
    <row r="29" spans="1:4">
      <c r="D29" s="2582" t="s">
        <v>2027</v>
      </c>
    </row>
    <row r="30" spans="1:4">
      <c r="D30" s="25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654" customWidth="1"/>
    <col min="2" max="2" width="13.1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875" style="2660" customWidth="1"/>
    <col min="14" max="256" width="9" style="2660"/>
    <col min="257" max="257" width="4.875" style="2652" customWidth="1"/>
    <col min="258" max="258" width="13.1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875" style="2652" customWidth="1"/>
    <col min="270" max="512" width="9" style="2652"/>
    <col min="513" max="513" width="4.875" style="2652" customWidth="1"/>
    <col min="514" max="514" width="13.1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875" style="2652" customWidth="1"/>
    <col min="526" max="768" width="9" style="2652"/>
    <col min="769" max="769" width="4.875" style="2652" customWidth="1"/>
    <col min="770" max="770" width="13.1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875" style="2652" customWidth="1"/>
    <col min="782" max="1024" width="9" style="2652"/>
    <col min="1025" max="1025" width="4.875" style="2652" customWidth="1"/>
    <col min="1026" max="1026" width="13.1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875" style="2652" customWidth="1"/>
    <col min="1038" max="1280" width="9" style="2652"/>
    <col min="1281" max="1281" width="4.875" style="2652" customWidth="1"/>
    <col min="1282" max="1282" width="13.1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875" style="2652" customWidth="1"/>
    <col min="1294" max="1536" width="9" style="2652"/>
    <col min="1537" max="1537" width="4.875" style="2652" customWidth="1"/>
    <col min="1538" max="1538" width="13.1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875" style="2652" customWidth="1"/>
    <col min="1550" max="1792" width="9" style="2652"/>
    <col min="1793" max="1793" width="4.875" style="2652" customWidth="1"/>
    <col min="1794" max="1794" width="13.1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875" style="2652" customWidth="1"/>
    <col min="1806" max="2048" width="9" style="2652"/>
    <col min="2049" max="2049" width="4.875" style="2652" customWidth="1"/>
    <col min="2050" max="2050" width="13.1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875" style="2652" customWidth="1"/>
    <col min="2062" max="2304" width="9" style="2652"/>
    <col min="2305" max="2305" width="4.875" style="2652" customWidth="1"/>
    <col min="2306" max="2306" width="13.1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875" style="2652" customWidth="1"/>
    <col min="2318" max="2560" width="9" style="2652"/>
    <col min="2561" max="2561" width="4.875" style="2652" customWidth="1"/>
    <col min="2562" max="2562" width="13.1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875" style="2652" customWidth="1"/>
    <col min="2574" max="2816" width="9" style="2652"/>
    <col min="2817" max="2817" width="4.875" style="2652" customWidth="1"/>
    <col min="2818" max="2818" width="13.1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875" style="2652" customWidth="1"/>
    <col min="2830" max="3072" width="9" style="2652"/>
    <col min="3073" max="3073" width="4.875" style="2652" customWidth="1"/>
    <col min="3074" max="3074" width="13.1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875" style="2652" customWidth="1"/>
    <col min="3086" max="3328" width="9" style="2652"/>
    <col min="3329" max="3329" width="4.875" style="2652" customWidth="1"/>
    <col min="3330" max="3330" width="13.1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875" style="2652" customWidth="1"/>
    <col min="3342" max="3584" width="9" style="2652"/>
    <col min="3585" max="3585" width="4.875" style="2652" customWidth="1"/>
    <col min="3586" max="3586" width="13.1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875" style="2652" customWidth="1"/>
    <col min="3598" max="3840" width="9" style="2652"/>
    <col min="3841" max="3841" width="4.875" style="2652" customWidth="1"/>
    <col min="3842" max="3842" width="13.1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875" style="2652" customWidth="1"/>
    <col min="3854" max="4096" width="9" style="2652"/>
    <col min="4097" max="4097" width="4.875" style="2652" customWidth="1"/>
    <col min="4098" max="4098" width="13.1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875" style="2652" customWidth="1"/>
    <col min="4110" max="4352" width="9" style="2652"/>
    <col min="4353" max="4353" width="4.875" style="2652" customWidth="1"/>
    <col min="4354" max="4354" width="13.1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875" style="2652" customWidth="1"/>
    <col min="4366" max="4608" width="9" style="2652"/>
    <col min="4609" max="4609" width="4.875" style="2652" customWidth="1"/>
    <col min="4610" max="4610" width="13.1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875" style="2652" customWidth="1"/>
    <col min="4622" max="4864" width="9" style="2652"/>
    <col min="4865" max="4865" width="4.875" style="2652" customWidth="1"/>
    <col min="4866" max="4866" width="13.1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875" style="2652" customWidth="1"/>
    <col min="4878" max="5120" width="9" style="2652"/>
    <col min="5121" max="5121" width="4.875" style="2652" customWidth="1"/>
    <col min="5122" max="5122" width="13.1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875" style="2652" customWidth="1"/>
    <col min="5134" max="5376" width="9" style="2652"/>
    <col min="5377" max="5377" width="4.875" style="2652" customWidth="1"/>
    <col min="5378" max="5378" width="13.1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875" style="2652" customWidth="1"/>
    <col min="5390" max="5632" width="9" style="2652"/>
    <col min="5633" max="5633" width="4.875" style="2652" customWidth="1"/>
    <col min="5634" max="5634" width="13.1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875" style="2652" customWidth="1"/>
    <col min="5646" max="5888" width="9" style="2652"/>
    <col min="5889" max="5889" width="4.875" style="2652" customWidth="1"/>
    <col min="5890" max="5890" width="13.1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875" style="2652" customWidth="1"/>
    <col min="5902" max="6144" width="9" style="2652"/>
    <col min="6145" max="6145" width="4.875" style="2652" customWidth="1"/>
    <col min="6146" max="6146" width="13.1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875" style="2652" customWidth="1"/>
    <col min="6158" max="6400" width="9" style="2652"/>
    <col min="6401" max="6401" width="4.875" style="2652" customWidth="1"/>
    <col min="6402" max="6402" width="13.1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875" style="2652" customWidth="1"/>
    <col min="6414" max="6656" width="9" style="2652"/>
    <col min="6657" max="6657" width="4.875" style="2652" customWidth="1"/>
    <col min="6658" max="6658" width="13.1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875" style="2652" customWidth="1"/>
    <col min="6670" max="6912" width="9" style="2652"/>
    <col min="6913" max="6913" width="4.875" style="2652" customWidth="1"/>
    <col min="6914" max="6914" width="13.1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875" style="2652" customWidth="1"/>
    <col min="6926" max="7168" width="9" style="2652"/>
    <col min="7169" max="7169" width="4.875" style="2652" customWidth="1"/>
    <col min="7170" max="7170" width="13.1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875" style="2652" customWidth="1"/>
    <col min="7182" max="7424" width="9" style="2652"/>
    <col min="7425" max="7425" width="4.875" style="2652" customWidth="1"/>
    <col min="7426" max="7426" width="13.1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875" style="2652" customWidth="1"/>
    <col min="7438" max="7680" width="9" style="2652"/>
    <col min="7681" max="7681" width="4.875" style="2652" customWidth="1"/>
    <col min="7682" max="7682" width="13.1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875" style="2652" customWidth="1"/>
    <col min="7694" max="7936" width="9" style="2652"/>
    <col min="7937" max="7937" width="4.875" style="2652" customWidth="1"/>
    <col min="7938" max="7938" width="13.1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875" style="2652" customWidth="1"/>
    <col min="7950" max="8192" width="9" style="2652"/>
    <col min="8193" max="8193" width="4.875" style="2652" customWidth="1"/>
    <col min="8194" max="8194" width="13.1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875" style="2652" customWidth="1"/>
    <col min="8206" max="8448" width="9" style="2652"/>
    <col min="8449" max="8449" width="4.875" style="2652" customWidth="1"/>
    <col min="8450" max="8450" width="13.1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875" style="2652" customWidth="1"/>
    <col min="8462" max="8704" width="9" style="2652"/>
    <col min="8705" max="8705" width="4.875" style="2652" customWidth="1"/>
    <col min="8706" max="8706" width="13.1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875" style="2652" customWidth="1"/>
    <col min="8718" max="8960" width="9" style="2652"/>
    <col min="8961" max="8961" width="4.875" style="2652" customWidth="1"/>
    <col min="8962" max="8962" width="13.1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875" style="2652" customWidth="1"/>
    <col min="8974" max="9216" width="9" style="2652"/>
    <col min="9217" max="9217" width="4.875" style="2652" customWidth="1"/>
    <col min="9218" max="9218" width="13.1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875" style="2652" customWidth="1"/>
    <col min="9230" max="9472" width="9" style="2652"/>
    <col min="9473" max="9473" width="4.875" style="2652" customWidth="1"/>
    <col min="9474" max="9474" width="13.1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875" style="2652" customWidth="1"/>
    <col min="9486" max="9728" width="9" style="2652"/>
    <col min="9729" max="9729" width="4.875" style="2652" customWidth="1"/>
    <col min="9730" max="9730" width="13.1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875" style="2652" customWidth="1"/>
    <col min="9742" max="9984" width="9" style="2652"/>
    <col min="9985" max="9985" width="4.875" style="2652" customWidth="1"/>
    <col min="9986" max="9986" width="13.1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875" style="2652" customWidth="1"/>
    <col min="9998" max="10240" width="9" style="2652"/>
    <col min="10241" max="10241" width="4.875" style="2652" customWidth="1"/>
    <col min="10242" max="10242" width="13.1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875" style="2652" customWidth="1"/>
    <col min="10254" max="10496" width="9" style="2652"/>
    <col min="10497" max="10497" width="4.875" style="2652" customWidth="1"/>
    <col min="10498" max="10498" width="13.1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875" style="2652" customWidth="1"/>
    <col min="10510" max="10752" width="9" style="2652"/>
    <col min="10753" max="10753" width="4.875" style="2652" customWidth="1"/>
    <col min="10754" max="10754" width="13.1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875" style="2652" customWidth="1"/>
    <col min="10766" max="11008" width="9" style="2652"/>
    <col min="11009" max="11009" width="4.875" style="2652" customWidth="1"/>
    <col min="11010" max="11010" width="13.1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875" style="2652" customWidth="1"/>
    <col min="11022" max="11264" width="9" style="2652"/>
    <col min="11265" max="11265" width="4.875" style="2652" customWidth="1"/>
    <col min="11266" max="11266" width="13.1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875" style="2652" customWidth="1"/>
    <col min="11278" max="11520" width="9" style="2652"/>
    <col min="11521" max="11521" width="4.875" style="2652" customWidth="1"/>
    <col min="11522" max="11522" width="13.1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875" style="2652" customWidth="1"/>
    <col min="11534" max="11776" width="9" style="2652"/>
    <col min="11777" max="11777" width="4.875" style="2652" customWidth="1"/>
    <col min="11778" max="11778" width="13.1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875" style="2652" customWidth="1"/>
    <col min="11790" max="12032" width="9" style="2652"/>
    <col min="12033" max="12033" width="4.875" style="2652" customWidth="1"/>
    <col min="12034" max="12034" width="13.1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875" style="2652" customWidth="1"/>
    <col min="12046" max="12288" width="9" style="2652"/>
    <col min="12289" max="12289" width="4.875" style="2652" customWidth="1"/>
    <col min="12290" max="12290" width="13.1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875" style="2652" customWidth="1"/>
    <col min="12302" max="12544" width="9" style="2652"/>
    <col min="12545" max="12545" width="4.875" style="2652" customWidth="1"/>
    <col min="12546" max="12546" width="13.1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875" style="2652" customWidth="1"/>
    <col min="12558" max="12800" width="9" style="2652"/>
    <col min="12801" max="12801" width="4.875" style="2652" customWidth="1"/>
    <col min="12802" max="12802" width="13.1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875" style="2652" customWidth="1"/>
    <col min="12814" max="13056" width="9" style="2652"/>
    <col min="13057" max="13057" width="4.875" style="2652" customWidth="1"/>
    <col min="13058" max="13058" width="13.1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875" style="2652" customWidth="1"/>
    <col min="13070" max="13312" width="9" style="2652"/>
    <col min="13313" max="13313" width="4.875" style="2652" customWidth="1"/>
    <col min="13314" max="13314" width="13.1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875" style="2652" customWidth="1"/>
    <col min="13326" max="13568" width="9" style="2652"/>
    <col min="13569" max="13569" width="4.875" style="2652" customWidth="1"/>
    <col min="13570" max="13570" width="13.1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875" style="2652" customWidth="1"/>
    <col min="13582" max="13824" width="9" style="2652"/>
    <col min="13825" max="13825" width="4.875" style="2652" customWidth="1"/>
    <col min="13826" max="13826" width="13.1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875" style="2652" customWidth="1"/>
    <col min="13838" max="14080" width="9" style="2652"/>
    <col min="14081" max="14081" width="4.875" style="2652" customWidth="1"/>
    <col min="14082" max="14082" width="13.1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875" style="2652" customWidth="1"/>
    <col min="14094" max="14336" width="9" style="2652"/>
    <col min="14337" max="14337" width="4.875" style="2652" customWidth="1"/>
    <col min="14338" max="14338" width="13.1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875" style="2652" customWidth="1"/>
    <col min="14350" max="14592" width="9" style="2652"/>
    <col min="14593" max="14593" width="4.875" style="2652" customWidth="1"/>
    <col min="14594" max="14594" width="13.1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875" style="2652" customWidth="1"/>
    <col min="14606" max="14848" width="9" style="2652"/>
    <col min="14849" max="14849" width="4.875" style="2652" customWidth="1"/>
    <col min="14850" max="14850" width="13.1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875" style="2652" customWidth="1"/>
    <col min="14862" max="15104" width="9" style="2652"/>
    <col min="15105" max="15105" width="4.875" style="2652" customWidth="1"/>
    <col min="15106" max="15106" width="13.1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875" style="2652" customWidth="1"/>
    <col min="15118" max="15360" width="9" style="2652"/>
    <col min="15361" max="15361" width="4.875" style="2652" customWidth="1"/>
    <col min="15362" max="15362" width="13.1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875" style="2652" customWidth="1"/>
    <col min="15374" max="15616" width="9" style="2652"/>
    <col min="15617" max="15617" width="4.875" style="2652" customWidth="1"/>
    <col min="15618" max="15618" width="13.1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875" style="2652" customWidth="1"/>
    <col min="15630" max="15872" width="9" style="2652"/>
    <col min="15873" max="15873" width="4.875" style="2652" customWidth="1"/>
    <col min="15874" max="15874" width="13.1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875" style="2652" customWidth="1"/>
    <col min="15886" max="16128" width="9" style="2652"/>
    <col min="16129" max="16129" width="4.875" style="2652" customWidth="1"/>
    <col min="16130" max="16130" width="13.1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875" style="2652" customWidth="1"/>
    <col min="16142" max="16384" width="9" style="2652"/>
  </cols>
  <sheetData>
    <row r="1" spans="1:257" s="2712" customFormat="1" ht="14.25" thickBot="1">
      <c r="A1" s="2711"/>
      <c r="B1" s="2713" t="s">
        <v>2766</v>
      </c>
      <c r="C1" s="2717">
        <f>项目基本情况!D3</f>
        <v>44412</v>
      </c>
      <c r="H1" s="2651">
        <f>IF(C1&gt;C13,0,MATCH(C1,C$13:C$100,-1))+IF(SUMIF(C13:C100,C1,D13:D100)=0,13,12)</f>
        <v>13</v>
      </c>
      <c r="I1" s="2651">
        <f>MATCH(C2,H3:H7,1)+IF(SUMIF(H3:H7,C2,I3:I7)=0,2,1)</f>
        <v>5</v>
      </c>
      <c r="J1" s="2710">
        <f ca="1">MATCH(C3,H3:H7,1)+IF(SUMIF(H3:H7,C3,J3:J7)=0,2,1)</f>
        <v>2</v>
      </c>
      <c r="N1" s="2651">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3"/>
      <c r="B2" s="2714" t="s">
        <v>2797</v>
      </c>
      <c r="C2" s="2718">
        <f>'数据-取费表'!B22</f>
        <v>2</v>
      </c>
      <c r="D2" s="2713" t="s">
        <v>2767</v>
      </c>
      <c r="E2" s="2716">
        <f ca="1">INDIRECT("I"&amp;$I$1)/100</f>
        <v>4.7500000000000001E-2</v>
      </c>
      <c r="G2" s="2653"/>
      <c r="H2" s="2653"/>
      <c r="I2" s="2653" t="s">
        <v>2768</v>
      </c>
      <c r="K2" s="2653"/>
      <c r="L2" s="2653"/>
      <c r="M2" s="2653"/>
      <c r="N2" s="2653" t="s">
        <v>2769</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9" customFormat="1">
      <c r="A3" s="2654"/>
      <c r="B3" s="2713" t="s">
        <v>2799</v>
      </c>
      <c r="C3" s="2715">
        <f>'数据-取费表'!B19</f>
        <v>0</v>
      </c>
      <c r="D3" s="2713" t="s">
        <v>2767</v>
      </c>
      <c r="E3" s="2716">
        <f ca="1">INDIRECT("J"&amp;$J$1)/100</f>
        <v>0</v>
      </c>
      <c r="G3" s="2655" t="s">
        <v>2770</v>
      </c>
      <c r="H3" s="2656">
        <v>0</v>
      </c>
      <c r="I3" s="2657">
        <f ca="1">INDIRECT("d"&amp;$H$1)</f>
        <v>4.3499999999999996</v>
      </c>
      <c r="J3" s="2657">
        <f ca="1">INDIRECT("d"&amp;$H$1)</f>
        <v>4.3499999999999996</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9" customFormat="1">
      <c r="A4" s="2654"/>
      <c r="B4" s="2713" t="s">
        <v>2798</v>
      </c>
      <c r="C4" s="2716">
        <f ca="1">N4/100</f>
        <v>1.4999999999999999E-2</v>
      </c>
      <c r="G4" s="2661" t="s">
        <v>2771</v>
      </c>
      <c r="H4" s="2662">
        <v>0.5</v>
      </c>
      <c r="I4" s="2663">
        <f ca="1">INDIRECT("e"&amp;$H$1)</f>
        <v>4.3499999999999996</v>
      </c>
      <c r="J4" s="2663">
        <f ca="1">INDIRECT("e"&amp;$H$1)</f>
        <v>4.3499999999999996</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9" customFormat="1">
      <c r="A5" s="2654"/>
      <c r="G5" s="2661" t="s">
        <v>2772</v>
      </c>
      <c r="H5" s="2662">
        <v>1</v>
      </c>
      <c r="I5" s="2663">
        <f ca="1">INDIRECT("f"&amp;$H$1)</f>
        <v>4.75</v>
      </c>
      <c r="J5" s="2663">
        <f ca="1">INDIRECT("f"&amp;$H$1)</f>
        <v>4.75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9" customFormat="1">
      <c r="A6" s="2654"/>
      <c r="G6" s="2661" t="s">
        <v>2773</v>
      </c>
      <c r="H6" s="2662">
        <v>3</v>
      </c>
      <c r="I6" s="2663">
        <f ca="1">INDIRECT("g"&amp;$H$1)</f>
        <v>4.75</v>
      </c>
      <c r="J6" s="2663">
        <f ca="1">INDIRECT("g"&amp;$H$1)</f>
        <v>4.75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9" customFormat="1" ht="14.25" thickBot="1">
      <c r="A7" s="2654"/>
      <c r="G7" s="2666" t="s">
        <v>2774</v>
      </c>
      <c r="H7" s="2667">
        <v>5</v>
      </c>
      <c r="I7" s="2668">
        <f ca="1">INDIRECT("h"&amp;$H$1)</f>
        <v>4.9000000000000004</v>
      </c>
      <c r="J7" s="2668">
        <f ca="1">INDIRECT("h"&amp;$H$1)</f>
        <v>4.9000000000000004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2775</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2776</v>
      </c>
      <c r="C10" s="2680"/>
      <c r="D10" s="2680"/>
      <c r="E10" s="2680"/>
      <c r="F10" s="2680"/>
      <c r="G10" s="2680"/>
      <c r="H10" s="2680"/>
      <c r="I10" s="2654"/>
      <c r="J10" s="2654"/>
      <c r="K10" s="2680"/>
      <c r="L10" s="2681" t="s">
        <v>2777</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2778</v>
      </c>
      <c r="C11" s="2685" t="s">
        <v>2779</v>
      </c>
      <c r="D11" s="2686" t="s">
        <v>2780</v>
      </c>
      <c r="E11" s="2687"/>
      <c r="F11" s="2686" t="s">
        <v>2781</v>
      </c>
      <c r="G11" s="2688"/>
      <c r="H11" s="2687"/>
      <c r="I11" s="2686" t="s">
        <v>2782</v>
      </c>
      <c r="J11" s="2687"/>
      <c r="K11" s="2683"/>
      <c r="L11" s="2684" t="s">
        <v>2778</v>
      </c>
      <c r="M11" s="2685" t="s">
        <v>2779</v>
      </c>
      <c r="N11" s="2684" t="s">
        <v>2783</v>
      </c>
      <c r="O11" s="2686" t="s">
        <v>2784</v>
      </c>
      <c r="P11" s="2688"/>
      <c r="Q11" s="2688"/>
      <c r="R11" s="2688"/>
      <c r="S11" s="2688"/>
      <c r="T11" s="2687"/>
      <c r="U11" s="2686" t="s">
        <v>2785</v>
      </c>
      <c r="V11" s="2688"/>
      <c r="W11" s="2687"/>
      <c r="X11" s="2684" t="s">
        <v>2786</v>
      </c>
      <c r="Y11" s="2684" t="s">
        <v>2787</v>
      </c>
      <c r="Z11" s="2684" t="s">
        <v>2788</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2789</v>
      </c>
      <c r="E12" s="2693" t="s">
        <v>2790</v>
      </c>
      <c r="F12" s="2693" t="s">
        <v>2791</v>
      </c>
      <c r="G12" s="2693" t="s">
        <v>2792</v>
      </c>
      <c r="H12" s="2693" t="s">
        <v>2774</v>
      </c>
      <c r="I12" s="2694" t="s">
        <v>2793</v>
      </c>
      <c r="J12" s="2694" t="s">
        <v>2793</v>
      </c>
      <c r="K12" s="2690"/>
      <c r="L12" s="2691"/>
      <c r="M12" s="2692"/>
      <c r="N12" s="2691"/>
      <c r="O12" s="2694" t="s">
        <v>2794</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2795</v>
      </c>
      <c r="C13" s="2698">
        <v>42301</v>
      </c>
      <c r="D13" s="2699">
        <v>4.3499999999999996</v>
      </c>
      <c r="E13" s="2699">
        <v>4.3499999999999996</v>
      </c>
      <c r="F13" s="2699">
        <v>4.75</v>
      </c>
      <c r="G13" s="2699">
        <v>4.75</v>
      </c>
      <c r="H13" s="2699">
        <v>4.9000000000000004</v>
      </c>
      <c r="I13" s="2699">
        <v>2.75</v>
      </c>
      <c r="J13" s="2699">
        <v>3.25</v>
      </c>
      <c r="K13" s="2696"/>
      <c r="L13" s="2697" t="s">
        <v>2795</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c r="B14" s="2703"/>
      <c r="C14" s="2704">
        <v>42242</v>
      </c>
      <c r="D14" s="2703">
        <v>4.5999999999999996</v>
      </c>
      <c r="E14" s="2703">
        <v>4.5999999999999996</v>
      </c>
      <c r="F14" s="2703">
        <v>5</v>
      </c>
      <c r="G14" s="2703">
        <v>5</v>
      </c>
      <c r="H14" s="2703">
        <v>5.15</v>
      </c>
      <c r="I14" s="2703">
        <v>2.75</v>
      </c>
      <c r="J14" s="2703">
        <v>3.25</v>
      </c>
      <c r="L14" s="2703"/>
      <c r="M14" s="2704">
        <v>42242</v>
      </c>
      <c r="N14" s="2703">
        <v>0.35</v>
      </c>
      <c r="O14" s="2703">
        <v>1.35</v>
      </c>
      <c r="P14" s="2703">
        <v>1.55</v>
      </c>
      <c r="Q14" s="2703">
        <v>1.75</v>
      </c>
      <c r="R14" s="2703">
        <v>2.35</v>
      </c>
      <c r="S14" s="2703">
        <v>3</v>
      </c>
      <c r="T14" s="2703"/>
      <c r="U14" s="2703"/>
      <c r="V14" s="2703"/>
      <c r="W14" s="2703"/>
      <c r="X14" s="2703"/>
      <c r="Y14" s="2703"/>
      <c r="Z14" s="2703"/>
    </row>
    <row r="15" spans="1:257">
      <c r="B15" s="2703"/>
      <c r="C15" s="2704">
        <v>42183</v>
      </c>
      <c r="D15" s="2703">
        <v>4.8499999999999996</v>
      </c>
      <c r="E15" s="2703">
        <v>4.8499999999999996</v>
      </c>
      <c r="F15" s="2703">
        <v>5.25</v>
      </c>
      <c r="G15" s="2703">
        <v>5.25</v>
      </c>
      <c r="H15" s="2703">
        <v>5.4</v>
      </c>
      <c r="I15" s="2703">
        <v>3</v>
      </c>
      <c r="J15" s="2703">
        <v>3.5</v>
      </c>
      <c r="L15" s="2703"/>
      <c r="M15" s="2704">
        <v>42183</v>
      </c>
      <c r="N15" s="2703">
        <v>0.35</v>
      </c>
      <c r="O15" s="2703">
        <v>1.6</v>
      </c>
      <c r="P15" s="2703">
        <v>1.8</v>
      </c>
      <c r="Q15" s="2703">
        <v>2</v>
      </c>
      <c r="R15" s="2703">
        <v>2.6</v>
      </c>
      <c r="S15" s="2703">
        <v>3.25</v>
      </c>
      <c r="T15" s="2703"/>
      <c r="U15" s="2703"/>
      <c r="V15" s="2703"/>
      <c r="W15" s="2703"/>
      <c r="X15" s="2703"/>
      <c r="Y15" s="2703"/>
      <c r="Z15" s="2703"/>
    </row>
    <row r="16" spans="1:257">
      <c r="B16" s="2703"/>
      <c r="C16" s="2704">
        <v>42135</v>
      </c>
      <c r="D16" s="2703">
        <v>5.0999999999999996</v>
      </c>
      <c r="E16" s="2703">
        <v>5.0999999999999996</v>
      </c>
      <c r="F16" s="2703">
        <v>5.5</v>
      </c>
      <c r="G16" s="2703">
        <v>5.5</v>
      </c>
      <c r="H16" s="2703">
        <v>5.65</v>
      </c>
      <c r="I16" s="2703">
        <v>3.25</v>
      </c>
      <c r="J16" s="2703">
        <v>3.75</v>
      </c>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2:26">
      <c r="B17" s="2703"/>
      <c r="C17" s="2704">
        <v>42064</v>
      </c>
      <c r="D17" s="2703">
        <v>5.35</v>
      </c>
      <c r="E17" s="2703">
        <v>5.35</v>
      </c>
      <c r="F17" s="2703">
        <v>5.75</v>
      </c>
      <c r="G17" s="2703">
        <v>5.75</v>
      </c>
      <c r="H17" s="2703">
        <v>5.9</v>
      </c>
      <c r="I17" s="2703"/>
      <c r="J17" s="2703"/>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2:26" ht="15">
      <c r="B18" s="2703"/>
      <c r="C18" s="2704">
        <v>41965</v>
      </c>
      <c r="D18" s="2703">
        <v>5.6</v>
      </c>
      <c r="E18" s="2703">
        <v>5.6</v>
      </c>
      <c r="F18" s="2703">
        <v>6</v>
      </c>
      <c r="G18" s="2703">
        <v>6</v>
      </c>
      <c r="H18" s="2703">
        <v>6.15</v>
      </c>
      <c r="I18" s="2703"/>
      <c r="J18" s="2703"/>
      <c r="L18" s="2703"/>
      <c r="M18" s="2704">
        <v>41965</v>
      </c>
      <c r="N18" s="2703">
        <v>0.35</v>
      </c>
      <c r="O18" s="2703">
        <v>2.35</v>
      </c>
      <c r="P18" s="2703">
        <v>2.5499999999999998</v>
      </c>
      <c r="Q18" s="2703">
        <v>2.75</v>
      </c>
      <c r="R18" s="2703">
        <v>3.35</v>
      </c>
      <c r="S18" s="2703">
        <v>4</v>
      </c>
      <c r="T18" s="2703">
        <v>4.75</v>
      </c>
      <c r="U18" s="2705">
        <v>2.35</v>
      </c>
      <c r="V18" s="2705">
        <v>2.5499999999999998</v>
      </c>
      <c r="W18" s="2705">
        <v>2.75</v>
      </c>
      <c r="X18" s="2703"/>
      <c r="Y18" s="2705">
        <v>0.8</v>
      </c>
      <c r="Z18" s="2705">
        <v>1.35</v>
      </c>
    </row>
    <row r="19" spans="2:26">
      <c r="B19" s="2703"/>
      <c r="C19" s="2704">
        <v>41096</v>
      </c>
      <c r="D19" s="2703">
        <v>5.6</v>
      </c>
      <c r="E19" s="2703">
        <v>6</v>
      </c>
      <c r="F19" s="2703">
        <v>6.15</v>
      </c>
      <c r="G19" s="2703">
        <v>6.4</v>
      </c>
      <c r="H19" s="2703">
        <v>6.55</v>
      </c>
      <c r="I19" s="2703">
        <v>4</v>
      </c>
      <c r="J19" s="2703">
        <v>4.5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2:26">
      <c r="B20" s="2703"/>
      <c r="C20" s="2704">
        <v>41068</v>
      </c>
      <c r="D20" s="2703">
        <v>5.85</v>
      </c>
      <c r="E20" s="2703">
        <v>6.31</v>
      </c>
      <c r="F20" s="2703">
        <v>6.4</v>
      </c>
      <c r="G20" s="2703">
        <v>6.65</v>
      </c>
      <c r="H20" s="2703">
        <v>6.8</v>
      </c>
      <c r="I20" s="2703">
        <v>4.2</v>
      </c>
      <c r="J20" s="2703">
        <v>4.7</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2:26">
      <c r="B21" s="2703"/>
      <c r="C21" s="2704">
        <v>40731</v>
      </c>
      <c r="D21" s="2703">
        <v>6.1</v>
      </c>
      <c r="E21" s="2703">
        <v>6.56</v>
      </c>
      <c r="F21" s="2703">
        <v>6.65</v>
      </c>
      <c r="G21" s="2703">
        <v>6.9</v>
      </c>
      <c r="H21" s="2703">
        <v>7.05</v>
      </c>
      <c r="I21" s="2703">
        <v>4.45</v>
      </c>
      <c r="J21" s="2703">
        <v>4.9000000000000004</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2:26">
      <c r="B22" s="2703"/>
      <c r="C22" s="2704">
        <v>40639</v>
      </c>
      <c r="D22" s="2703">
        <v>5.85</v>
      </c>
      <c r="E22" s="2703">
        <v>6.31</v>
      </c>
      <c r="F22" s="2703">
        <v>6.4</v>
      </c>
      <c r="G22" s="2703">
        <v>6.65</v>
      </c>
      <c r="H22" s="2703">
        <v>6.8</v>
      </c>
      <c r="I22" s="2703">
        <v>4.2</v>
      </c>
      <c r="J22" s="2703">
        <v>4.7</v>
      </c>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2:26">
      <c r="B23" s="2703"/>
      <c r="C23" s="2704">
        <v>40583</v>
      </c>
      <c r="D23" s="2703">
        <v>5.6</v>
      </c>
      <c r="E23" s="2703">
        <v>6.06</v>
      </c>
      <c r="F23" s="2703">
        <v>6.1</v>
      </c>
      <c r="G23" s="2703">
        <v>6.45</v>
      </c>
      <c r="H23" s="2703">
        <v>6.6</v>
      </c>
      <c r="I23" s="2703">
        <v>4</v>
      </c>
      <c r="J23" s="2703">
        <v>4.5</v>
      </c>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2:26">
      <c r="B24" s="2703"/>
      <c r="C24" s="2704">
        <v>40538</v>
      </c>
      <c r="D24" s="2703">
        <v>5.35</v>
      </c>
      <c r="E24" s="2703">
        <v>5.81</v>
      </c>
      <c r="F24" s="2703">
        <v>5.85</v>
      </c>
      <c r="G24" s="2703">
        <v>6.22</v>
      </c>
      <c r="H24" s="2703">
        <v>6.4</v>
      </c>
      <c r="I24" s="2703">
        <v>3.75</v>
      </c>
      <c r="J24" s="2703">
        <v>4.3</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2:26">
      <c r="B25" s="2703"/>
      <c r="C25" s="2704">
        <v>40471</v>
      </c>
      <c r="D25" s="2703">
        <v>5.0999999999999996</v>
      </c>
      <c r="E25" s="2703">
        <v>5.56</v>
      </c>
      <c r="F25" s="2703">
        <v>5.6</v>
      </c>
      <c r="G25" s="2703">
        <v>5.96</v>
      </c>
      <c r="H25" s="2703">
        <v>6.14</v>
      </c>
      <c r="I25" s="2703">
        <v>3.5</v>
      </c>
      <c r="J25" s="2703">
        <v>4.05</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2:26">
      <c r="B26" s="2703"/>
      <c r="C26" s="2704">
        <v>39805</v>
      </c>
      <c r="D26" s="2703">
        <v>4.8600000000000003</v>
      </c>
      <c r="E26" s="2703">
        <v>5.31</v>
      </c>
      <c r="F26" s="2703">
        <v>5.4</v>
      </c>
      <c r="G26" s="2703">
        <v>5.76</v>
      </c>
      <c r="H26" s="2703">
        <v>5.94</v>
      </c>
      <c r="I26" s="2703">
        <v>3.33</v>
      </c>
      <c r="J26" s="2703">
        <v>3.87</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2:26">
      <c r="B27" s="2703"/>
      <c r="C27" s="2704">
        <v>39779</v>
      </c>
      <c r="D27" s="2703">
        <v>5.04</v>
      </c>
      <c r="E27" s="2703">
        <v>5.58</v>
      </c>
      <c r="F27" s="2703">
        <v>5.67</v>
      </c>
      <c r="G27" s="2703">
        <v>5.94</v>
      </c>
      <c r="H27" s="2703">
        <v>6.12</v>
      </c>
      <c r="I27" s="2703">
        <v>3.51</v>
      </c>
      <c r="J27" s="2703">
        <v>4.05</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2:26">
      <c r="B28" s="2703"/>
      <c r="C28" s="2704">
        <v>39751</v>
      </c>
      <c r="D28" s="2703">
        <v>6.03</v>
      </c>
      <c r="E28" s="2703">
        <v>6.66</v>
      </c>
      <c r="F28" s="2703">
        <v>6.75</v>
      </c>
      <c r="G28" s="2703">
        <v>7.02</v>
      </c>
      <c r="H28" s="2703">
        <v>7.2</v>
      </c>
      <c r="I28" s="2703">
        <v>4.05</v>
      </c>
      <c r="J28" s="2703">
        <v>4.59</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2:26">
      <c r="B29" s="2703"/>
      <c r="C29" s="2706">
        <v>39748</v>
      </c>
      <c r="D29" s="2703">
        <v>6.12</v>
      </c>
      <c r="E29" s="2703">
        <v>6.93</v>
      </c>
      <c r="F29" s="2703">
        <v>7.02</v>
      </c>
      <c r="G29" s="2703">
        <v>7.29</v>
      </c>
      <c r="H29" s="2703">
        <v>7.47</v>
      </c>
      <c r="I29" s="2703">
        <v>4.05</v>
      </c>
      <c r="J29" s="2703">
        <v>4.59</v>
      </c>
      <c r="L29" s="2703"/>
      <c r="M29" s="2706">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2:26">
      <c r="B30" s="2703"/>
      <c r="C30" s="2704">
        <v>39730</v>
      </c>
      <c r="D30" s="2703">
        <v>6.12</v>
      </c>
      <c r="E30" s="2703">
        <v>6.93</v>
      </c>
      <c r="F30" s="2703">
        <v>7.02</v>
      </c>
      <c r="G30" s="2703">
        <v>7.29</v>
      </c>
      <c r="H30" s="2703">
        <v>7.47</v>
      </c>
      <c r="I30" s="2703">
        <v>4.32</v>
      </c>
      <c r="J30" s="2703">
        <v>4.8600000000000003</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2:26">
      <c r="B31" s="2703"/>
      <c r="C31" s="2704">
        <v>39707</v>
      </c>
      <c r="D31" s="2703">
        <v>6.21</v>
      </c>
      <c r="E31" s="2703">
        <v>7.2</v>
      </c>
      <c r="F31" s="2703">
        <v>7.29</v>
      </c>
      <c r="G31" s="2703">
        <v>7.56</v>
      </c>
      <c r="H31" s="2703">
        <v>7.74</v>
      </c>
      <c r="I31" s="2703">
        <v>4.59</v>
      </c>
      <c r="J31" s="2703">
        <v>5.13</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2:26">
      <c r="B32" s="2703"/>
      <c r="C32" s="2704">
        <v>39437</v>
      </c>
      <c r="D32" s="2703">
        <v>6.57</v>
      </c>
      <c r="E32" s="2703">
        <v>7.47</v>
      </c>
      <c r="F32" s="2703">
        <v>7.56</v>
      </c>
      <c r="G32" s="2703">
        <v>7.74</v>
      </c>
      <c r="H32" s="2703">
        <v>7.83</v>
      </c>
      <c r="I32" s="2703">
        <v>4.7699999999999996</v>
      </c>
      <c r="J32" s="2703">
        <v>5.22</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39340</v>
      </c>
      <c r="D33" s="2703">
        <v>6.48</v>
      </c>
      <c r="E33" s="2703">
        <v>7.29</v>
      </c>
      <c r="F33" s="2703">
        <v>7.47</v>
      </c>
      <c r="G33" s="2703">
        <v>7.65</v>
      </c>
      <c r="H33" s="2703">
        <v>7.83</v>
      </c>
      <c r="I33" s="2703">
        <v>4.7699999999999996</v>
      </c>
      <c r="J33" s="2703">
        <v>5.22</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4">
        <v>39316</v>
      </c>
      <c r="D34" s="2703">
        <v>6.21</v>
      </c>
      <c r="E34" s="2703">
        <v>7.02</v>
      </c>
      <c r="F34" s="2703">
        <v>7.2</v>
      </c>
      <c r="G34" s="2703">
        <v>7.38</v>
      </c>
      <c r="H34" s="2703">
        <v>7.56</v>
      </c>
      <c r="I34" s="2703">
        <v>4.59</v>
      </c>
      <c r="J34" s="2703">
        <v>5.04</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39284</v>
      </c>
      <c r="D35" s="2703">
        <v>6.03</v>
      </c>
      <c r="E35" s="2703">
        <v>6.84</v>
      </c>
      <c r="F35" s="2703">
        <v>7.02</v>
      </c>
      <c r="G35" s="2703">
        <v>7.2</v>
      </c>
      <c r="H35" s="2703">
        <v>7.38</v>
      </c>
      <c r="I35" s="2703">
        <v>4.5</v>
      </c>
      <c r="J35" s="2703">
        <v>4.95</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39221</v>
      </c>
      <c r="D36" s="2703">
        <v>5.85</v>
      </c>
      <c r="E36" s="2703">
        <v>6.57</v>
      </c>
      <c r="F36" s="2703">
        <v>6.75</v>
      </c>
      <c r="G36" s="2703">
        <v>6.93</v>
      </c>
      <c r="H36" s="2703">
        <v>7.2</v>
      </c>
      <c r="I36" s="2703">
        <v>4.41</v>
      </c>
      <c r="J36" s="2703">
        <v>4.8600000000000003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39159</v>
      </c>
      <c r="D37" s="2703">
        <v>5.67</v>
      </c>
      <c r="E37" s="2703">
        <v>6.39</v>
      </c>
      <c r="F37" s="2703">
        <v>6.57</v>
      </c>
      <c r="G37" s="2703">
        <v>6.75</v>
      </c>
      <c r="H37" s="2703">
        <v>7.11</v>
      </c>
      <c r="I37" s="2703">
        <v>4.32</v>
      </c>
      <c r="J37" s="2703">
        <v>4.7699999999999996</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38948</v>
      </c>
      <c r="D38" s="2703">
        <v>5.58</v>
      </c>
      <c r="E38" s="2703">
        <v>6.12</v>
      </c>
      <c r="F38" s="2703">
        <v>6.3</v>
      </c>
      <c r="G38" s="2703">
        <v>6.48</v>
      </c>
      <c r="H38" s="2703">
        <v>6.84</v>
      </c>
      <c r="I38" s="2703">
        <v>4.1399999999999997</v>
      </c>
      <c r="J38" s="2703">
        <v>4.59</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38835</v>
      </c>
      <c r="D39" s="2703">
        <v>5.4</v>
      </c>
      <c r="E39" s="2703">
        <v>5.85</v>
      </c>
      <c r="F39" s="2703">
        <v>6.03</v>
      </c>
      <c r="G39" s="2703">
        <v>6.12</v>
      </c>
      <c r="H39" s="2703">
        <v>6.39</v>
      </c>
      <c r="I39" s="2703">
        <v>4.1399999999999997</v>
      </c>
      <c r="J39" s="2703">
        <v>4.59</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38428</v>
      </c>
      <c r="D40" s="2703">
        <v>5.22</v>
      </c>
      <c r="E40" s="2703">
        <v>5.58</v>
      </c>
      <c r="F40" s="2703">
        <v>5.76</v>
      </c>
      <c r="G40" s="2703">
        <v>5.85</v>
      </c>
      <c r="H40" s="2703">
        <v>6.12</v>
      </c>
      <c r="I40" s="2703">
        <v>3.96</v>
      </c>
      <c r="J40" s="2703">
        <v>4.41</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38289</v>
      </c>
      <c r="D41" s="2703">
        <v>5.22</v>
      </c>
      <c r="E41" s="2703">
        <v>5.58</v>
      </c>
      <c r="F41" s="2703">
        <v>5.76</v>
      </c>
      <c r="G41" s="2703">
        <v>5.85</v>
      </c>
      <c r="H41" s="2703">
        <v>6.12</v>
      </c>
      <c r="I41" s="2703">
        <v>3.78</v>
      </c>
      <c r="J41" s="2703">
        <v>4.2300000000000004</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37308</v>
      </c>
      <c r="D42" s="2703">
        <v>5.04</v>
      </c>
      <c r="E42" s="2703">
        <v>5.31</v>
      </c>
      <c r="F42" s="2703">
        <v>5.49</v>
      </c>
      <c r="G42" s="2703">
        <v>5.58</v>
      </c>
      <c r="H42" s="2703">
        <v>5.76</v>
      </c>
      <c r="I42" s="2703">
        <v>3.6</v>
      </c>
      <c r="J42" s="2703">
        <v>4.05</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2796</v>
      </c>
      <c r="Y42" s="2703" t="s">
        <v>2796</v>
      </c>
      <c r="Z42" s="2703" t="s">
        <v>2796</v>
      </c>
    </row>
    <row r="43" spans="2:26">
      <c r="B43" s="2703"/>
      <c r="C43" s="2704">
        <v>36321</v>
      </c>
      <c r="D43" s="2703">
        <v>5.58</v>
      </c>
      <c r="E43" s="2703">
        <v>5.85</v>
      </c>
      <c r="F43" s="2703">
        <v>5.94</v>
      </c>
      <c r="G43" s="2703">
        <v>6.03</v>
      </c>
      <c r="H43" s="2703">
        <v>6.21</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2796</v>
      </c>
      <c r="Y43" s="2703" t="s">
        <v>2796</v>
      </c>
      <c r="Z43" s="2703" t="s">
        <v>2796</v>
      </c>
    </row>
    <row r="44" spans="2:26">
      <c r="B44" s="2703"/>
      <c r="C44" s="2704">
        <v>36136</v>
      </c>
      <c r="D44" s="2703">
        <v>6.12</v>
      </c>
      <c r="E44" s="2703">
        <v>6.39</v>
      </c>
      <c r="F44" s="2703">
        <v>6.66</v>
      </c>
      <c r="G44" s="2703">
        <v>7.2</v>
      </c>
      <c r="H44" s="2703">
        <v>7.56</v>
      </c>
      <c r="I44" s="2703">
        <v>0</v>
      </c>
      <c r="J44" s="2703">
        <v>0</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2796</v>
      </c>
      <c r="Y44" s="2703" t="s">
        <v>2796</v>
      </c>
      <c r="Z44" s="2703" t="s">
        <v>2796</v>
      </c>
    </row>
    <row r="45" spans="2:26">
      <c r="B45" s="2703"/>
      <c r="C45" s="2704">
        <v>35977</v>
      </c>
      <c r="D45" s="2703">
        <v>6.57</v>
      </c>
      <c r="E45" s="2703">
        <v>6.93</v>
      </c>
      <c r="F45" s="2703">
        <v>7.11</v>
      </c>
      <c r="G45" s="2703">
        <v>7.65</v>
      </c>
      <c r="H45" s="2703">
        <v>8.01</v>
      </c>
      <c r="I45" s="2703">
        <v>0</v>
      </c>
      <c r="J45" s="2703">
        <v>0</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2796</v>
      </c>
      <c r="Y45" s="2703" t="s">
        <v>2796</v>
      </c>
      <c r="Z45" s="2703" t="s">
        <v>2796</v>
      </c>
    </row>
    <row r="46" spans="2:26">
      <c r="B46" s="2703"/>
      <c r="C46" s="2704">
        <v>35879</v>
      </c>
      <c r="D46" s="2703">
        <v>7.02</v>
      </c>
      <c r="E46" s="2703">
        <v>7.92</v>
      </c>
      <c r="F46" s="2703">
        <v>9</v>
      </c>
      <c r="G46" s="2703">
        <v>9.7200000000000006</v>
      </c>
      <c r="H46" s="2703">
        <v>10.35</v>
      </c>
      <c r="I46" s="2703">
        <v>0</v>
      </c>
      <c r="J46" s="2703">
        <v>0</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2796</v>
      </c>
      <c r="Y46" s="2703" t="s">
        <v>2796</v>
      </c>
      <c r="Z46" s="2703" t="s">
        <v>2796</v>
      </c>
    </row>
    <row r="47" spans="2:26">
      <c r="B47" s="2703"/>
      <c r="C47" s="2704">
        <v>35726</v>
      </c>
      <c r="D47" s="2703">
        <v>7.65</v>
      </c>
      <c r="E47" s="2703">
        <v>8.64</v>
      </c>
      <c r="F47" s="2703">
        <v>9.36</v>
      </c>
      <c r="G47" s="2703">
        <v>9.9</v>
      </c>
      <c r="H47" s="2703">
        <v>10.53</v>
      </c>
      <c r="I47" s="2703">
        <v>0</v>
      </c>
      <c r="J47" s="2703">
        <v>0</v>
      </c>
      <c r="L47" s="2703"/>
      <c r="M47" s="2704">
        <v>34161</v>
      </c>
      <c r="N47" s="2703">
        <v>3.15</v>
      </c>
      <c r="O47" s="2703">
        <v>6.66</v>
      </c>
      <c r="P47" s="2703">
        <v>9</v>
      </c>
      <c r="Q47" s="2703">
        <v>10.98</v>
      </c>
      <c r="R47" s="2703">
        <v>11.7</v>
      </c>
      <c r="S47" s="2703">
        <v>12.24</v>
      </c>
      <c r="T47" s="2703">
        <v>13.86</v>
      </c>
      <c r="U47" s="2703">
        <v>9</v>
      </c>
      <c r="V47" s="2703">
        <v>10.98</v>
      </c>
      <c r="W47" s="2703">
        <v>12.24</v>
      </c>
      <c r="X47" s="2703" t="s">
        <v>2796</v>
      </c>
      <c r="Y47" s="2703" t="s">
        <v>2796</v>
      </c>
      <c r="Z47" s="2703" t="s">
        <v>2796</v>
      </c>
    </row>
    <row r="48" spans="2:26">
      <c r="B48" s="2703"/>
      <c r="C48" s="2704">
        <v>35300</v>
      </c>
      <c r="D48" s="2703">
        <v>9.18</v>
      </c>
      <c r="E48" s="2703">
        <v>10.08</v>
      </c>
      <c r="F48" s="2703">
        <v>10.98</v>
      </c>
      <c r="G48" s="2703">
        <v>11.7</v>
      </c>
      <c r="H48" s="2703">
        <v>12.42</v>
      </c>
      <c r="I48" s="2703">
        <v>0</v>
      </c>
      <c r="J48" s="2703">
        <v>0</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2796</v>
      </c>
      <c r="Y48" s="2703" t="s">
        <v>2796</v>
      </c>
      <c r="Z48" s="2703" t="s">
        <v>2796</v>
      </c>
    </row>
    <row r="49" spans="2:26">
      <c r="B49" s="2703"/>
      <c r="C49" s="2704">
        <v>35186</v>
      </c>
      <c r="D49" s="2703">
        <v>9.7200000000000006</v>
      </c>
      <c r="E49" s="2703">
        <v>10.98</v>
      </c>
      <c r="F49" s="2703">
        <v>13.14</v>
      </c>
      <c r="G49" s="2703">
        <v>14.94</v>
      </c>
      <c r="H49" s="2703">
        <v>15.12</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2796</v>
      </c>
      <c r="Y49" s="2703" t="s">
        <v>2796</v>
      </c>
      <c r="Z49" s="2703" t="s">
        <v>2796</v>
      </c>
    </row>
    <row r="50" spans="2:26">
      <c r="B50" s="2703"/>
      <c r="C50" s="2704">
        <v>34881</v>
      </c>
      <c r="D50" s="2703">
        <v>10.08</v>
      </c>
      <c r="E50" s="2703">
        <v>12.06</v>
      </c>
      <c r="F50" s="2703">
        <v>13.5</v>
      </c>
      <c r="G50" s="2703">
        <v>15.12</v>
      </c>
      <c r="H50" s="2703">
        <v>15.3</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2796</v>
      </c>
      <c r="Y50" s="2703" t="s">
        <v>2796</v>
      </c>
      <c r="Z50" s="2703" t="s">
        <v>2796</v>
      </c>
    </row>
    <row r="51" spans="2:26">
      <c r="B51" s="2703"/>
      <c r="C51" s="2704">
        <v>34700</v>
      </c>
      <c r="D51" s="2703">
        <v>9</v>
      </c>
      <c r="E51" s="2703">
        <v>10.98</v>
      </c>
      <c r="F51" s="2703">
        <v>12.96</v>
      </c>
      <c r="G51" s="2703">
        <v>14.58</v>
      </c>
      <c r="H51" s="2703">
        <v>14.76</v>
      </c>
      <c r="I51" s="2703">
        <v>0</v>
      </c>
      <c r="J51" s="2703">
        <v>0</v>
      </c>
      <c r="L51" s="2703"/>
      <c r="M51" s="2704">
        <v>32978</v>
      </c>
      <c r="N51" s="2703">
        <v>2.88</v>
      </c>
      <c r="O51" s="2703">
        <v>6.3</v>
      </c>
      <c r="P51" s="2703">
        <v>7.74</v>
      </c>
      <c r="Q51" s="2703">
        <v>10.08</v>
      </c>
      <c r="R51" s="2703">
        <v>10.98</v>
      </c>
      <c r="S51" s="2703">
        <v>11.88</v>
      </c>
      <c r="T51" s="2703">
        <v>13.68</v>
      </c>
      <c r="U51" s="2703" t="s">
        <v>2796</v>
      </c>
      <c r="V51" s="2703" t="s">
        <v>2796</v>
      </c>
      <c r="W51" s="2703" t="s">
        <v>2796</v>
      </c>
      <c r="X51" s="2703" t="s">
        <v>2796</v>
      </c>
      <c r="Y51" s="2703" t="s">
        <v>2796</v>
      </c>
      <c r="Z51" s="2703" t="s">
        <v>2796</v>
      </c>
    </row>
    <row r="52" spans="2:26">
      <c r="B52" s="2703"/>
      <c r="C52" s="2704">
        <v>34161</v>
      </c>
      <c r="D52" s="2703">
        <v>9</v>
      </c>
      <c r="E52" s="2703">
        <v>10.98</v>
      </c>
      <c r="F52" s="2703">
        <v>12.24</v>
      </c>
      <c r="G52" s="2703">
        <v>13.86</v>
      </c>
      <c r="H52" s="2703">
        <v>14.04</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34104</v>
      </c>
      <c r="D53" s="2703">
        <v>8.82</v>
      </c>
      <c r="E53" s="2703">
        <v>9.36</v>
      </c>
      <c r="F53" s="2703">
        <v>10.8</v>
      </c>
      <c r="G53" s="2703">
        <v>12.06</v>
      </c>
      <c r="H53" s="2703">
        <v>12.24</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33349</v>
      </c>
      <c r="D54" s="2703">
        <v>8.1</v>
      </c>
      <c r="E54" s="2703">
        <v>8.64</v>
      </c>
      <c r="F54" s="2703">
        <v>9</v>
      </c>
      <c r="G54" s="2703">
        <v>9.5399999999999991</v>
      </c>
      <c r="H54" s="2703">
        <v>9.7200000000000006</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33318</v>
      </c>
      <c r="D55" s="2703">
        <v>9</v>
      </c>
      <c r="E55" s="2703">
        <v>10.08</v>
      </c>
      <c r="F55" s="2703">
        <v>10.8</v>
      </c>
      <c r="G55" s="2703">
        <v>11.52</v>
      </c>
      <c r="H55" s="2703">
        <v>11.88</v>
      </c>
      <c r="I55" s="2703" t="s">
        <v>2796</v>
      </c>
      <c r="J55" s="2703" t="s">
        <v>2796</v>
      </c>
      <c r="L55" s="2703"/>
      <c r="M55" s="2704"/>
      <c r="N55" s="2703"/>
      <c r="O55" s="2703"/>
      <c r="P55" s="2703"/>
      <c r="Q55" s="2703"/>
      <c r="R55" s="2703"/>
      <c r="S55" s="2703"/>
      <c r="T55" s="2703"/>
      <c r="U55" s="2703"/>
      <c r="V55" s="2703"/>
      <c r="W55" s="2703"/>
      <c r="X55" s="2703"/>
      <c r="Y55" s="2703"/>
      <c r="Z55" s="2703"/>
    </row>
    <row r="56" spans="2:26">
      <c r="B56" s="2703"/>
      <c r="C56" s="2704">
        <v>33106</v>
      </c>
      <c r="D56" s="2703">
        <v>8.64</v>
      </c>
      <c r="E56" s="2703">
        <v>9.36</v>
      </c>
      <c r="F56" s="2703">
        <v>10.08</v>
      </c>
      <c r="G56" s="2703">
        <v>10.8</v>
      </c>
      <c r="H56" s="2703">
        <v>11.16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32540</v>
      </c>
      <c r="D57" s="2703">
        <v>11.34</v>
      </c>
      <c r="E57" s="2703">
        <v>11.34</v>
      </c>
      <c r="F57" s="2703">
        <v>12.78</v>
      </c>
      <c r="G57" s="2703">
        <v>14.4</v>
      </c>
      <c r="H57" s="2703">
        <v>19.260000000000002</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c r="D58" s="2703"/>
      <c r="E58" s="2703"/>
      <c r="F58" s="2703"/>
      <c r="G58" s="2703"/>
      <c r="H58" s="2703"/>
      <c r="I58" s="2703"/>
      <c r="J58" s="2703"/>
    </row>
    <row r="59" spans="2:26">
      <c r="B59" s="2707"/>
      <c r="C59" s="2708"/>
      <c r="D59" s="2707"/>
      <c r="E59" s="2707"/>
      <c r="F59" s="2707"/>
      <c r="G59" s="2707"/>
      <c r="H59" s="2707"/>
      <c r="I59" s="2707"/>
      <c r="J59" s="2707"/>
    </row>
    <row r="60" spans="2:26">
      <c r="B60" s="2707"/>
      <c r="C60" s="2708"/>
      <c r="D60" s="2707"/>
      <c r="E60" s="2707"/>
      <c r="F60" s="2707"/>
      <c r="G60" s="2707"/>
      <c r="H60" s="2707"/>
      <c r="I60" s="2707"/>
      <c r="J60" s="2707"/>
    </row>
    <row r="61" spans="2:26">
      <c r="B61" s="2707"/>
      <c r="C61" s="2708"/>
      <c r="D61" s="2707"/>
      <c r="E61" s="2707"/>
      <c r="F61" s="2707"/>
      <c r="G61" s="2707"/>
      <c r="H61" s="2707"/>
      <c r="I61" s="2707"/>
      <c r="J61" s="2707"/>
    </row>
    <row r="62" spans="2:26">
      <c r="B62" s="2654"/>
      <c r="C62" s="2654"/>
      <c r="D62" s="2654"/>
      <c r="E62" s="2654"/>
      <c r="F62" s="2654"/>
      <c r="G62" s="2654"/>
      <c r="H62" s="2654"/>
      <c r="I62" s="2654"/>
      <c r="J62" s="2654"/>
    </row>
    <row r="63" spans="2:26">
      <c r="B63" s="2654"/>
      <c r="C63" s="2654"/>
      <c r="D63" s="2654"/>
      <c r="E63" s="2654"/>
      <c r="F63" s="2654"/>
      <c r="G63" s="2654"/>
      <c r="H63" s="2654"/>
      <c r="I63" s="2654"/>
      <c r="J63" s="2654"/>
    </row>
  </sheetData>
  <sheetProtection sheet="1" objects="1" scenarios="1"/>
  <phoneticPr fontId="22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525" t="s">
        <v>53</v>
      </c>
      <c r="B15" s="3526" t="s">
        <v>838</v>
      </c>
      <c r="C15" s="3522"/>
    </row>
    <row r="16" spans="1:7" ht="14.25">
      <c r="A16" s="3525"/>
      <c r="B16" s="3523" t="s">
        <v>54</v>
      </c>
      <c r="C16" s="1153" t="s">
        <v>53</v>
      </c>
    </row>
    <row r="17" spans="1:3" ht="14.25">
      <c r="A17" s="3525"/>
      <c r="B17" s="3523"/>
      <c r="C17" s="1153" t="s">
        <v>55</v>
      </c>
    </row>
    <row r="18" spans="1:3" ht="14.25">
      <c r="A18" s="3525"/>
      <c r="B18" s="3523"/>
      <c r="C18" s="1153" t="s">
        <v>56</v>
      </c>
    </row>
    <row r="19" spans="1:3" ht="14.25">
      <c r="A19" s="3525"/>
      <c r="B19" s="3521" t="s">
        <v>57</v>
      </c>
      <c r="C19" s="3522"/>
    </row>
    <row r="20" spans="1:3" ht="14.25">
      <c r="A20" s="1154" t="s">
        <v>58</v>
      </c>
      <c r="B20" s="1155"/>
      <c r="C20" s="1156"/>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57" t="s">
        <v>829</v>
      </c>
    </row>
    <row r="25" spans="1:3" ht="14.25">
      <c r="A25" s="3524"/>
      <c r="B25" s="3528"/>
      <c r="C25" s="1157" t="s">
        <v>830</v>
      </c>
    </row>
    <row r="26" spans="1:3" ht="14.25">
      <c r="A26" s="3524"/>
      <c r="B26" s="3528"/>
      <c r="C26" s="1157" t="s">
        <v>831</v>
      </c>
    </row>
    <row r="27" spans="1:3" ht="14.25">
      <c r="A27" s="3524"/>
      <c r="B27" s="3528"/>
      <c r="C27" s="1157" t="s">
        <v>832</v>
      </c>
    </row>
    <row r="28" spans="1:3" ht="14.25">
      <c r="A28" s="3524"/>
      <c r="B28" s="3528"/>
      <c r="C28" s="1157" t="s">
        <v>833</v>
      </c>
    </row>
    <row r="29" spans="1:3" ht="14.25">
      <c r="A29" s="3524"/>
      <c r="B29" s="3528"/>
      <c r="C29" s="1157" t="s">
        <v>834</v>
      </c>
    </row>
    <row r="30" spans="1:3" ht="14.25">
      <c r="A30" s="3524"/>
      <c r="B30" s="3528"/>
      <c r="C30" s="1157" t="s">
        <v>835</v>
      </c>
    </row>
    <row r="31" spans="1:3" ht="14.25">
      <c r="A31" s="3524"/>
      <c r="B31" s="3528"/>
      <c r="C31" s="1157" t="s">
        <v>836</v>
      </c>
    </row>
    <row r="32" spans="1:3" ht="14.25">
      <c r="A32" s="3524"/>
      <c r="B32" s="3528"/>
      <c r="C32" s="1157" t="s">
        <v>1636</v>
      </c>
    </row>
    <row r="33" spans="1:3" ht="14.25">
      <c r="A33" s="3524"/>
      <c r="B33" s="3518" t="s">
        <v>1642</v>
      </c>
      <c r="C33" s="1157" t="s">
        <v>1637</v>
      </c>
    </row>
    <row r="34" spans="1:3" ht="14.25">
      <c r="A34" s="3524"/>
      <c r="B34" s="3519"/>
      <c r="C34" s="1162" t="s">
        <v>1638</v>
      </c>
    </row>
    <row r="35" spans="1:3" ht="14.25">
      <c r="A35" s="3524"/>
      <c r="B35" s="3519"/>
      <c r="C35" s="1163" t="s">
        <v>1639</v>
      </c>
    </row>
    <row r="36" spans="1:3" ht="14.25">
      <c r="A36" s="3524"/>
      <c r="B36" s="3519"/>
      <c r="C36" s="1163" t="s">
        <v>1640</v>
      </c>
    </row>
    <row r="37" spans="1:3" ht="14.25">
      <c r="A37" s="3524"/>
      <c r="B37" s="3520"/>
      <c r="C37" s="1164" t="s">
        <v>1641</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875" style="2824" customWidth="1"/>
    <col min="2" max="2" width="22.875" style="2824" bestFit="1" customWidth="1"/>
    <col min="3" max="3" width="25.875" style="2824" bestFit="1" customWidth="1"/>
    <col min="4" max="4" width="22.625" style="2824"/>
    <col min="5" max="5" width="22.875" style="2824" bestFit="1" customWidth="1"/>
    <col min="6" max="6" width="25.625" style="2824" customWidth="1"/>
    <col min="7" max="16384" width="22.625" style="2824"/>
  </cols>
  <sheetData>
    <row r="1" spans="1:7" ht="20.25" customHeight="1">
      <c r="A1" s="3019"/>
      <c r="B1" s="3019"/>
      <c r="C1" s="3019"/>
      <c r="D1" s="3019"/>
      <c r="E1" s="3019"/>
      <c r="F1" s="3019"/>
      <c r="G1" s="3019"/>
    </row>
    <row r="2" spans="1:7" ht="20.25" customHeight="1">
      <c r="A2" s="3020" t="s">
        <v>1897</v>
      </c>
      <c r="B2" s="3021">
        <f ca="1">TODAY()</f>
        <v>44420</v>
      </c>
      <c r="C2" s="3022" t="s">
        <v>1898</v>
      </c>
      <c r="D2" s="3022"/>
      <c r="E2" s="3019"/>
      <c r="F2" s="3019"/>
      <c r="G2" s="3019"/>
    </row>
    <row r="3" spans="1:7" ht="20.25" customHeight="1">
      <c r="A3" s="3043" t="s">
        <v>1899</v>
      </c>
      <c r="B3" s="3024" t="s">
        <v>1900</v>
      </c>
      <c r="C3" s="3025" t="s">
        <v>1901</v>
      </c>
      <c r="D3" s="3044" t="s">
        <v>1902</v>
      </c>
      <c r="E3" s="3024" t="s">
        <v>1903</v>
      </c>
      <c r="F3" s="3024" t="s">
        <v>1901</v>
      </c>
      <c r="G3" s="3019"/>
    </row>
    <row r="4" spans="1:7" ht="20.25" customHeight="1">
      <c r="A4" s="3024" t="s">
        <v>1904</v>
      </c>
      <c r="B4" s="3024">
        <f ca="1">IF(C4&lt;B2,"已过期",1119970066)</f>
        <v>1119970066</v>
      </c>
      <c r="C4" s="3027">
        <v>44876</v>
      </c>
      <c r="D4" s="3035" t="s">
        <v>1904</v>
      </c>
      <c r="E4" s="3024">
        <f ca="1">IF(F4&lt;B2,"已过期",96010014)</f>
        <v>96010014</v>
      </c>
      <c r="F4" s="3026">
        <v>47118</v>
      </c>
      <c r="G4" s="3019"/>
    </row>
    <row r="5" spans="1:7" ht="20.25" customHeight="1">
      <c r="A5" s="3024" t="s">
        <v>1905</v>
      </c>
      <c r="B5" s="3024">
        <f ca="1">IF(C5&lt;B2,"已过期",1119970111)</f>
        <v>1119970111</v>
      </c>
      <c r="C5" s="3027">
        <v>44876</v>
      </c>
      <c r="D5" s="3035" t="s">
        <v>1905</v>
      </c>
      <c r="E5" s="3024">
        <f ca="1">IF(F5&lt;B2,"已过期",94010078)</f>
        <v>94010078</v>
      </c>
      <c r="F5" s="3026">
        <v>46387</v>
      </c>
      <c r="G5" s="3019"/>
    </row>
    <row r="6" spans="1:7" ht="20.25" customHeight="1">
      <c r="A6" s="3024" t="s">
        <v>1906</v>
      </c>
      <c r="B6" s="3024" t="str">
        <f ca="1">IF(C6&lt;B2,"已过期",1120050019)</f>
        <v>已过期</v>
      </c>
      <c r="C6" s="3027">
        <v>44395</v>
      </c>
      <c r="D6" s="3035" t="s">
        <v>1906</v>
      </c>
      <c r="E6" s="3024">
        <f ca="1">IF(F6&lt;B2,"已过期",2002110030)</f>
        <v>2002110030</v>
      </c>
      <c r="F6" s="3026">
        <v>46387</v>
      </c>
      <c r="G6" s="3019"/>
    </row>
    <row r="7" spans="1:7" ht="20.25" customHeight="1">
      <c r="A7" s="3024" t="s">
        <v>1907</v>
      </c>
      <c r="B7" s="3024">
        <f ca="1">IF(C7&lt;B2,"已过期",1120000080)</f>
        <v>1120000080</v>
      </c>
      <c r="C7" s="3027">
        <v>44876</v>
      </c>
      <c r="D7" s="3035" t="s">
        <v>1907</v>
      </c>
      <c r="E7" s="3024">
        <f ca="1">IF(F7&lt;B2,"已过期",2000110082)</f>
        <v>2000110082</v>
      </c>
      <c r="F7" s="3026">
        <v>46387</v>
      </c>
      <c r="G7" s="3019"/>
    </row>
    <row r="8" spans="1:7" ht="20.25" customHeight="1">
      <c r="A8" s="3024" t="s">
        <v>1908</v>
      </c>
      <c r="B8" s="3024">
        <f ca="1">IF(C8&lt;B2,"已过期",1419970001)</f>
        <v>1419970001</v>
      </c>
      <c r="C8" s="3027">
        <v>44899</v>
      </c>
      <c r="D8" s="3035" t="s">
        <v>1908</v>
      </c>
      <c r="E8" s="3024">
        <f ca="1">IF(F8&lt;B2,"已过期",2002110125)</f>
        <v>2002110125</v>
      </c>
      <c r="F8" s="3026">
        <v>47118</v>
      </c>
      <c r="G8" s="3019"/>
    </row>
    <row r="9" spans="1:7" ht="20.25" customHeight="1">
      <c r="A9" s="3024" t="s">
        <v>1909</v>
      </c>
      <c r="B9" s="3024">
        <f ca="1">IF(C9&lt;B2,"已过期",1120060040)</f>
        <v>1120060040</v>
      </c>
      <c r="C9" s="3027">
        <v>44554</v>
      </c>
      <c r="D9" s="3035" t="s">
        <v>1909</v>
      </c>
      <c r="E9" s="3024">
        <f ca="1">IF(F9&lt;B2,"已过期",2004110096)</f>
        <v>2004110096</v>
      </c>
      <c r="F9" s="3026">
        <v>47118</v>
      </c>
      <c r="G9" s="3019"/>
    </row>
    <row r="10" spans="1:7" ht="20.25" customHeight="1">
      <c r="A10" s="3024" t="s">
        <v>1910</v>
      </c>
      <c r="B10" s="3024">
        <f ca="1">IF(C10&lt;B2,"已过期",1120100036)</f>
        <v>1120100036</v>
      </c>
      <c r="C10" s="3027">
        <v>44675</v>
      </c>
      <c r="D10" s="3035" t="s">
        <v>1910</v>
      </c>
      <c r="E10" s="3024">
        <f ca="1">IF(F10&lt;B2,"已过期",2010110070)</f>
        <v>2010110070</v>
      </c>
      <c r="F10" s="3026">
        <v>47907</v>
      </c>
      <c r="G10" s="3019"/>
    </row>
    <row r="11" spans="1:7" ht="20.25" customHeight="1">
      <c r="A11" s="3024" t="s">
        <v>1911</v>
      </c>
      <c r="B11" s="3024">
        <f ca="1">IF(C11&lt;B2,"已过期",1120070131)</f>
        <v>1120070131</v>
      </c>
      <c r="C11" s="3027">
        <v>44849</v>
      </c>
      <c r="D11" s="3035" t="s">
        <v>1911</v>
      </c>
      <c r="E11" s="3024">
        <f ca="1">IF(F11&lt;B2,"已过期",2014110011)</f>
        <v>2014110011</v>
      </c>
      <c r="F11" s="3026">
        <v>49302</v>
      </c>
      <c r="G11" s="3019"/>
    </row>
    <row r="12" spans="1:7" ht="20.25" customHeight="1">
      <c r="A12" s="3024" t="s">
        <v>2941</v>
      </c>
      <c r="B12" s="3024">
        <f ca="1">IF(C12&lt;B2,"已过期",1120040230)</f>
        <v>1120040230</v>
      </c>
      <c r="C12" s="3027">
        <v>44864</v>
      </c>
      <c r="D12" s="3035" t="s">
        <v>2942</v>
      </c>
      <c r="E12" s="3024">
        <f ca="1">IF(F12&lt;B2,"已过期",98030020)</f>
        <v>98030020</v>
      </c>
      <c r="F12" s="3026">
        <v>47118</v>
      </c>
      <c r="G12" s="3019"/>
    </row>
    <row r="13" spans="1:7" ht="20.25" customHeight="1">
      <c r="A13" s="3024"/>
      <c r="B13" s="3024"/>
      <c r="C13" s="3027"/>
      <c r="D13" s="3035" t="s">
        <v>1912</v>
      </c>
      <c r="E13" s="3024">
        <f ca="1">IF(F13&lt;B2,"已过期",2011110090)</f>
        <v>2011110090</v>
      </c>
      <c r="F13" s="3026">
        <v>48302</v>
      </c>
      <c r="G13" s="3019"/>
    </row>
    <row r="14" spans="1:7" ht="20.25" customHeight="1">
      <c r="A14" s="3024" t="s">
        <v>1913</v>
      </c>
      <c r="B14" s="3024" t="str">
        <f ca="1">IF(C14&lt;B2,"已过期",1120020033)</f>
        <v>已过期</v>
      </c>
      <c r="C14" s="3027">
        <v>44339</v>
      </c>
      <c r="D14" s="3035" t="s">
        <v>1913</v>
      </c>
      <c r="E14" s="3024">
        <f ca="1">IF(F14&lt;B2,"已过期",2000110137)</f>
        <v>2000110137</v>
      </c>
      <c r="F14" s="3026">
        <v>46387</v>
      </c>
      <c r="G14" s="3019"/>
    </row>
    <row r="15" spans="1:7" ht="20.25" customHeight="1">
      <c r="A15" s="3024" t="s">
        <v>2953</v>
      </c>
      <c r="B15" s="3024" t="str">
        <f ca="1">IF(C14&lt;B2,"已过期",1119980106)</f>
        <v>已过期</v>
      </c>
      <c r="C15" s="3027">
        <v>44969</v>
      </c>
      <c r="D15" s="3035"/>
      <c r="E15" s="3024"/>
      <c r="F15" s="3024"/>
      <c r="G15" s="3019"/>
    </row>
    <row r="16" spans="1:7" s="2825" customFormat="1" ht="20.25" customHeight="1">
      <c r="A16" s="3023" t="s">
        <v>2041</v>
      </c>
      <c r="B16" s="3023" t="s">
        <v>2041</v>
      </c>
      <c r="C16" s="3027"/>
      <c r="D16" s="3036" t="s">
        <v>2041</v>
      </c>
      <c r="E16" s="3024" t="s">
        <v>2041</v>
      </c>
      <c r="F16" s="3026"/>
      <c r="G16" s="3028"/>
    </row>
    <row r="17" spans="1:7" ht="20.25" customHeight="1">
      <c r="A17" s="3532" t="s">
        <v>1914</v>
      </c>
      <c r="B17" s="3533"/>
      <c r="C17" s="3533"/>
      <c r="D17" s="3533"/>
      <c r="E17" s="3533"/>
      <c r="F17" s="3533"/>
      <c r="G17" s="3028"/>
    </row>
    <row r="18" spans="1:7" ht="20.25" customHeight="1">
      <c r="A18" s="3529" t="s">
        <v>1915</v>
      </c>
      <c r="B18" s="3529"/>
      <c r="C18" s="3530"/>
      <c r="D18" s="3531" t="s">
        <v>1916</v>
      </c>
      <c r="E18" s="3529"/>
      <c r="F18" s="3529"/>
      <c r="G18" s="3028"/>
    </row>
    <row r="19" spans="1:7" s="2823" customFormat="1" ht="20.25" customHeight="1">
      <c r="A19" s="3029" t="s">
        <v>1917</v>
      </c>
      <c r="B19" s="3030" t="s">
        <v>1918</v>
      </c>
      <c r="C19" s="3037" t="s">
        <v>1919</v>
      </c>
      <c r="D19" s="3035" t="s">
        <v>1917</v>
      </c>
      <c r="E19" s="3030" t="s">
        <v>1918</v>
      </c>
      <c r="F19" s="3030" t="s">
        <v>1919</v>
      </c>
      <c r="G19" s="3020"/>
    </row>
    <row r="20" spans="1:7" s="2823" customFormat="1" ht="20.25" customHeight="1">
      <c r="A20" s="3031" t="s">
        <v>1920</v>
      </c>
      <c r="B20" s="3031" t="s">
        <v>1921</v>
      </c>
      <c r="C20" s="3038">
        <v>44820</v>
      </c>
      <c r="D20" s="3040" t="s">
        <v>1922</v>
      </c>
      <c r="E20" s="3031" t="s">
        <v>1923</v>
      </c>
      <c r="F20" s="3032">
        <v>44377</v>
      </c>
      <c r="G20" s="3020"/>
    </row>
    <row r="21" spans="1:7" s="2823" customFormat="1" ht="20.25" customHeight="1">
      <c r="A21" s="3031"/>
      <c r="B21" s="3031"/>
      <c r="C21" s="3039"/>
      <c r="D21" s="3040" t="s">
        <v>1924</v>
      </c>
      <c r="E21" s="3031" t="s">
        <v>2952</v>
      </c>
      <c r="F21" s="3032">
        <v>44012</v>
      </c>
      <c r="G21" s="3020"/>
    </row>
    <row r="22" spans="1:7" ht="20.25" customHeight="1">
      <c r="A22" s="3019"/>
      <c r="B22" s="3019"/>
      <c r="C22" s="3033"/>
      <c r="D22" s="3041"/>
      <c r="E22" s="3042"/>
      <c r="F22" s="3034" t="s">
        <v>2966</v>
      </c>
      <c r="G22" s="3019"/>
    </row>
  </sheetData>
  <sheetProtection password="CEE9" sheet="1" objects="1" scenarios="1"/>
  <mergeCells count="3">
    <mergeCell ref="A18:C18"/>
    <mergeCell ref="D18:F18"/>
    <mergeCell ref="A17:F17"/>
  </mergeCells>
  <phoneticPr fontId="3" type="noConversion"/>
  <conditionalFormatting sqref="C16:D16 C5 C12:C13">
    <cfRule type="expression" dxfId="299" priority="149">
      <formula>AND($C5-TODAY()&lt;30,TODAY()&lt;$C5)</formula>
    </cfRule>
  </conditionalFormatting>
  <conditionalFormatting sqref="C20">
    <cfRule type="expression" dxfId="298" priority="148">
      <formula>AND($C20-TODAY()&lt;30,TODAY()&lt;$C20)</formula>
    </cfRule>
  </conditionalFormatting>
  <conditionalFormatting sqref="C20 F4 C5 C13">
    <cfRule type="cellIs" dxfId="297" priority="150" stopIfTrue="1" operator="lessThan">
      <formula>$B$2</formula>
    </cfRule>
  </conditionalFormatting>
  <conditionalFormatting sqref="F5 F7 F9">
    <cfRule type="cellIs" dxfId="296" priority="144" stopIfTrue="1" operator="lessThan">
      <formula>$B$2</formula>
    </cfRule>
  </conditionalFormatting>
  <conditionalFormatting sqref="C16:D16">
    <cfRule type="expression" dxfId="295" priority="142">
      <formula>AND($C16-TODAY()&lt;30,TODAY()&lt;$C16)</formula>
    </cfRule>
  </conditionalFormatting>
  <conditionalFormatting sqref="F6 F8 F10 C16:D16">
    <cfRule type="cellIs" dxfId="294" priority="143" stopIfTrue="1" operator="lessThan">
      <formula>$B$2</formula>
    </cfRule>
  </conditionalFormatting>
  <conditionalFormatting sqref="F14">
    <cfRule type="cellIs" dxfId="293" priority="114" stopIfTrue="1" operator="lessThan">
      <formula>$B$2</formula>
    </cfRule>
  </conditionalFormatting>
  <conditionalFormatting sqref="F13">
    <cfRule type="cellIs" dxfId="292" priority="113" stopIfTrue="1" operator="lessThan">
      <formula>$B$2</formula>
    </cfRule>
  </conditionalFormatting>
  <conditionalFormatting sqref="B4:B11 E4:E11 E13:E15 B13:B15">
    <cfRule type="cellIs" dxfId="291" priority="111" stopIfTrue="1" operator="equal">
      <formula>"已过期"</formula>
    </cfRule>
  </conditionalFormatting>
  <conditionalFormatting sqref="F20">
    <cfRule type="cellIs" dxfId="290" priority="108" stopIfTrue="1" operator="lessThan">
      <formula>$B$2</formula>
    </cfRule>
  </conditionalFormatting>
  <conditionalFormatting sqref="F20">
    <cfRule type="expression" dxfId="289" priority="152">
      <formula>AND($E20-TODAY()&lt;30,TODAY()&lt;$E20)</formula>
    </cfRule>
  </conditionalFormatting>
  <conditionalFormatting sqref="C6">
    <cfRule type="expression" dxfId="288" priority="82">
      <formula>AND($C6-TODAY()&lt;30,TODAY()&lt;$C6)</formula>
    </cfRule>
  </conditionalFormatting>
  <conditionalFormatting sqref="C6">
    <cfRule type="cellIs" dxfId="287" priority="83" stopIfTrue="1" operator="lessThan">
      <formula>$B$2</formula>
    </cfRule>
  </conditionalFormatting>
  <conditionalFormatting sqref="C11 C15">
    <cfRule type="expression" dxfId="286" priority="80">
      <formula>AND($C11-TODAY()&lt;30,TODAY()&lt;$C11)</formula>
    </cfRule>
  </conditionalFormatting>
  <conditionalFormatting sqref="C11 C15">
    <cfRule type="cellIs" dxfId="285" priority="81" stopIfTrue="1" operator="lessThan">
      <formula>$B$2</formula>
    </cfRule>
  </conditionalFormatting>
  <conditionalFormatting sqref="F11">
    <cfRule type="cellIs" dxfId="284" priority="79" stopIfTrue="1" operator="lessThan">
      <formula>$B$2</formula>
    </cfRule>
  </conditionalFormatting>
  <conditionalFormatting sqref="C14">
    <cfRule type="expression" dxfId="283" priority="60">
      <formula>AND($C14-TODAY()&lt;30,TODAY()&lt;$C14)</formula>
    </cfRule>
  </conditionalFormatting>
  <conditionalFormatting sqref="C14">
    <cfRule type="cellIs" dxfId="282" priority="61" stopIfTrue="1" operator="lessThan">
      <formula>$B$2</formula>
    </cfRule>
  </conditionalFormatting>
  <conditionalFormatting sqref="C12">
    <cfRule type="cellIs" dxfId="281" priority="54" stopIfTrue="1" operator="lessThan">
      <formula>$B$2</formula>
    </cfRule>
  </conditionalFormatting>
  <conditionalFormatting sqref="C12">
    <cfRule type="expression" dxfId="280" priority="51">
      <formula>AND($C12-TODAY()&lt;30,TODAY()&lt;$C12)</formula>
    </cfRule>
  </conditionalFormatting>
  <conditionalFormatting sqref="C12">
    <cfRule type="cellIs" dxfId="279" priority="52" stopIfTrue="1" operator="lessThan">
      <formula>$B$2</formula>
    </cfRule>
  </conditionalFormatting>
  <conditionalFormatting sqref="B12">
    <cfRule type="cellIs" dxfId="278" priority="48" stopIfTrue="1" operator="equal">
      <formula>"已过期"</formula>
    </cfRule>
  </conditionalFormatting>
  <conditionalFormatting sqref="E12">
    <cfRule type="cellIs" dxfId="277" priority="38" stopIfTrue="1" operator="equal">
      <formula>"已过期"</formula>
    </cfRule>
  </conditionalFormatting>
  <conditionalFormatting sqref="F12">
    <cfRule type="cellIs" dxfId="276" priority="37" stopIfTrue="1" operator="lessThan">
      <formula>$B$2</formula>
    </cfRule>
  </conditionalFormatting>
  <conditionalFormatting sqref="C9:C10">
    <cfRule type="expression" dxfId="275" priority="33">
      <formula>AND($C9-TODAY()&lt;30,TODAY()&lt;$C9)</formula>
    </cfRule>
  </conditionalFormatting>
  <conditionalFormatting sqref="C9:C10">
    <cfRule type="cellIs" dxfId="274" priority="34" stopIfTrue="1" operator="lessThan">
      <formula>$B$2</formula>
    </cfRule>
  </conditionalFormatting>
  <conditionalFormatting sqref="F21">
    <cfRule type="cellIs" dxfId="273" priority="13" stopIfTrue="1" operator="lessThan">
      <formula>$B$2</formula>
    </cfRule>
  </conditionalFormatting>
  <conditionalFormatting sqref="F21">
    <cfRule type="expression" dxfId="272" priority="14">
      <formula>AND($E21-TODAY()&lt;30,TODAY()&lt;$E21)</formula>
    </cfRule>
  </conditionalFormatting>
  <conditionalFormatting sqref="C7:C8">
    <cfRule type="expression" dxfId="271" priority="5">
      <formula>AND($C7-TODAY()&lt;30,TODAY()&lt;$C7)</formula>
    </cfRule>
  </conditionalFormatting>
  <conditionalFormatting sqref="C7:C8">
    <cfRule type="cellIs" dxfId="270" priority="6" stopIfTrue="1" operator="lessThan">
      <formula>$B$2</formula>
    </cfRule>
  </conditionalFormatting>
  <conditionalFormatting sqref="C7:C8">
    <cfRule type="expression" dxfId="269" priority="3">
      <formula>AND($C7-TODAY()&lt;30,TODAY()&lt;$C7)</formula>
    </cfRule>
  </conditionalFormatting>
  <conditionalFormatting sqref="C7:C8">
    <cfRule type="cellIs" dxfId="268" priority="4" stopIfTrue="1" operator="lessThan">
      <formula>$B$2</formula>
    </cfRule>
  </conditionalFormatting>
  <conditionalFormatting sqref="C4">
    <cfRule type="expression" dxfId="267" priority="1">
      <formula>AND($C4-TODAY()&lt;30,TODAY()&lt;$C4)</formula>
    </cfRule>
  </conditionalFormatting>
  <conditionalFormatting sqref="C4">
    <cfRule type="cellIs" dxfId="26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13" workbookViewId="0">
      <selection activeCell="B30" sqref="B30"/>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3" t="s">
        <v>848</v>
      </c>
      <c r="B1" s="5" t="s">
        <v>132</v>
      </c>
      <c r="C1" s="1485"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9" t="s">
        <v>2526</v>
      </c>
      <c r="R1" s="2428" t="s">
        <v>2520</v>
      </c>
      <c r="S1" s="6" t="s">
        <v>146</v>
      </c>
      <c r="T1" s="7" t="s">
        <v>147</v>
      </c>
      <c r="U1" s="6" t="s">
        <v>148</v>
      </c>
      <c r="V1" s="6" t="s">
        <v>149</v>
      </c>
      <c r="W1" s="990" t="s">
        <v>865</v>
      </c>
    </row>
    <row r="2" spans="1:23">
      <c r="A2" s="8" t="s">
        <v>73</v>
      </c>
      <c r="B2" s="8" t="s">
        <v>150</v>
      </c>
      <c r="C2" s="1486" t="s">
        <v>1699</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7"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6" t="s">
        <v>1701</v>
      </c>
      <c r="D4" s="9" t="s">
        <v>1982</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6" t="s">
        <v>1702</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3009</v>
      </c>
      <c r="C6" s="1488" t="s">
        <v>1703</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6" t="s">
        <v>1704</v>
      </c>
      <c r="F7" s="9" t="s">
        <v>154</v>
      </c>
      <c r="H7" s="9" t="s">
        <v>104</v>
      </c>
      <c r="I7" s="9" t="s">
        <v>105</v>
      </c>
    </row>
    <row r="8" spans="1:23">
      <c r="A8" s="8" t="s">
        <v>106</v>
      </c>
      <c r="B8" s="8" t="s">
        <v>107</v>
      </c>
      <c r="C8" s="1486" t="s">
        <v>1705</v>
      </c>
      <c r="F8" s="9" t="s">
        <v>155</v>
      </c>
      <c r="H8" s="9"/>
      <c r="I8" s="9" t="s">
        <v>108</v>
      </c>
    </row>
    <row r="9" spans="1:23">
      <c r="A9" s="8" t="s">
        <v>109</v>
      </c>
      <c r="B9" s="8" t="s">
        <v>156</v>
      </c>
      <c r="C9" s="1486" t="s">
        <v>1706</v>
      </c>
      <c r="F9" s="9" t="s">
        <v>110</v>
      </c>
      <c r="H9" s="9"/>
    </row>
    <row r="10" spans="1:23">
      <c r="A10" s="8" t="s">
        <v>111</v>
      </c>
      <c r="B10" s="8" t="s">
        <v>157</v>
      </c>
      <c r="C10" s="1486" t="s">
        <v>1707</v>
      </c>
      <c r="F10" s="9" t="s">
        <v>6</v>
      </c>
    </row>
    <row r="11" spans="1:23">
      <c r="A11" s="8" t="s">
        <v>112</v>
      </c>
      <c r="B11" s="8" t="s">
        <v>158</v>
      </c>
      <c r="C11" s="1486" t="s">
        <v>1708</v>
      </c>
    </row>
    <row r="12" spans="1:23">
      <c r="A12" s="8" t="s">
        <v>113</v>
      </c>
      <c r="B12" s="8" t="s">
        <v>159</v>
      </c>
      <c r="C12" s="1486" t="s">
        <v>1709</v>
      </c>
    </row>
    <row r="13" spans="1:23">
      <c r="A13" s="8" t="s">
        <v>114</v>
      </c>
      <c r="B13" s="8" t="s">
        <v>160</v>
      </c>
      <c r="C13" s="1486" t="s">
        <v>1710</v>
      </c>
    </row>
    <row r="14" spans="1:23">
      <c r="A14" s="8" t="s">
        <v>115</v>
      </c>
      <c r="B14" s="8" t="s">
        <v>161</v>
      </c>
      <c r="C14" s="1489" t="s">
        <v>1886</v>
      </c>
    </row>
    <row r="15" spans="1:23">
      <c r="A15" s="8" t="s">
        <v>116</v>
      </c>
      <c r="B15" s="8" t="s">
        <v>1671</v>
      </c>
      <c r="C15" s="1489"/>
    </row>
    <row r="16" spans="1:23">
      <c r="A16" s="8" t="s">
        <v>117</v>
      </c>
      <c r="B16" s="8" t="s">
        <v>1672</v>
      </c>
      <c r="C16" s="1489"/>
    </row>
    <row r="17" spans="1:3">
      <c r="A17" s="8" t="s">
        <v>118</v>
      </c>
      <c r="B17" s="8" t="s">
        <v>1673</v>
      </c>
      <c r="C17" s="1489"/>
    </row>
    <row r="18" spans="1:3">
      <c r="A18" s="8" t="s">
        <v>119</v>
      </c>
      <c r="B18" s="2786" t="s">
        <v>2917</v>
      </c>
      <c r="C18" s="1489"/>
    </row>
    <row r="19" spans="1:3">
      <c r="A19" s="8" t="s">
        <v>120</v>
      </c>
      <c r="B19" s="2786" t="s">
        <v>2924</v>
      </c>
      <c r="C19" s="1489"/>
    </row>
    <row r="20" spans="1:3">
      <c r="A20" s="8" t="s">
        <v>121</v>
      </c>
      <c r="B20" s="2786" t="s">
        <v>2967</v>
      </c>
      <c r="C20" s="1489"/>
    </row>
    <row r="21" spans="1:3">
      <c r="A21" s="8" t="s">
        <v>122</v>
      </c>
      <c r="B21" s="3292" t="s">
        <v>3010</v>
      </c>
      <c r="C21" s="1489"/>
    </row>
    <row r="22" spans="1:3">
      <c r="A22" s="8" t="s">
        <v>123</v>
      </c>
      <c r="B22" s="3292" t="s">
        <v>3135</v>
      </c>
      <c r="C22" s="1489"/>
    </row>
    <row r="23" spans="1:3">
      <c r="A23" s="8" t="s">
        <v>124</v>
      </c>
      <c r="B23" s="3292" t="s">
        <v>3139</v>
      </c>
      <c r="C23" s="1489"/>
    </row>
    <row r="24" spans="1:3">
      <c r="A24" s="8" t="s">
        <v>12</v>
      </c>
      <c r="B24" s="2786" t="s">
        <v>3698</v>
      </c>
      <c r="C24" s="1489"/>
    </row>
    <row r="25" spans="1:3">
      <c r="A25" s="8" t="s">
        <v>125</v>
      </c>
      <c r="B25" s="2786" t="s">
        <v>3699</v>
      </c>
      <c r="C25" s="1489"/>
    </row>
    <row r="26" spans="1:3">
      <c r="A26" s="8" t="s">
        <v>126</v>
      </c>
      <c r="B26" s="2786" t="s">
        <v>3700</v>
      </c>
      <c r="C26" s="1489"/>
    </row>
    <row r="27" spans="1:3">
      <c r="A27" s="3293" t="s">
        <v>3022</v>
      </c>
      <c r="B27" s="3292" t="s">
        <v>3836</v>
      </c>
      <c r="C27" s="1489"/>
    </row>
    <row r="28" spans="1:3">
      <c r="A28" s="3293" t="s">
        <v>3023</v>
      </c>
      <c r="B28" s="3434" t="s">
        <v>3837</v>
      </c>
      <c r="C28" s="1489"/>
    </row>
    <row r="29" spans="1:3">
      <c r="A29" s="2786" t="s">
        <v>3000</v>
      </c>
      <c r="B29" s="3434" t="s">
        <v>3838</v>
      </c>
      <c r="C29" s="1489"/>
    </row>
    <row r="30" spans="1:3">
      <c r="A30" s="2786" t="s">
        <v>3677</v>
      </c>
      <c r="B30" s="8" t="s">
        <v>1631</v>
      </c>
      <c r="C30" s="1489"/>
    </row>
    <row r="31" spans="1:3">
      <c r="A31" s="2786" t="s">
        <v>3679</v>
      </c>
      <c r="B31" s="8" t="s">
        <v>1631</v>
      </c>
      <c r="C31" s="1489"/>
    </row>
    <row r="32" spans="1:3">
      <c r="A32" s="8" t="s">
        <v>3684</v>
      </c>
      <c r="B32" s="8" t="s">
        <v>1631</v>
      </c>
      <c r="C32" s="1489"/>
    </row>
    <row r="33" spans="1:3">
      <c r="A33" s="8" t="s">
        <v>3685</v>
      </c>
      <c r="B33" s="8" t="s">
        <v>1631</v>
      </c>
      <c r="C33" s="1489"/>
    </row>
    <row r="34" spans="1:3">
      <c r="A34" s="8" t="s">
        <v>1631</v>
      </c>
      <c r="B34" s="8" t="s">
        <v>1631</v>
      </c>
      <c r="C34" s="1489"/>
    </row>
    <row r="35" spans="1:3">
      <c r="A35" s="8" t="s">
        <v>1631</v>
      </c>
      <c r="B35" s="8" t="s">
        <v>1631</v>
      </c>
      <c r="C35" s="1489"/>
    </row>
    <row r="36" spans="1:3">
      <c r="A36" s="8" t="s">
        <v>1631</v>
      </c>
      <c r="B36" s="8" t="s">
        <v>1631</v>
      </c>
      <c r="C36" s="1489"/>
    </row>
    <row r="37" spans="1:3">
      <c r="A37" s="8" t="s">
        <v>1631</v>
      </c>
      <c r="B37" s="8" t="s">
        <v>1631</v>
      </c>
      <c r="C37" s="1489"/>
    </row>
    <row r="38" spans="1:3">
      <c r="A38" s="8" t="s">
        <v>1631</v>
      </c>
      <c r="B38" s="8" t="s">
        <v>1631</v>
      </c>
      <c r="C38" s="1489"/>
    </row>
    <row r="39" spans="1:3">
      <c r="A39" s="8" t="s">
        <v>1631</v>
      </c>
      <c r="B39" s="8" t="s">
        <v>1631</v>
      </c>
      <c r="C39" s="1489"/>
    </row>
    <row r="40" spans="1:3">
      <c r="A40" s="8" t="s">
        <v>1631</v>
      </c>
      <c r="B40" s="8" t="s">
        <v>1631</v>
      </c>
      <c r="C40" s="1489"/>
    </row>
    <row r="41" spans="1:3">
      <c r="A41" s="8" t="s">
        <v>1631</v>
      </c>
      <c r="B41" s="8" t="s">
        <v>1631</v>
      </c>
      <c r="C41" s="1489"/>
    </row>
    <row r="42" spans="1:3">
      <c r="A42" s="8" t="s">
        <v>1631</v>
      </c>
      <c r="B42" s="8" t="s">
        <v>1631</v>
      </c>
      <c r="C42" s="1489"/>
    </row>
    <row r="43" spans="1:3">
      <c r="A43" s="8" t="s">
        <v>1631</v>
      </c>
      <c r="B43" s="8" t="s">
        <v>1631</v>
      </c>
      <c r="C43" s="1489"/>
    </row>
    <row r="44" spans="1:3">
      <c r="A44" s="8" t="s">
        <v>1631</v>
      </c>
      <c r="B44" s="8" t="s">
        <v>1631</v>
      </c>
      <c r="C44" s="1489"/>
    </row>
    <row r="45" spans="1:3">
      <c r="A45" s="8" t="s">
        <v>1631</v>
      </c>
      <c r="B45" s="8" t="s">
        <v>1631</v>
      </c>
      <c r="C45" s="1489"/>
    </row>
    <row r="46" spans="1:3">
      <c r="A46" s="8" t="s">
        <v>1631</v>
      </c>
      <c r="B46" s="8" t="s">
        <v>1631</v>
      </c>
      <c r="C46" s="1489"/>
    </row>
    <row r="47" spans="1:3">
      <c r="A47" s="8" t="s">
        <v>1631</v>
      </c>
      <c r="B47" s="8" t="s">
        <v>1631</v>
      </c>
      <c r="C47" s="1489"/>
    </row>
    <row r="48" spans="1:3">
      <c r="A48" s="8" t="s">
        <v>1631</v>
      </c>
      <c r="B48" s="8" t="s">
        <v>1631</v>
      </c>
      <c r="C48" s="1489"/>
    </row>
    <row r="49" spans="1:5">
      <c r="A49" s="8" t="s">
        <v>1631</v>
      </c>
      <c r="B49" s="8" t="s">
        <v>1631</v>
      </c>
      <c r="C49" s="1489"/>
    </row>
    <row r="50" spans="1:5">
      <c r="A50" s="8" t="s">
        <v>1631</v>
      </c>
      <c r="B50" s="8" t="s">
        <v>1631</v>
      </c>
      <c r="C50" s="1489"/>
    </row>
    <row r="51" spans="1:5">
      <c r="A51" s="1679" t="s">
        <v>1930</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1974</v>
      </c>
      <c r="B52" s="1682" t="s">
        <v>1975</v>
      </c>
      <c r="C52" s="1680" t="s">
        <v>1976</v>
      </c>
      <c r="D52" s="1680" t="s">
        <v>1977</v>
      </c>
      <c r="E52" s="1681"/>
    </row>
    <row r="53" spans="1:5">
      <c r="A53" s="3534" t="s">
        <v>1978</v>
      </c>
      <c r="B53" s="1680" t="s">
        <v>1984</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c r="D53" s="1681"/>
      <c r="E53" s="1681"/>
    </row>
    <row r="54" spans="1:5">
      <c r="A54" s="3534"/>
      <c r="B54" s="1680" t="s">
        <v>1985</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534"/>
      <c r="B55" s="1680" t="s">
        <v>1979</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534"/>
      <c r="B56" s="1680" t="s">
        <v>1980</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534"/>
      <c r="B57" s="1680" t="s">
        <v>1981</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2037</v>
      </c>
      <c r="B58" s="1680" t="s">
        <v>2038</v>
      </c>
      <c r="C58" s="11" t="s">
        <v>2039</v>
      </c>
      <c r="D58" s="1271"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194</vt:i4>
      </vt:variant>
    </vt:vector>
  </HeadingPairs>
  <TitlesOfParts>
    <vt:vector size="2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面积信息</vt:lpstr>
      <vt:lpstr>数据-基础表</vt:lpstr>
      <vt:lpstr>抵押物清单（分楼）</vt:lpstr>
      <vt:lpstr>数据-汇总表</vt:lpstr>
      <vt:lpstr>数据-取费表</vt:lpstr>
      <vt:lpstr>估价对象房地状况</vt:lpstr>
      <vt:lpstr>系统读取表</vt:lpstr>
      <vt:lpstr>结果汇总表</vt:lpstr>
      <vt:lpstr>结果表(商业）</vt:lpstr>
      <vt:lpstr>剩余法-现房</vt:lpstr>
      <vt:lpstr>案例-2019</vt:lpstr>
      <vt:lpstr>2018</vt:lpstr>
      <vt:lpstr>招拍挂</vt:lpstr>
      <vt:lpstr>Sheet1</vt:lpstr>
      <vt:lpstr>基准地价 住宅</vt:lpstr>
      <vt:lpstr>剩余法住宅</vt:lpstr>
      <vt:lpstr>住宅销售案例</vt:lpstr>
      <vt:lpstr>不动产比较法-住宅</vt:lpstr>
      <vt:lpstr>剩余法-待开发（商业）</vt:lpstr>
      <vt:lpstr>比较法-工业</vt:lpstr>
      <vt:lpstr>不动产比较法-商业</vt:lpstr>
      <vt:lpstr>商业-案例</vt:lpstr>
      <vt:lpstr>比较法-商业</vt:lpstr>
      <vt:lpstr>案例2021</vt:lpstr>
      <vt:lpstr>案例-2020</vt:lpstr>
      <vt:lpstr>基准地价（商业）</vt:lpstr>
      <vt:lpstr>修正</vt:lpstr>
      <vt:lpstr>区片价</vt:lpstr>
      <vt:lpstr>容积率修正</vt:lpstr>
      <vt:lpstr>因素修正幅度</vt:lpstr>
      <vt:lpstr>结果表 (办公)</vt:lpstr>
      <vt:lpstr>比较法-办公</vt:lpstr>
      <vt:lpstr>基准地价 (办公)</vt:lpstr>
      <vt:lpstr>剩余法-待开发 (办公)</vt:lpstr>
      <vt:lpstr>不动产比较法-办公</vt:lpstr>
      <vt:lpstr>剩余法-待开发办公剩余年限</vt:lpstr>
      <vt:lpstr>不动产比较法-办公剩余年限</vt:lpstr>
      <vt:lpstr>比较法-办公剩余年限</vt:lpstr>
      <vt:lpstr>办公-案例</vt:lpstr>
      <vt:lpstr>地价</vt:lpstr>
      <vt:lpstr>基准地价（汇总）</vt:lpstr>
      <vt:lpstr>收益还原法</vt:lpstr>
      <vt:lpstr>不动产收益法</vt:lpstr>
      <vt:lpstr>酒店收入计算</vt:lpstr>
      <vt:lpstr>成本逼近法</vt:lpstr>
      <vt:lpstr>不动产比较法-工业</vt:lpstr>
      <vt:lpstr>不动产比较法-车位</vt:lpstr>
      <vt:lpstr>不动产比较法-仓储</vt:lpstr>
      <vt:lpstr>典型户型修正</vt:lpstr>
      <vt:lpstr>存贷款利率</vt:lpstr>
      <vt:lpstr>'比较法-办公'!Print_Area</vt:lpstr>
      <vt:lpstr>'比较法-办公剩余年限'!Print_Area</vt:lpstr>
      <vt:lpstr>'比较法-工业'!Print_Area</vt:lpstr>
      <vt:lpstr>'比较法-商业'!Print_Area</vt:lpstr>
      <vt:lpstr>'不动产比较法-办公'!Print_Area</vt:lpstr>
      <vt:lpstr>'不动产比较法-办公剩余年限'!Print_Area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 (办公)'!Print_Area</vt:lpstr>
      <vt:lpstr>'基准地价 住宅'!Print_Area</vt:lpstr>
      <vt:lpstr>'基准地价（汇总）'!Print_Area</vt:lpstr>
      <vt:lpstr>'基准地价（商业）'!Print_Area</vt:lpstr>
      <vt:lpstr>'结果表 (办公)'!Print_Area</vt:lpstr>
      <vt:lpstr>'结果表(商业）'!Print_Area</vt:lpstr>
      <vt:lpstr>'剩余法-待开发 (办公)'!Print_Area</vt:lpstr>
      <vt:lpstr>'剩余法-待开发（商业）'!Print_Area</vt:lpstr>
      <vt:lpstr>'剩余法-待开发办公剩余年限'!Print_Area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'不动产比较法-办公剩余年限'!办公层高</vt:lpstr>
      <vt:lpstr>办公层高</vt:lpstr>
      <vt:lpstr>'不动产比较法-办公剩余年限'!办公朝向</vt:lpstr>
      <vt:lpstr>办公朝向</vt:lpstr>
      <vt:lpstr>'不动产比较法-办公剩余年限'!办公道路级别</vt:lpstr>
      <vt:lpstr>办公道路级别</vt:lpstr>
      <vt:lpstr>'不动产比较法-办公剩余年限'!办公公共部分装修</vt:lpstr>
      <vt:lpstr>办公公共部分装修</vt:lpstr>
      <vt:lpstr>'不动产比较法-办公剩余年限'!办公基础设施水平</vt:lpstr>
      <vt:lpstr>办公基础设施水平</vt:lpstr>
      <vt:lpstr>办公集聚程度</vt:lpstr>
      <vt:lpstr>'不动产比较法-办公剩余年限'!办公建筑结构</vt:lpstr>
      <vt:lpstr>办公建筑结构</vt:lpstr>
      <vt:lpstr>'不动产比较法-办公剩余年限'!办公建筑类型</vt:lpstr>
      <vt:lpstr>办公建筑类型</vt:lpstr>
      <vt:lpstr>'不动产比较法-办公剩余年限'!办公交易情况</vt:lpstr>
      <vt:lpstr>办公交易情况</vt:lpstr>
      <vt:lpstr>'不动产比较法-办公剩余年限'!办公楼层</vt:lpstr>
      <vt:lpstr>办公楼层</vt:lpstr>
      <vt:lpstr>'不动产比较法-办公剩余年限'!办公内部装修</vt:lpstr>
      <vt:lpstr>办公内部装修</vt:lpstr>
      <vt:lpstr>'不动产比较法-办公剩余年限'!办公物业管理</vt:lpstr>
      <vt:lpstr>办公物业管理</vt:lpstr>
      <vt:lpstr>'不动产比较法-办公剩余年限'!办公用途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(办公)'!季度</vt:lpstr>
      <vt:lpstr>'基准地价 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'比较法-办公剩余年限'!套工交易情况</vt:lpstr>
      <vt:lpstr>套工交易情况</vt:lpstr>
      <vt:lpstr>套工开发程度</vt:lpstr>
      <vt:lpstr>套工临街等级</vt:lpstr>
      <vt:lpstr>套工土地级别</vt:lpstr>
      <vt:lpstr>套工用途</vt:lpstr>
      <vt:lpstr>套工宗地形状</vt:lpstr>
      <vt:lpstr>'比较法-办公'!套综道路等级</vt:lpstr>
      <vt:lpstr>'比较法-办公剩余年限'!套综道路等级</vt:lpstr>
      <vt:lpstr>套综道路等级</vt:lpstr>
      <vt:lpstr>'比较法-办公'!套综工程地质条件</vt:lpstr>
      <vt:lpstr>'比较法-办公剩余年限'!套综工程地质条件</vt:lpstr>
      <vt:lpstr>套综工程地质条件</vt:lpstr>
      <vt:lpstr>'比较法-办公'!套综交易情况</vt:lpstr>
      <vt:lpstr>'比较法-办公剩余年限'!套综交易情况</vt:lpstr>
      <vt:lpstr>套综交易情况</vt:lpstr>
      <vt:lpstr>'比较法-办公'!套综临街宽度及深度</vt:lpstr>
      <vt:lpstr>'比较法-办公剩余年限'!套综临街宽度及深度</vt:lpstr>
      <vt:lpstr>套综临街宽度及深度</vt:lpstr>
      <vt:lpstr>'比较法-办公'!套综土地级别</vt:lpstr>
      <vt:lpstr>'比较法-办公剩余年限'!套综土地级别</vt:lpstr>
      <vt:lpstr>套综土地级别</vt:lpstr>
      <vt:lpstr>'比较法-办公'!套综用途</vt:lpstr>
      <vt:lpstr>'比较法-办公剩余年限'!套综用途</vt:lpstr>
      <vt:lpstr>套综用途</vt:lpstr>
      <vt:lpstr>'比较法-办公'!套综宗地内开发程度</vt:lpstr>
      <vt:lpstr>'比较法-办公剩余年限'!套综宗地内开发程度</vt:lpstr>
      <vt:lpstr>套综宗地内开发程度</vt:lpstr>
      <vt:lpstr>'比较法-办公'!套综宗地形状</vt:lpstr>
      <vt:lpstr>'比较法-办公剩余年限'!套综宗地形状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'不动产比较法-办公剩余年限'!写字楼等级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2021-08-12T07:52:21Z</dcterms:modified>
</cp:coreProperties>
</file>