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赁合同" sheetId="80" r:id="rId46"/>
    <sheet name="Sheet2" sheetId="81" r:id="rId47"/>
    <sheet name="市调"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B14" i="74" l="1"/>
  <c r="C6" i="68"/>
  <c r="U2" i="43"/>
  <c r="D33" i="43"/>
  <c r="G51" i="43"/>
  <c r="G52" i="43"/>
  <c r="G53" i="43"/>
  <c r="G54" i="43"/>
  <c r="G55" i="43"/>
  <c r="G56" i="43"/>
  <c r="G57" i="43"/>
  <c r="G58" i="43"/>
  <c r="G50" i="43"/>
  <c r="G44" i="43"/>
  <c r="G95" i="33"/>
  <c r="F95" i="33"/>
  <c r="E95" i="33"/>
  <c r="D95" i="33"/>
  <c r="E7" i="33"/>
  <c r="AF6" i="1"/>
  <c r="AD6" i="1"/>
  <c r="Z6" i="1"/>
  <c r="AC21" i="1"/>
  <c r="AB21" i="1"/>
  <c r="Y21" i="1"/>
  <c r="D10" i="82" l="1"/>
  <c r="E10" i="82"/>
  <c r="D36" i="80"/>
  <c r="E23" i="80"/>
  <c r="C33" i="33"/>
  <c r="D104" i="33"/>
  <c r="E104" i="33" s="1"/>
  <c r="F104" i="33" s="1"/>
  <c r="G104" i="33" s="1"/>
  <c r="H104" i="33" s="1"/>
  <c r="I104" i="33" s="1"/>
  <c r="D93" i="33"/>
  <c r="D89" i="33"/>
  <c r="E89" i="33" s="1"/>
  <c r="F89" i="33" s="1"/>
  <c r="G89" i="33" s="1"/>
  <c r="F66" i="33"/>
  <c r="E66" i="33"/>
  <c r="D66" i="33"/>
  <c r="I7" i="33"/>
  <c r="G7" i="33"/>
  <c r="J52" i="67" l="1"/>
  <c r="J49" i="67"/>
  <c r="J52" i="15"/>
  <c r="J49" i="15"/>
  <c r="Q17" i="1"/>
  <c r="N6" i="1"/>
  <c r="C36" i="33" s="1"/>
  <c r="N19" i="1"/>
  <c r="F19" i="6"/>
  <c r="D3" i="4"/>
  <c r="G14" i="73" l="1"/>
  <c r="F14" i="73"/>
  <c r="E14" i="73"/>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7" i="33" s="1"/>
  <c r="F32" i="33"/>
  <c r="AA32" i="33" s="1"/>
  <c r="J19" i="33"/>
  <c r="AC19" i="33"/>
  <c r="J15" i="33"/>
  <c r="AC15"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B29" i="33"/>
  <c r="W38" i="33"/>
  <c r="H41" i="33"/>
  <c r="AB41" i="33" s="1"/>
  <c r="U42" i="33"/>
  <c r="J35" i="33"/>
  <c r="W35" i="33" s="1"/>
  <c r="S39" i="33"/>
  <c r="J32" i="33"/>
  <c r="W32" i="33" s="1"/>
  <c r="S46" i="33"/>
  <c r="W43" i="33"/>
  <c r="S43" i="33"/>
  <c r="F87" i="33"/>
  <c r="H25" i="33"/>
  <c r="U25" i="33" s="1"/>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S25" i="33"/>
  <c r="AA25" i="33"/>
  <c r="G87" i="33"/>
  <c r="H87" i="33"/>
  <c r="I87" i="33"/>
  <c r="J87" i="33"/>
  <c r="K87" i="33"/>
  <c r="L87" i="33"/>
  <c r="M87" i="33"/>
  <c r="J25" i="33"/>
  <c r="W25" i="33" s="1"/>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B9" i="76"/>
  <c r="F6" i="67"/>
  <c r="E9" i="76"/>
  <c r="M22" i="67"/>
  <c r="D4" i="73"/>
  <c r="M28" i="15"/>
  <c r="F5" i="73"/>
  <c r="F37" i="67"/>
  <c r="M24" i="15"/>
  <c r="C76" i="67"/>
  <c r="F16" i="67"/>
  <c r="F16" i="15"/>
  <c r="D3" i="73"/>
  <c r="D6" i="73"/>
  <c r="F7" i="15"/>
  <c r="F4" i="73"/>
  <c r="F43" i="15"/>
  <c r="F13" i="67"/>
  <c r="M23" i="67"/>
  <c r="E2" i="69"/>
  <c r="E7" i="76"/>
  <c r="F38" i="15"/>
  <c r="J15" i="67"/>
  <c r="B12" i="76"/>
  <c r="F8" i="67"/>
  <c r="F42" i="67"/>
  <c r="F9" i="67"/>
  <c r="E13" i="76"/>
  <c r="L47" i="67"/>
  <c r="M22" i="15"/>
  <c r="F43" i="67"/>
  <c r="F7" i="73"/>
  <c r="F8" i="15"/>
  <c r="F26" i="67"/>
  <c r="M26" i="67"/>
  <c r="F38" i="67"/>
  <c r="M29" i="67"/>
  <c r="F36" i="15"/>
  <c r="M6" i="67"/>
  <c r="F7" i="67"/>
  <c r="D5" i="73"/>
  <c r="F20" i="31"/>
  <c r="E8" i="76"/>
  <c r="F40" i="15"/>
  <c r="M23" i="15"/>
  <c r="B10" i="76"/>
  <c r="M9" i="15"/>
  <c r="F36" i="67"/>
  <c r="F6" i="73"/>
  <c r="J15" i="15"/>
  <c r="L48" i="15"/>
  <c r="F40" i="67"/>
  <c r="F37" i="15"/>
  <c r="F13" i="15"/>
  <c r="M8" i="15"/>
  <c r="M24" i="67"/>
  <c r="B8" i="76"/>
  <c r="F9" i="15"/>
  <c r="M28" i="67"/>
  <c r="B13" i="76"/>
  <c r="M6" i="15"/>
  <c r="F26" i="15"/>
  <c r="M26" i="15"/>
  <c r="L47" i="15"/>
  <c r="C76" i="15"/>
  <c r="B7" i="76"/>
  <c r="M9" i="67"/>
  <c r="AO13" i="1"/>
  <c r="E11" i="76"/>
  <c r="L48" i="67"/>
  <c r="F3" i="73"/>
  <c r="M29" i="15"/>
  <c r="F6" i="15"/>
  <c r="M8" i="67"/>
  <c r="E12" i="76"/>
  <c r="B11" i="76"/>
  <c r="E10" i="76"/>
  <c r="E2" i="68"/>
  <c r="F42" i="15"/>
  <c r="W29" i="33" l="1"/>
  <c r="AA29" i="33"/>
  <c r="F91" i="33"/>
  <c r="H27" i="33" s="1"/>
  <c r="U33" i="33"/>
  <c r="AB26" i="33"/>
  <c r="S26" i="33"/>
  <c r="U43" i="33"/>
  <c r="AA37" i="33"/>
  <c r="S37" i="33"/>
  <c r="S41" i="33"/>
  <c r="U40" i="33"/>
  <c r="U32" i="33"/>
  <c r="F111" i="33"/>
  <c r="G111" i="33" s="1"/>
  <c r="H111" i="33" s="1"/>
  <c r="I111" i="33" s="1"/>
  <c r="J111" i="33" s="1"/>
  <c r="K111" i="33" s="1"/>
  <c r="L111" i="33" s="1"/>
  <c r="M111" i="33" s="1"/>
  <c r="F36" i="33"/>
  <c r="H36" i="33"/>
  <c r="J36" i="33"/>
  <c r="W36" i="33" s="1"/>
  <c r="AC32" i="33"/>
  <c r="S32" i="33"/>
  <c r="S42" i="33"/>
  <c r="W42" i="33"/>
  <c r="AA35" i="33"/>
  <c r="AC35" i="33"/>
  <c r="U35" i="33"/>
  <c r="AB34" i="33"/>
  <c r="AC34" i="33"/>
  <c r="AC28" i="33"/>
  <c r="AC25" i="33"/>
  <c r="AB25" i="33"/>
  <c r="H69" i="43"/>
  <c r="C21" i="68"/>
  <c r="C40" i="69"/>
  <c r="G28" i="6"/>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U27" i="33" l="1"/>
  <c r="AB27" i="33"/>
  <c r="G91" i="33"/>
  <c r="H91" i="33" s="1"/>
  <c r="I91" i="33" s="1"/>
  <c r="J91" i="33" s="1"/>
  <c r="K91" i="33" s="1"/>
  <c r="L91" i="33" s="1"/>
  <c r="M91" i="33" s="1"/>
  <c r="J27" i="33"/>
  <c r="F27" i="33"/>
  <c r="AC36" i="33"/>
  <c r="AA36" i="33"/>
  <c r="S36" i="33"/>
  <c r="U36" i="33"/>
  <c r="AB36"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W27" i="33" l="1"/>
  <c r="AC27" i="33"/>
  <c r="AA27" i="33"/>
  <c r="S27" i="3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L57" i="67" l="1"/>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6"/>
  <c r="D2" i="34"/>
  <c r="D2" i="35"/>
  <c r="D2" i="33"/>
  <c r="L51" i="15"/>
  <c r="D2" i="37"/>
  <c r="B2" i="33" l="1"/>
  <c r="B3" i="33" s="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2" i="1"/>
  <c r="C19" i="9"/>
  <c r="D19" i="9"/>
  <c r="AO8" i="1"/>
  <c r="AO7" i="1"/>
  <c r="AO9" i="1"/>
  <c r="AO11" i="1"/>
  <c r="AO6" i="1"/>
  <c r="AO10" i="1"/>
  <c r="C21" i="9" l="1"/>
  <c r="C102" i="9"/>
  <c r="C103" i="9"/>
  <c r="G19" i="9"/>
  <c r="G21" i="9" s="1"/>
  <c r="D102" i="9"/>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20"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18" i="9" l="1"/>
  <c r="F118" i="9"/>
  <c r="H102" i="9"/>
  <c r="I4" i="52"/>
  <c r="H118" i="9"/>
  <c r="F4" i="52" l="1"/>
  <c r="B51" i="72" s="1"/>
  <c r="F119" i="9"/>
  <c r="F5" i="52" s="1"/>
  <c r="B53" i="72" s="1"/>
  <c r="H4" i="52"/>
  <c r="C104" i="9"/>
  <c r="H119" i="9"/>
  <c r="H5" i="52" s="1"/>
  <c r="H101" i="9"/>
  <c r="D14" i="74" s="1"/>
  <c r="D7" i="53"/>
  <c r="B21" i="72" s="1"/>
  <c r="D118" i="9"/>
  <c r="E4" i="52"/>
  <c r="B48" i="72" s="1"/>
  <c r="E14" i="74" l="1"/>
  <c r="B5" i="74"/>
  <c r="F14" i="74"/>
  <c r="D4" i="52"/>
  <c r="B47" i="72" s="1"/>
  <c r="D119" i="9"/>
  <c r="D5" i="52" s="1"/>
  <c r="B49" i="72" s="1"/>
  <c r="D5" i="53"/>
  <c r="D45" i="9"/>
  <c r="M48" i="9"/>
  <c r="H107" i="9"/>
  <c r="G14" i="74" s="1"/>
  <c r="B6" i="74" s="1"/>
  <c r="D6" i="74" s="1"/>
  <c r="D5" i="74" l="1"/>
  <c r="C5" i="74"/>
  <c r="D122" i="9"/>
  <c r="H108" i="9"/>
  <c r="D13" i="53"/>
  <c r="D52" i="9"/>
  <c r="C72" i="9"/>
  <c r="D55" i="9"/>
  <c r="M53" i="9" s="1"/>
  <c r="C85" i="9"/>
  <c r="D53" i="9"/>
  <c r="C93" i="9"/>
  <c r="C86" i="9" s="1"/>
  <c r="C64" i="9"/>
  <c r="C63" i="9" s="1"/>
  <c r="C67" i="9" s="1"/>
  <c r="C78" i="9"/>
  <c r="C73" i="9" s="1"/>
  <c r="B20" i="72"/>
  <c r="D6" i="53"/>
  <c r="B22" i="72" s="1"/>
  <c r="C68" i="9" l="1"/>
  <c r="D54" i="9" s="1"/>
  <c r="D59" i="9"/>
  <c r="M55" i="9" s="1"/>
  <c r="C6" i="74"/>
  <c r="D15" i="53"/>
  <c r="B31" i="72" s="1"/>
  <c r="C95" i="9"/>
  <c r="C79" i="9"/>
  <c r="B30" i="72"/>
  <c r="D14" i="53"/>
  <c r="B32" i="72" s="1"/>
  <c r="D8" i="52"/>
  <c r="D123" i="9"/>
  <c r="D9" i="52" s="1"/>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<sst xmlns="http://schemas.openxmlformats.org/spreadsheetml/2006/main" count="7978" uniqueCount="3517">
  <si>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</si>
  <si>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</si>
  <si>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</si>
  <si>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</si>
  <si>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</si>
  <si>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</si>
  <si>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</si>
  <si>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</si>
  <si>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</si>
  <si>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</si>
  <si>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</si>
  <si>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</si>
  <si>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</si>
  <si>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</si>
  <si>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</si>
  <si>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</si>
  <si>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</si>
  <si>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</si>
  <si>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</si>
  <si>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</si>
  <si>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</si>
  <si>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</si>
  <si>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</si>
  <si>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</si>
  <si>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</si>
  <si>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</si>
  <si>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</si>
  <si>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</si>
  <si>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</si>
  <si>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</si>
  <si>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</si>
  <si>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</si>
  <si>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</si>
  <si>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</si>
  <si>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</si>
  <si>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</si>
  <si>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</si>
  <si>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</si>
  <si>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</si>
  <si>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</si>
  <si>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</si>
  <si>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</si>
  <si>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</si>
  <si>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</si>
  <si>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</si>
  <si>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</si>
  <si>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</si>
  <si>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</si>
  <si>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</si>
  <si>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</si>
  <si>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</si>
  <si>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</si>
  <si>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</si>
  <si>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</si>
  <si>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</si>
  <si>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</si>
  <si>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</si>
  <si>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</si>
  <si>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</si>
  <si>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</si>
  <si>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</si>
  <si>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</si>
  <si>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</si>
  <si>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</si>
  <si>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</si>
  <si>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</si>
  <si>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</si>
  <si>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</si>
  <si>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</si>
  <si>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</si>
  <si>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</si>
  <si>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</si>
  <si>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</si>
  <si>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</si>
  <si>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</si>
  <si>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</si>
  <si>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</si>
  <si>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</si>
  <si>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</si>
  <si>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</si>
  <si>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</si>
  <si>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</si>
  <si>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</si>
  <si>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</si>
  <si>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</si>
  <si>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</si>
  <si>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</si>
  <si>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</si>
  <si>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</si>
  <si>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</si>
  <si>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</si>
  <si>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</si>
  <si>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</si>
  <si>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</si>
  <si>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</si>
  <si>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</si>
  <si>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</si>
  <si>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</si>
  <si>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</si>
  <si>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</si>
  <si>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</si>
  <si>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</si>
  <si>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</si>
  <si>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</si>
  <si>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</si>
  <si>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</si>
  <si>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</si>
  <si>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</si>
  <si>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</si>
  <si>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</si>
  <si>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</si>
  <si>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</si>
  <si>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</si>
  <si>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</si>
  <si>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</si>
  <si>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</si>
  <si>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</si>
  <si>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</si>
  <si>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</si>
  <si>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</si>
  <si>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</si>
  <si>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</si>
  <si>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</si>
  <si>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</si>
  <si>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</si>
  <si>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</si>
  <si>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</si>
  <si>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</si>
  <si>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</si>
  <si>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</si>
  <si>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</si>
  <si>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</si>
  <si>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</si>
  <si>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</si>
  <si>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</si>
  <si>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</si>
  <si>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</si>
  <si>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</si>
  <si>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</si>
  <si>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</si>
  <si>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</si>
  <si>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</si>
  <si>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</si>
  <si>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</si>
  <si>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</si>
  <si>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</si>
  <si>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</si>
  <si>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</si>
  <si>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</si>
  <si>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</si>
  <si>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</si>
  <si>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</si>
  <si>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</si>
  <si>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</si>
  <si>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</si>
  <si>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</si>
  <si>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</si>
  <si>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</si>
  <si>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</si>
  <si>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</si>
  <si>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</si>
  <si>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</si>
  <si>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</si>
  <si>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</si>
  <si>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</si>
  <si>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</si>
  <si>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</si>
  <si>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</si>
  <si>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</si>
  <si>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</si>
  <si>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</si>
  <si>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</si>
  <si>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</si>
  <si>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</si>
  <si>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</si>
  <si>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</si>
  <si>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</si>
  <si>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</si>
  <si>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</si>
  <si>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</si>
  <si>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</si>
  <si>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</si>
  <si>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</si>
  <si>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</si>
  <si>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</si>
  <si>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</si>
  <si>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</si>
  <si>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</si>
  <si>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</si>
  <si>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</si>
  <si>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</si>
  <si>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</si>
  <si>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</si>
  <si>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</si>
  <si>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</si>
  <si>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</si>
  <si>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</si>
  <si>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</si>
  <si>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</si>
  <si>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</si>
  <si>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</si>
  <si>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</si>
  <si>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</si>
  <si>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</si>
  <si>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</si>
  <si>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</si>
  <si>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</si>
  <si>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</si>
  <si>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</si>
  <si>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</si>
  <si>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</si>
  <si>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</si>
  <si>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</si>
  <si>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</si>
  <si>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</si>
  <si>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</si>
  <si>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</si>
  <si>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</si>
  <si>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</si>
  <si>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</si>
  <si>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</si>
  <si>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</si>
  <si>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</si>
  <si>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</si>
  <si>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</si>
  <si>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</si>
  <si>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</si>
  <si>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</si>
  <si>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</si>
  <si>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</si>
  <si>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</si>
  <si>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</si>
  <si>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</si>
  <si>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</si>
  <si>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</si>
  <si>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</si>
  <si>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</si>
  <si>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</si>
  <si>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</si>
  <si>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</si>
  <si>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</si>
  <si>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</si>
  <si>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</si>
  <si>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</si>
  <si>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</si>
  <si>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</si>
  <si>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</si>
  <si>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</si>
  <si>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</si>
  <si>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</si>
  <si>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</si>
  <si>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</si>
  <si>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</si>
  <si>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</si>
  <si>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</si>
  <si>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</si>
  <si>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</si>
  <si>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</si>
  <si>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</si>
  <si>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</si>
  <si>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</si>
  <si>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</si>
  <si>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</si>
  <si>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</si>
  <si>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</si>
  <si>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</si>
  <si>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</si>
  <si>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</si>
  <si>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</si>
  <si>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</si>
  <si>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</si>
  <si>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</si>
  <si>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</si>
  <si>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</si>
  <si>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</si>
  <si>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</si>
  <si>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</si>
  <si>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</si>
  <si>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</si>
  <si>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</si>
  <si>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</si>
  <si>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</si>
  <si>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</si>
  <si>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</si>
  <si>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</si>
  <si>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</si>
  <si>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</si>
  <si>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</si>
  <si>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</si>
  <si>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</si>
  <si>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</si>
  <si>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</si>
  <si>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</si>
  <si>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</si>
  <si>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</si>
  <si>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</si>
  <si>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</si>
  <si>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</si>
  <si>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</si>
  <si>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</si>
  <si>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</si>
  <si>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</si>
  <si>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</si>
  <si>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</si>
  <si>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</si>
  <si>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</si>
  <si>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</si>
  <si>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</si>
  <si>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</si>
  <si>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</si>
  <si>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</si>
  <si>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</si>
  <si>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</si>
  <si>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</si>
  <si>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</si>
  <si>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</si>
  <si>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</si>
  <si>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</si>
  <si>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</si>
  <si>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</si>
  <si>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</si>
  <si>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</si>
  <si>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</si>
  <si>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</si>
  <si>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</si>
  <si>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</si>
  <si>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</si>
  <si>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</si>
  <si>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</si>
  <si>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</si>
  <si>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</si>
  <si>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</si>
  <si>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</si>
  <si>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</si>
  <si>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</si>
  <si>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</si>
  <si>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</si>
  <si>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</si>
  <si>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</si>
  <si>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</si>
  <si>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</si>
  <si>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</si>
  <si>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</si>
  <si>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</si>
  <si>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</si>
  <si>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</si>
  <si>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</si>
  <si>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</si>
  <si>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</si>
  <si>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</si>
  <si>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</si>
  <si>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</si>
  <si>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</si>
  <si>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</si>
  <si>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</si>
  <si>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</si>
  <si>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</si>
  <si>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</si>
  <si>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</si>
  <si>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</si>
  <si>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</si>
  <si>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</si>
  <si>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</si>
  <si>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</si>
  <si>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</si>
  <si>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</si>
  <si>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</si>
  <si>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</si>
  <si>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</si>
  <si>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</si>
  <si>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</si>
  <si>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</si>
  <si>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</si>
  <si>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</si>
  <si>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</si>
  <si>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</si>
  <si>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</si>
  <si>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</si>
  <si>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</si>
  <si>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</si>
  <si>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</si>
  <si>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</si>
  <si>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</si>
  <si>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</si>
  <si>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</si>
  <si>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</si>
  <si>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</si>
  <si>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</si>
  <si>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</si>
  <si>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</si>
  <si>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</si>
  <si>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</si>
  <si>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</si>
  <si>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</si>
  <si>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</si>
  <si>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</si>
  <si>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</si>
  <si>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</si>
  <si>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</si>
  <si>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</si>
  <si>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</si>
  <si>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</si>
  <si>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</si>
  <si>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</si>
  <si>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</si>
  <si>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</si>
  <si>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</si>
  <si>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</si>
  <si>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</si>
  <si>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</si>
  <si>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</si>
  <si>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</si>
  <si>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</si>
  <si>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</si>
  <si>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</si>
  <si>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</si>
  <si>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</si>
  <si>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</si>
  <si>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</si>
  <si>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</si>
  <si>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</si>
  <si>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</si>
  <si>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</si>
  <si>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</si>
  <si>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</si>
  <si>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</si>
  <si>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</si>
  <si>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</si>
  <si>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</si>
  <si>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</si>
  <si>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</si>
  <si>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</si>
  <si>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</si>
  <si>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</si>
  <si>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</si>
  <si>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</si>
  <si>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</si>
  <si>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</si>
  <si>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</si>
  <si>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</si>
  <si>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</si>
  <si>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</si>
  <si>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</si>
  <si>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</si>
  <si>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</si>
  <si>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</si>
  <si>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</si>
  <si>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</si>
  <si>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</si>
  <si>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</si>
  <si>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</si>
  <si>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</si>
  <si>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</si>
  <si>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</si>
  <si>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</si>
  <si>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</si>
  <si>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</si>
  <si>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</si>
  <si>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</si>
  <si>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</si>
  <si>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</si>
  <si>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</si>
  <si>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</si>
  <si>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</si>
  <si>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</si>
  <si>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</si>
  <si>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</si>
  <si>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</si>
  <si>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</si>
  <si>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</si>
  <si>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</si>
  <si>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</si>
  <si>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</si>
  <si>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</si>
  <si>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</si>
  <si>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</si>
  <si>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</si>
  <si>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</si>
  <si>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</si>
  <si>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</si>
  <si>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</si>
  <si>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</si>
  <si>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</si>
  <si>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</si>
  <si>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</si>
  <si>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</si>
  <si>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</si>
  <si>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</si>
  <si>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</si>
  <si>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</si>
  <si>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</si>
  <si>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</si>
  <si>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</si>
  <si>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</si>
  <si>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</si>
  <si>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</si>
  <si>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</si>
  <si>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</si>
  <si>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</si>
  <si>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</si>
  <si>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</si>
  <si>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</si>
  <si>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</si>
  <si>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</si>
  <si>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</si>
  <si>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</si>
  <si>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</si>
  <si>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</si>
  <si>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</si>
  <si>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</si>
  <si>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</si>
  <si>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</si>
  <si>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</si>
  <si>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</si>
  <si>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</si>
  <si>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</si>
  <si>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</si>
  <si>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</si>
  <si>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</si>
  <si>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</si>
  <si>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</si>
  <si>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</si>
  <si>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</si>
  <si>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</si>
  <si>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</si>
  <si>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</si>
  <si>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</si>
  <si>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</si>
  <si>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</si>
  <si>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</si>
  <si>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</si>
  <si>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</si>
  <si>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</si>
  <si>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</si>
  <si>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</si>
  <si>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</si>
  <si>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</si>
  <si>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</si>
  <si>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</si>
  <si>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</si>
  <si>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</si>
  <si>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</si>
  <si>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</si>
  <si>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</si>
  <si>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</si>
  <si>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</si>
  <si>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</si>
  <si>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</si>
  <si>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</si>
  <si>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</si>
  <si>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</si>
  <si>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</si>
  <si>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</si>
  <si>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</si>
  <si>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</si>
  <si>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</si>
  <si>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</si>
  <si>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</si>
  <si>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</si>
  <si>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</si>
  <si>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</si>
  <si>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</si>
  <si>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</si>
  <si>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</si>
  <si>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</si>
  <si>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</si>
  <si>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</si>
  <si>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</si>
  <si>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</si>
  <si>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</si>
  <si>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</si>
  <si>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</si>
  <si>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</si>
  <si>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</si>
  <si>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</si>
  <si>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</si>
  <si>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</si>
  <si>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</si>
  <si>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</si>
  <si>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</si>
  <si>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</si>
  <si>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</si>
  <si>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</si>
  <si>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</si>
  <si>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</si>
  <si>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</si>
  <si>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</si>
  <si>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</si>
  <si>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</si>
  <si>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</si>
  <si>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</si>
  <si>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</si>
  <si>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</si>
  <si>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</si>
  <si>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</si>
  <si>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</si>
  <si>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</si>
  <si>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</si>
  <si>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</si>
  <si>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</si>
  <si>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</si>
  <si>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</si>
  <si>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</si>
  <si>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</si>
  <si>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</si>
  <si>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</si>
  <si>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</si>
  <si>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</si>
  <si>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</si>
  <si>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</si>
  <si>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</si>
  <si>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</si>
  <si>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</si>
  <si>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</si>
  <si>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</si>
  <si>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</si>
  <si>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</si>
  <si>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</si>
  <si>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</si>
  <si>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</si>
  <si>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</si>
  <si>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</si>
  <si>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</si>
  <si>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</si>
  <si>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</si>
  <si>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</si>
  <si>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</si>
  <si>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</si>
  <si>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</si>
  <si>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</si>
  <si>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</si>
  <si>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</si>
  <si>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</si>
  <si>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</si>
  <si>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</si>
  <si>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</si>
  <si>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</si>
  <si>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</si>
  <si>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</si>
  <si>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</si>
  <si>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</si>
  <si>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</si>
  <si>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</si>
  <si>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</si>
  <si>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</si>
  <si>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</si>
  <si>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</si>
  <si>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</si>
  <si>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</si>
  <si>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</si>
  <si>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</si>
  <si>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</si>
  <si>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</si>
  <si>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</si>
  <si>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</si>
  <si>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</si>
  <si>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</si>
  <si>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</si>
  <si>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</si>
  <si>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</si>
  <si>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</si>
  <si>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</si>
  <si>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</si>
  <si>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</si>
  <si>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</si>
  <si>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</si>
  <si>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</si>
  <si>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</si>
  <si>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</si>
  <si>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</si>
  <si>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</si>
  <si>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</si>
  <si>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</si>
  <si>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</si>
  <si>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</si>
  <si>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</si>
  <si>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</si>
  <si>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</si>
  <si>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</si>
  <si>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</si>
  <si>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</si>
  <si>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</si>
  <si>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</si>
  <si>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</si>
  <si>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</si>
  <si>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</si>
  <si>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</si>
  <si>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</si>
  <si>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</si>
  <si>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</si>
  <si>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</si>
  <si>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</si>
  <si>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</si>
  <si>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</si>
  <si>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</si>
  <si>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</si>
  <si>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</si>
  <si>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</si>
  <si>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</si>
  <si>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</si>
  <si>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</si>
  <si>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</si>
  <si>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</si>
  <si>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</si>
  <si>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</si>
  <si>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</si>
  <si>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</si>
  <si>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</si>
  <si>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</si>
  <si>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</si>
  <si>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</si>
  <si>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</si>
  <si>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</si>
  <si>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</si>
  <si>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</si>
  <si>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</si>
  <si>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</si>
  <si>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</si>
  <si>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</si>
  <si>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</si>
  <si>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</si>
  <si>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</si>
  <si>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</si>
  <si>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</si>
  <si>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</si>
  <si>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</si>
  <si>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</si>
  <si>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</si>
  <si>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</si>
  <si>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</si>
  <si>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</si>
  <si>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</si>
  <si>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</si>
  <si>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</si>
  <si>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</si>
  <si>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</si>
  <si>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</si>
  <si>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</si>
  <si>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</si>
  <si>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</si>
  <si>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</si>
  <si>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</si>
  <si>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</si>
  <si>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</si>
  <si>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</si>
  <si>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</si>
  <si>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</si>
  <si>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</si>
  <si>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</si>
  <si>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</si>
  <si>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</si>
  <si>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</si>
  <si>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</si>
  <si>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</si>
  <si>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</si>
  <si>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</si>
  <si>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</si>
  <si>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</si>
  <si>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</si>
  <si>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</si>
  <si>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</si>
  <si>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</si>
  <si>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</si>
  <si>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</si>
  <si>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</si>
  <si>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</si>
  <si>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</si>
  <si>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</si>
  <si>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</si>
  <si>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</si>
  <si>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</si>
  <si>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</si>
  <si>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</si>
  <si>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</si>
  <si>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</si>
  <si>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</si>
  <si>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</si>
  <si>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</si>
  <si>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</si>
  <si>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</si>
  <si>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</si>
  <si>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</si>
  <si>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</si>
  <si>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</si>
  <si>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</si>
  <si>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</si>
  <si>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</si>
  <si>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</si>
  <si>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</si>
  <si>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</si>
  <si>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</si>
  <si>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</si>
  <si>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</si>
  <si>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</si>
  <si>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</si>
  <si>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</si>
  <si>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</si>
  <si>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</si>
  <si>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</si>
  <si>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</si>
  <si>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</si>
  <si>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</si>
  <si>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</si>
  <si>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</si>
  <si>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</si>
  <si>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</si>
  <si>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</si>
  <si>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</si>
  <si>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</si>
  <si>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</si>
  <si>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</si>
  <si>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</si>
  <si>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</si>
  <si>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</si>
  <si>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</si>
  <si>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</si>
  <si>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</si>
  <si>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</si>
  <si>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</si>
  <si>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</si>
  <si>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</si>
  <si>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</si>
  <si>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</si>
  <si>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</si>
  <si>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</si>
  <si>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</si>
  <si>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</si>
  <si>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</si>
  <si>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</si>
  <si>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</si>
  <si>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</si>
  <si>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</si>
  <si>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</si>
  <si>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</si>
  <si>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</si>
  <si>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</si>
  <si>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</si>
  <si>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</si>
  <si>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</si>
  <si>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</si>
  <si>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</si>
  <si>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</si>
  <si>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</si>
  <si>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</si>
  <si>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</si>
  <si>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</si>
  <si>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</si>
  <si>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</si>
  <si>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</si>
  <si>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</si>
  <si>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</si>
  <si>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</si>
  <si>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</si>
  <si>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</si>
  <si>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</si>
  <si>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</si>
  <si>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</si>
  <si>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</si>
  <si>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</si>
  <si>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</si>
  <si>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</si>
  <si>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</si>
  <si>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</si>
  <si>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</si>
  <si>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</si>
  <si>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</si>
  <si>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</si>
  <si>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</si>
  <si>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</si>
  <si>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</si>
  <si>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</si>
  <si>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</si>
  <si>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</si>
  <si>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</si>
  <si>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</si>
  <si>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</si>
  <si>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</si>
  <si>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</si>
  <si>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</si>
  <si>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</si>
  <si>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</si>
  <si>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</si>
  <si>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</si>
  <si>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</si>
  <si>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</si>
  <si>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</si>
  <si>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</si>
  <si>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</si>
  <si>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</si>
  <si>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</si>
  <si>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</si>
  <si>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</si>
  <si>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</si>
  <si>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</si>
  <si>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</si>
  <si>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</si>
  <si>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</si>
  <si>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</si>
  <si>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</si>
  <si>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</si>
  <si>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</si>
  <si>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</si>
  <si>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</si>
  <si>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</si>
  <si>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</si>
  <si>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</si>
  <si>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</si>
  <si>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</si>
  <si>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</si>
  <si>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</si>
  <si>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</si>
  <si>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</si>
  <si>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</si>
  <si>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</si>
  <si>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</si>
  <si>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</si>
  <si>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</si>
  <si>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</si>
  <si>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</si>
  <si>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</si>
  <si>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</si>
  <si>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</si>
  <si>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</si>
  <si>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</si>
  <si>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</si>
  <si>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</si>
  <si>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</si>
  <si>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</si>
  <si>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</si>
  <si>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</si>
  <si>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</si>
  <si>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</si>
  <si>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</si>
  <si>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</si>
  <si>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</si>
  <si>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</si>
  <si>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</si>
  <si>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</si>
  <si>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</si>
  <si>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</si>
  <si>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</si>
  <si>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</si>
  <si>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</si>
  <si>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</si>
  <si>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</si>
  <si>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</si>
  <si>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</si>
  <si>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</si>
  <si>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</si>
  <si>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</si>
  <si>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</si>
  <si>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</si>
  <si>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</si>
  <si>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</si>
  <si>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</si>
  <si>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</si>
  <si>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</si>
  <si>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</si>
  <si>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</si>
  <si>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</si>
  <si>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</si>
  <si>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</si>
  <si>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</si>
  <si>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</si>
  <si>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</si>
  <si>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</si>
  <si>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</si>
  <si>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</si>
  <si>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</si>
  <si>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</si>
  <si>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</si>
  <si>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</si>
  <si>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</si>
  <si>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</si>
  <si>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</si>
  <si>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</si>
  <si>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</si>
  <si>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</si>
  <si>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</si>
  <si>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</si>
  <si>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</si>
  <si>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</si>
  <si>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</si>
  <si>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</si>
  <si>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</si>
  <si>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</si>
  <si>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</si>
  <si>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</si>
  <si>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</si>
  <si>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</si>
  <si>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</si>
  <si>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</si>
  <si>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</si>
  <si>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</si>
  <si>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</si>
  <si>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</si>
  <si>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</si>
  <si>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</si>
  <si>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</si>
  <si>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</si>
  <si>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</si>
  <si>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</si>
  <si>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</si>
  <si>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</si>
  <si>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</si>
  <si>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</si>
  <si>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</si>
  <si>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</si>
  <si>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</si>
  <si>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</si>
  <si>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</si>
  <si>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</si>
  <si>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</si>
  <si>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</si>
  <si>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</si>
  <si>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</si>
  <si>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</si>
  <si>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</si>
  <si>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</si>
  <si>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</si>
  <si>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</si>
  <si>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</si>
  <si>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</si>
  <si>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</si>
  <si>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</si>
  <si>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</si>
  <si>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</si>
  <si>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</si>
  <si>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</si>
  <si>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</si>
  <si>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</si>
  <si>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</si>
  <si>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</si>
  <si>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</si>
  <si>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</si>
  <si>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</si>
  <si>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</si>
  <si>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</si>
  <si>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</si>
  <si>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</si>
  <si>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</si>
  <si>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</si>
  <si>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</si>
  <si>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</si>
  <si>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</si>
  <si>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</si>
  <si>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</si>
  <si>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</si>
  <si>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</si>
  <si>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</si>
  <si>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</si>
  <si>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</si>
  <si>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</si>
  <si>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</si>
  <si>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</si>
  <si>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</si>
  <si>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</si>
  <si>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</si>
  <si>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</si>
  <si>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</si>
  <si>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</si>
  <si>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</si>
  <si>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</si>
  <si>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</si>
  <si>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</si>
  <si>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</si>
  <si>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</si>
  <si>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</si>
  <si>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</si>
  <si>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</si>
  <si>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</si>
  <si>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</si>
  <si>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</si>
  <si>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</si>
  <si>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</si>
  <si>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</si>
  <si>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</si>
  <si>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</si>
  <si>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</si>
  <si>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</si>
  <si>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</si>
  <si>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</si>
  <si>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</si>
  <si>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</si>
  <si>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</si>
  <si>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</si>
  <si>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</si>
  <si>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</si>
  <si>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</si>
  <si>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</si>
  <si>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</si>
  <si>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</si>
  <si>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</si>
  <si>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</si>
  <si>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</si>
  <si>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</si>
  <si>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</si>
  <si>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</si>
  <si>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</si>
  <si>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</si>
  <si>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</si>
  <si>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</si>
  <si>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</si>
  <si>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</si>
  <si>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</si>
  <si>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</si>
  <si>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</si>
  <si>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</si>
  <si>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</si>
  <si>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</si>
  <si>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</si>
  <si>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</si>
  <si>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</si>
  <si>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</si>
  <si>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</si>
  <si>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</si>
  <si>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</si>
  <si>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</si>
  <si>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</si>
  <si>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</si>
  <si>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</si>
  <si>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</si>
  <si>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</si>
  <si>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</si>
  <si>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</si>
  <si>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</si>
  <si>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</si>
  <si>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</si>
  <si>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</si>
  <si>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</si>
  <si>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</si>
  <si>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</si>
  <si>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</si>
  <si>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</si>
  <si>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</si>
  <si>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</si>
  <si>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</si>
  <si>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</si>
  <si>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</si>
  <si>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</si>
  <si>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</si>
  <si>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</si>
  <si>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</si>
  <si>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</si>
  <si>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</si>
  <si>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</si>
  <si>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</si>
  <si>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</si>
  <si>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</si>
  <si>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</si>
  <si>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</si>
  <si>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</si>
  <si>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</si>
  <si>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</si>
  <si>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</si>
  <si>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</si>
  <si>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</si>
  <si>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</si>
  <si>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</si>
  <si>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</si>
  <si>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</si>
  <si>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</si>
  <si>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</si>
  <si>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</si>
  <si>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</si>
  <si>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</si>
  <si>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</si>
  <si>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</si>
  <si>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</si>
  <si>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</si>
  <si>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</si>
  <si>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</si>
  <si>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</si>
  <si>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</si>
  <si>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</si>
  <si>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</si>
  <si>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</si>
  <si>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</si>
  <si>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</si>
  <si>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</si>
  <si>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</si>
  <si>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</si>
  <si>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</si>
  <si>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</si>
  <si>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</si>
  <si>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</si>
  <si>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</si>
  <si>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</si>
  <si>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</si>
  <si>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</si>
  <si>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</si>
  <si>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</si>
  <si>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</si>
  <si>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</si>
  <si>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</si>
  <si>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</si>
  <si>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</si>
  <si>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</si>
  <si>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</si>
  <si>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</si>
  <si>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</si>
  <si>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</si>
  <si>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</si>
  <si>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</si>
  <si>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</si>
  <si>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</si>
  <si>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</si>
  <si>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</si>
  <si>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</si>
  <si>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</si>
  <si>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</si>
  <si>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</si>
  <si>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</si>
  <si>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</si>
  <si>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</si>
  <si>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</si>
  <si>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</si>
  <si>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</si>
  <si>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</si>
  <si>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</si>
  <si>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</si>
  <si>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</si>
  <si>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</si>
  <si>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</si>
  <si>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</si>
  <si>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</si>
  <si>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</si>
  <si>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</si>
  <si>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</si>
  <si>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</si>
  <si>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</si>
  <si>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</si>
  <si>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</si>
  <si>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</si>
  <si>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</si>
  <si>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</si>
  <si>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</si>
  <si>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</si>
  <si>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</si>
  <si>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</si>
  <si>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</si>
  <si>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</si>
  <si>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</si>
  <si>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</si>
  <si>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</si>
  <si>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</si>
  <si>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</si>
  <si>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</si>
  <si>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</si>
  <si>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</si>
  <si>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</si>
  <si>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</si>
  <si>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</si>
  <si>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</si>
  <si>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</si>
  <si>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</si>
  <si>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</si>
  <si>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</si>
  <si>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</si>
  <si>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</si>
  <si>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</si>
  <si>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</si>
  <si>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</si>
  <si>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</si>
  <si>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</si>
  <si>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</si>
  <si>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</si>
  <si>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</si>
  <si>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</si>
  <si>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</si>
  <si>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</si>
  <si>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</si>
  <si>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</si>
  <si>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</si>
  <si>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</si>
  <si>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</si>
  <si>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</si>
  <si>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</si>
  <si>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</si>
  <si>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</si>
  <si>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</si>
  <si>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</si>
  <si>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</si>
  <si>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</si>
  <si>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</si>
  <si>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</si>
  <si>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</si>
  <si>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</si>
  <si>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</si>
  <si>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</si>
  <si>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</si>
  <si>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</si>
  <si>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</si>
  <si>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</si>
  <si>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</si>
  <si>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</si>
  <si>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</si>
  <si>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</si>
  <si>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</si>
  <si>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</si>
  <si>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</si>
  <si>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</si>
  <si>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</si>
  <si>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</si>
  <si>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</si>
  <si>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</si>
  <si>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</si>
  <si>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</si>
  <si>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</si>
  <si>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</si>
  <si>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</si>
  <si>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</si>
  <si>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</si>
  <si>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</si>
  <si>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</si>
  <si>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</si>
  <si>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</si>
  <si>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</si>
  <si>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</si>
  <si>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</si>
  <si>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</si>
  <si>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</si>
  <si>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</si>
  <si>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</si>
  <si>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</si>
  <si>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</si>
  <si>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</si>
  <si>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</si>
  <si>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</si>
  <si>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</si>
  <si>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</si>
  <si>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</si>
  <si>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</si>
  <si>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</si>
  <si>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</si>
  <si>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</si>
  <si>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</si>
  <si>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</si>
  <si>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</si>
  <si>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</si>
  <si>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</si>
  <si>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</si>
  <si>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</si>
  <si>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</si>
  <si>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</si>
  <si>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</si>
  <si>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</si>
  <si>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</si>
  <si>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</si>
  <si>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</si>
  <si>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</si>
  <si>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</si>
  <si>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</si>
  <si>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</si>
  <si>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</si>
  <si>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</si>
  <si>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</si>
  <si>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</si>
  <si>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</si>
  <si>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</si>
  <si>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</si>
  <si>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</si>
  <si>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</si>
  <si>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</si>
  <si>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</si>
  <si>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</si>
  <si>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</si>
  <si>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</si>
  <si>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</si>
  <si>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</si>
  <si>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</si>
  <si>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</si>
  <si>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</si>
  <si>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</si>
  <si>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</si>
  <si>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</si>
  <si>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</si>
  <si>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</si>
  <si>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</si>
  <si>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</si>
  <si>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</si>
  <si>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</si>
  <si>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</si>
  <si>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</si>
  <si>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</si>
  <si>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</si>
  <si>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</si>
  <si>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</si>
  <si>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</si>
  <si>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</si>
  <si>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</si>
  <si>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</si>
  <si>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</si>
  <si>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</si>
  <si>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</si>
  <si>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</si>
  <si>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</si>
  <si>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</si>
  <si>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</si>
  <si>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</si>
  <si>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</si>
  <si>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</si>
  <si>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</si>
  <si>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</si>
  <si>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</si>
  <si>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</si>
  <si>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</si>
  <si>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</si>
  <si>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</si>
  <si>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</si>
  <si>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</si>
  <si>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</si>
  <si>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</si>
  <si>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</si>
  <si>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</si>
  <si>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</si>
  <si>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</si>
  <si>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</si>
  <si>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</si>
  <si>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</si>
  <si>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</si>
  <si>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</si>
  <si>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</si>
  <si>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</si>
  <si>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</si>
  <si>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</si>
  <si>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</si>
  <si>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</si>
  <si>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</si>
  <si>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</si>
  <si>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</si>
  <si>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</si>
  <si>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</si>
  <si>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</si>
  <si>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</si>
  <si>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</si>
  <si>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</si>
  <si>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</si>
  <si>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</si>
  <si>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</si>
  <si>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</si>
  <si>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</si>
  <si>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</si>
  <si>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</si>
  <si>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</si>
  <si>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</si>
  <si>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</si>
  <si>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</si>
  <si>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</si>
  <si>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</si>
  <si>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</si>
  <si>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</si>
  <si>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</si>
  <si>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</si>
  <si>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</si>
  <si>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</si>
  <si>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</si>
  <si>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</si>
  <si>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</si>
  <si>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</si>
  <si>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</si>
  <si>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</si>
  <si>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</si>
  <si>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</si>
  <si>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</si>
  <si>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</si>
  <si>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</si>
  <si>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</si>
  <si>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</si>
  <si>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</si>
  <si>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</si>
  <si>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</si>
  <si>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</si>
  <si>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</si>
  <si>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</si>
  <si>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</si>
  <si>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</si>
  <si>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</si>
  <si>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</si>
  <si>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</si>
  <si>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</si>
  <si>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</si>
  <si>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</si>
  <si>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</si>
  <si>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</si>
  <si>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</si>
  <si>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</si>
  <si>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</si>
  <si>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</si>
  <si>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</si>
  <si>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</si>
  <si>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</si>
  <si>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</si>
  <si>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</si>
  <si>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</si>
  <si>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</si>
  <si>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</si>
  <si>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</si>
  <si>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</si>
  <si>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</si>
  <si>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</si>
  <si>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</si>
  <si>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</si>
  <si>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</si>
  <si>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</si>
  <si>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</si>
  <si>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</si>
  <si>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</si>
  <si>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</si>
  <si>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</si>
  <si>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</si>
  <si>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</si>
  <si>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</si>
  <si>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</si>
  <si>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</si>
  <si>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</si>
  <si>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</si>
  <si>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</si>
  <si>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</si>
  <si>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</si>
  <si>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</si>
  <si>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</si>
  <si>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</si>
  <si>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</si>
  <si>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</si>
  <si>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</si>
  <si>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</si>
  <si>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</si>
  <si>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</si>
  <si>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</si>
  <si>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</si>
  <si>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</si>
  <si>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</si>
  <si>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</si>
  <si>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</si>
  <si>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</si>
  <si>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</si>
  <si>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</si>
  <si>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</si>
  <si>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</si>
  <si>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</si>
  <si>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</si>
  <si>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</si>
  <si>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</si>
  <si>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</si>
  <si>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</si>
  <si>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</si>
  <si>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</si>
  <si>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</si>
  <si>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</si>
  <si>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</si>
  <si>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</si>
  <si>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</si>
  <si>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</si>
  <si>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</si>
  <si>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</si>
  <si>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</si>
  <si>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</si>
  <si>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</si>
  <si>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</si>
  <si>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</si>
  <si>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</si>
  <si>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</si>
  <si>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</si>
  <si>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</si>
  <si>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</si>
  <si>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</si>
  <si>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</si>
  <si>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</si>
  <si>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</si>
  <si>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</si>
  <si>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</si>
  <si>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</si>
  <si>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</si>
  <si>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</si>
  <si>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</si>
  <si>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</si>
  <si>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</si>
  <si>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</si>
  <si>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</si>
  <si>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</si>
  <si>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</si>
  <si>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</si>
  <si>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</si>
  <si>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</si>
  <si>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</si>
  <si>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</si>
  <si>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</si>
  <si>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</si>
  <si>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</si>
  <si>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</si>
  <si>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</si>
  <si>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</si>
  <si>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</si>
  <si>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</si>
  <si>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</si>
  <si>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</si>
  <si>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</si>
  <si>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</si>
  <si>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</si>
  <si>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</si>
  <si>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</si>
  <si>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</si>
  <si>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</si>
  <si>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</si>
  <si>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</si>
  <si>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</si>
  <si>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</si>
  <si>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</si>
  <si>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</si>
  <si>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</si>
  <si>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</si>
  <si>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</si>
  <si>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</si>
  <si>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</si>
  <si>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</si>
  <si>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</si>
  <si>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</si>
  <si>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</si>
  <si>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</si>
  <si>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</si>
  <si>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</si>
  <si>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</si>
  <si>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</si>
  <si>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</si>
  <si>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</si>
  <si>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</si>
  <si>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</si>
  <si>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</si>
  <si>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</si>
  <si>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</si>
  <si>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</si>
  <si>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</si>
  <si>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</si>
  <si>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</si>
  <si>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</si>
  <si>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</si>
  <si>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</si>
  <si>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</si>
  <si>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</si>
  <si>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</si>
  <si>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</si>
  <si>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</si>
  <si>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</si>
  <si>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</si>
  <si>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</si>
  <si>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</si>
  <si>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</si>
  <si>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</si>
  <si>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</si>
  <si>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</si>
  <si>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</si>
  <si>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</si>
  <si>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</si>
  <si>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</si>
  <si>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</si>
  <si>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</si>
  <si>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</si>
  <si>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</si>
  <si>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</si>
  <si>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</si>
  <si>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</si>
  <si>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</si>
  <si>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</si>
  <si>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</si>
  <si>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</si>
  <si>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</si>
  <si>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</si>
  <si>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</si>
  <si>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</si>
  <si>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</si>
  <si>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</si>
  <si>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</si>
  <si>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</si>
  <si>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</si>
  <si>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</si>
  <si>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</si>
  <si>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</si>
  <si>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</si>
  <si>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</si>
  <si>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</si>
  <si>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</si>
  <si>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</si>
  <si>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</si>
  <si>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</si>
  <si>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</si>
  <si>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</si>
  <si>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</si>
  <si>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</si>
  <si>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</si>
  <si>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</si>
  <si>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</si>
  <si>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</si>
  <si>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</si>
  <si>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</si>
  <si>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</si>
  <si>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</si>
  <si>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</si>
  <si>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</si>
  <si>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</si>
  <si>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</si>
  <si>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</si>
  <si>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</si>
  <si>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</si>
  <si>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</si>
  <si>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</si>
  <si>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</si>
  <si>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</si>
  <si>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</si>
  <si>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</si>
  <si>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</si>
  <si>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</si>
  <si>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</si>
  <si>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</si>
  <si>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</si>
  <si>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</si>
  <si>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</si>
  <si>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</si>
  <si>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</si>
  <si>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</si>
  <si>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</si>
  <si>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</si>
  <si>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</si>
  <si>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</si>
  <si>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</si>
  <si>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</si>
  <si>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</si>
  <si>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</si>
  <si>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</si>
  <si>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</si>
  <si>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</si>
  <si>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</si>
  <si>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</si>
  <si>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</si>
  <si>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</si>
  <si>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</si>
  <si>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</si>
  <si>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</si>
  <si>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</si>
  <si>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</si>
  <si>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</si>
  <si>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</si>
  <si>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</si>
  <si>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</si>
  <si>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</si>
  <si>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</si>
  <si>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</si>
  <si>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</si>
  <si>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</si>
  <si>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</si>
  <si>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</si>
  <si>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</si>
  <si>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</si>
  <si>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</si>
  <si>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</si>
  <si>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</si>
  <si>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</si>
  <si>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</si>
  <si>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</si>
  <si>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</si>
  <si>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</si>
  <si>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</si>
  <si>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</si>
  <si>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</si>
  <si>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</si>
  <si>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</si>
  <si>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</si>
  <si>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</si>
  <si>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</si>
  <si>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</si>
  <si>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</si>
  <si>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</si>
  <si>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</si>
  <si>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</si>
  <si>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</si>
  <si>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</si>
  <si>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</si>
  <si>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</si>
  <si>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</si>
  <si>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</si>
  <si>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</si>
  <si>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</si>
  <si>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</si>
  <si>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</si>
  <si>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</si>
  <si>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</si>
  <si>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</si>
  <si>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</si>
  <si>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</si>
  <si>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</si>
  <si>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</si>
  <si>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</si>
  <si>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</si>
  <si>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</si>
  <si>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</si>
  <si>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</si>
  <si>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</si>
  <si>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</si>
  <si>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</si>
  <si>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</si>
  <si>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</si>
  <si>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</si>
  <si>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</si>
  <si>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</si>
  <si>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</si>
  <si>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</si>
  <si>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</si>
  <si>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</si>
  <si>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</si>
  <si>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</si>
  <si>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</si>
  <si>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</si>
  <si>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</si>
  <si>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</si>
  <si>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</si>
  <si>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</si>
  <si>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</si>
  <si>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</si>
  <si>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</si>
  <si>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</si>
  <si>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</si>
  <si>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</si>
  <si>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</si>
  <si>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</si>
  <si>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</si>
  <si>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</si>
  <si>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</si>
  <si>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</si>
  <si>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</si>
  <si>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</si>
  <si>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</si>
  <si>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</si>
  <si>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</si>
  <si>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</si>
  <si>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</si>
  <si>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</si>
  <si>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</si>
  <si>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</si>
  <si>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</si>
  <si>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</si>
  <si>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</si>
  <si>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</si>
  <si>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</si>
  <si>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</si>
  <si>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</si>
  <si>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</si>
  <si>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</si>
  <si>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</si>
  <si>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</si>
  <si>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</si>
  <si>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</si>
  <si>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</si>
  <si>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</si>
  <si>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</si>
  <si>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</si>
  <si>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</si>
  <si>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</si>
  <si>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</si>
  <si>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</si>
  <si>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</si>
  <si>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</si>
  <si>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</si>
  <si>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</si>
  <si>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</si>
  <si>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</si>
  <si>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</si>
  <si>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</si>
  <si>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</si>
  <si>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</si>
  <si>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</si>
  <si>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</si>
  <si>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</si>
  <si>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</si>
  <si>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</si>
  <si>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</si>
  <si>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</si>
  <si>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</si>
  <si>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</si>
  <si>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</si>
  <si>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</si>
  <si>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</si>
  <si>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</si>
  <si>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</si>
  <si>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</si>
  <si>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</si>
  <si>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</si>
  <si>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</si>
  <si>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</si>
  <si>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</si>
  <si>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</si>
  <si>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</si>
  <si>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</si>
  <si>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</si>
  <si>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</si>
  <si>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</si>
  <si>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</si>
  <si>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</si>
  <si>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</si>
  <si>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</si>
  <si>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</si>
  <si>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</si>
  <si>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</si>
  <si>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</si>
  <si>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</si>
  <si>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</si>
  <si>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</si>
  <si>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</si>
  <si>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</si>
  <si>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</si>
  <si>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</si>
  <si>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</si>
  <si>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</si>
  <si>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</si>
  <si>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</si>
  <si>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</si>
  <si>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</si>
  <si>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</si>
  <si>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</si>
  <si>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</si>
  <si>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</si>
  <si>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</si>
  <si>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</si>
  <si>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</si>
  <si>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</si>
  <si>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</si>
  <si>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</si>
  <si>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</si>
  <si>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</si>
  <si>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</si>
  <si>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</si>
  <si>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</si>
  <si>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</si>
  <si>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</si>
  <si>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</si>
  <si>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</si>
  <si>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</si>
  <si>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</si>
  <si>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</si>
  <si>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</si>
  <si>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</si>
  <si>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</si>
  <si>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</si>
  <si>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</si>
  <si>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</si>
  <si>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</si>
  <si>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</si>
  <si>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</si>
  <si>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</si>
  <si>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</si>
  <si>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</si>
  <si>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</si>
  <si>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</si>
  <si>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</si>
  <si>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</si>
  <si>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</si>
  <si>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</si>
  <si>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</si>
  <si>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</si>
  <si>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</si>
  <si>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</si>
  <si>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</si>
  <si>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</si>
  <si>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</si>
  <si>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</si>
  <si>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</si>
  <si>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</si>
  <si>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</si>
  <si>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</si>
  <si>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</si>
  <si>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</si>
  <si>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</si>
  <si>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</si>
  <si>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</si>
  <si>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</si>
  <si>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</si>
  <si>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</si>
  <si>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</si>
  <si>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</si>
  <si>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</si>
  <si>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</si>
  <si>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</si>
  <si>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</si>
  <si>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</si>
  <si>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</si>
  <si>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</si>
  <si>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</si>
  <si>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</si>
  <si>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</si>
  <si>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</si>
  <si>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</si>
  <si>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</si>
  <si>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</si>
  <si>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</si>
  <si>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</si>
  <si>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</si>
  <si>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</si>
  <si>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</si>
  <si>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</si>
  <si>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</si>
  <si>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</si>
  <si>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</si>
  <si>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</si>
  <si>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</si>
  <si>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</si>
  <si>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</si>
  <si>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</si>
  <si>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</si>
  <si>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</si>
  <si>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</si>
  <si>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</si>
  <si>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</si>
  <si>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</si>
  <si>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</si>
  <si>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</si>
  <si>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</si>
  <si>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</si>
  <si>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</si>
  <si>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</si>
  <si>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</si>
  <si>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</si>
  <si>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</si>
  <si>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</si>
  <si>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</si>
  <si>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</si>
  <si>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</si>
  <si>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</si>
  <si>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</si>
  <si>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</si>
  <si>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</si>
  <si>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</si>
  <si>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</si>
  <si>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</si>
  <si>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</si>
  <si>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</si>
  <si>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</si>
  <si>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</si>
  <si>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</si>
  <si>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</si>
  <si>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</si>
  <si>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</si>
  <si>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</si>
  <si>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</si>
  <si>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</si>
  <si>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</si>
  <si>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</si>
  <si>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</si>
  <si>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</si>
  <si>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</si>
  <si>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</si>
  <si>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</si>
  <si>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</si>
  <si>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</si>
  <si>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</si>
  <si>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</si>
  <si>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</si>
  <si>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</si>
  <si>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</si>
  <si>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</si>
  <si>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</si>
  <si>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</si>
  <si>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</si>
  <si>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</si>
  <si>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</si>
  <si>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</si>
  <si>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</si>
  <si>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</si>
  <si>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</si>
  <si>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</si>
  <si>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</si>
  <si>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</si>
  <si>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</si>
  <si>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</si>
  <si>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</si>
  <si>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</si>
  <si>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</si>
  <si>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</si>
  <si>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</si>
  <si>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</si>
  <si>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</si>
  <si>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</si>
  <si>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</si>
  <si>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</si>
  <si>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</si>
  <si>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</si>
  <si>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</si>
  <si>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</si>
  <si>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</si>
  <si>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</si>
  <si>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</si>
  <si>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</si>
  <si>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</si>
  <si>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</si>
  <si>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</si>
  <si>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</si>
  <si>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</si>
  <si>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</si>
  <si>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</si>
  <si>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</si>
  <si>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</si>
  <si>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</si>
  <si>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</si>
  <si>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</si>
  <si>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</si>
  <si>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</si>
  <si>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</si>
  <si>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</si>
  <si>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</si>
  <si>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</si>
  <si>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</si>
  <si>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</si>
  <si>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</si>
  <si>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</si>
  <si>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</si>
  <si>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</si>
  <si>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</si>
  <si>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</si>
  <si>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</si>
  <si>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</si>
  <si>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</si>
  <si>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</si>
  <si>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</si>
  <si>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</si>
  <si>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</si>
  <si>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</si>
  <si>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</si>
  <si>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</si>
  <si>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</si>
  <si>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</si>
  <si>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</si>
  <si>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</si>
  <si>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</si>
  <si>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</si>
  <si>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</si>
  <si>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</si>
  <si>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</si>
  <si>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</si>
  <si>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</si>
  <si>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</si>
  <si>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</si>
  <si>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</si>
  <si>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</si>
  <si>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</si>
  <si>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</si>
  <si>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</si>
  <si>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</si>
  <si>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</si>
  <si>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</si>
  <si>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</si>
  <si>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</si>
  <si>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</si>
  <si>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</si>
  <si>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</si>
  <si>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</si>
  <si>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</si>
  <si>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</si>
  <si>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</si>
  <si>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</si>
  <si>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</si>
  <si>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</si>
  <si>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</si>
  <si>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</si>
  <si>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</si>
  <si>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</si>
  <si>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</si>
  <si>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</si>
  <si>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</si>
  <si>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</si>
  <si>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</si>
  <si>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</si>
  <si>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</si>
  <si>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</si>
  <si>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</si>
  <si>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</si>
  <si>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</si>
  <si>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</si>
  <si>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</si>
  <si>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</si>
  <si>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</si>
  <si>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</si>
  <si>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</si>
  <si>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</si>
  <si>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</si>
  <si>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</si>
  <si>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</si>
  <si>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</si>
  <si>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</si>
  <si>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</si>
  <si>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</si>
  <si>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</si>
  <si>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</si>
  <si>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</si>
  <si>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</si>
  <si>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</si>
  <si>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</si>
  <si>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</si>
  <si>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</si>
  <si>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</si>
  <si>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</si>
  <si>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</si>
  <si>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</si>
  <si>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</si>
  <si>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</si>
  <si>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</si>
  <si>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</si>
  <si>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</si>
  <si>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</si>
  <si>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</si>
  <si>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</si>
  <si>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</si>
  <si>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</si>
  <si>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</si>
  <si>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</si>
  <si>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</si>
  <si>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</si>
  <si>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</si>
  <si>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</si>
  <si>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</si>
  <si>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</si>
  <si>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</si>
  <si>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</si>
  <si>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</si>
  <si>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</si>
  <si>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</si>
  <si>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</si>
  <si>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</si>
  <si>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</si>
  <si>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</si>
  <si>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</si>
  <si>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</si>
  <si>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</si>
  <si>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</si>
  <si>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</si>
  <si>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</si>
  <si>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</si>
  <si>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</si>
  <si>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</si>
  <si>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</si>
  <si>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</si>
  <si>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</si>
  <si>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</si>
  <si>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</si>
  <si>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</si>
  <si>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</si>
  <si>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</si>
  <si>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</si>
  <si>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</si>
  <si>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</si>
  <si>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</si>
  <si>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</si>
  <si>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</si>
  <si>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</si>
  <si>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</si>
  <si>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</si>
  <si>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</si>
  <si>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</si>
  <si>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</si>
  <si>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</si>
  <si>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</si>
  <si>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</si>
  <si>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</si>
  <si>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</si>
  <si>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</si>
  <si>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</si>
  <si>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</si>
  <si>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</si>
  <si>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</si>
  <si>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</si>
  <si>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</si>
  <si>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</si>
  <si>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</si>
  <si>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</si>
  <si>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</si>
  <si>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</si>
  <si>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</si>
  <si>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</si>
  <si>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</si>
  <si>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</si>
  <si>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</si>
  <si>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</si>
  <si>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</si>
  <si>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</si>
  <si>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</si>
  <si>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</si>
  <si>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</si>
  <si>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</si>
  <si>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</si>
  <si>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</si>
  <si>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</si>
  <si>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</si>
  <si>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</si>
  <si>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</si>
  <si>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</si>
  <si>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</si>
  <si>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</si>
  <si>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</si>
  <si>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</si>
  <si>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</si>
  <si>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</si>
  <si>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</si>
  <si>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</si>
  <si>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</si>
  <si>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</si>
  <si>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</si>
  <si>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</si>
  <si>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</si>
  <si>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</si>
  <si>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</si>
  <si>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</si>
  <si>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</si>
  <si>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</si>
  <si>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</si>
  <si>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</si>
  <si>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</si>
  <si>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</si>
  <si>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</si>
  <si>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</si>
  <si>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</si>
  <si>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</si>
  <si>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</si>
  <si>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</si>
  <si>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</si>
  <si>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</si>
  <si>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</si>
  <si>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</si>
  <si>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</si>
  <si>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</si>
  <si>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</si>
  <si>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</si>
  <si>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</si>
  <si>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</si>
  <si>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</si>
  <si>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</si>
  <si>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</si>
  <si>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</si>
  <si>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</si>
  <si>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</si>
  <si>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</si>
  <si>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</si>
  <si>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</si>
  <si>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</si>
  <si>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</si>
  <si>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</si>
  <si>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</si>
  <si>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</si>
  <si>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</si>
  <si>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</si>
  <si>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</si>
  <si>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</si>
  <si>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</si>
  <si>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</si>
  <si>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</si>
  <si>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</si>
  <si>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</si>
  <si>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</si>
  <si>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</si>
  <si>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</si>
  <si>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</si>
  <si>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</si>
  <si>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</si>
  <si>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</si>
  <si>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</si>
  <si>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</si>
  <si>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</si>
  <si>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</si>
  <si>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</si>
  <si>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</si>
  <si>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</si>
  <si>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</si>
  <si>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</si>
  <si>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</si>
  <si>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</si>
  <si>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</si>
  <si>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</si>
  <si>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</si>
  <si>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</si>
  <si>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</si>
  <si>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</si>
  <si>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</si>
  <si>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</si>
  <si>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</si>
  <si>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</si>
  <si>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</si>
  <si>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</si>
  <si>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</si>
  <si>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</si>
  <si>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</si>
  <si>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</si>
  <si>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</si>
  <si>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</si>
  <si>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</si>
  <si>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</si>
  <si>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</si>
  <si>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</si>
  <si>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</si>
  <si>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</si>
  <si>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</si>
  <si>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</si>
  <si>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</si>
  <si>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</si>
  <si>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</si>
  <si>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</si>
  <si>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</si>
  <si>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</si>
  <si>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</si>
  <si>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</si>
  <si>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</si>
  <si>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</si>
  <si>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</si>
  <si>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</si>
  <si>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</si>
  <si>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</si>
  <si>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</si>
  <si>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</si>
  <si>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</si>
  <si>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</si>
  <si>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</si>
  <si>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</si>
  <si>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</si>
  <si>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</si>
  <si>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</si>
  <si>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</si>
  <si>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</si>
  <si>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</si>
  <si>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</si>
  <si>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</si>
  <si>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</si>
  <si>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</si>
  <si>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</si>
  <si>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</si>
  <si>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</si>
  <si>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</si>
  <si>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</si>
  <si>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</si>
  <si>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</si>
  <si>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</si>
  <si>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</si>
  <si>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</si>
  <si>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</si>
  <si>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</si>
  <si>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</si>
  <si>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</si>
  <si>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</si>
  <si>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</si>
  <si>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</si>
  <si>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</si>
  <si>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</si>
  <si>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</si>
  <si>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</si>
  <si>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</si>
  <si>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</si>
  <si>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</si>
  <si>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</si>
  <si>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</si>
  <si>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</si>
  <si>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</si>
  <si>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</si>
  <si>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</si>
  <si>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</si>
  <si>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</si>
  <si>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</si>
  <si>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</si>
  <si>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</si>
  <si>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</si>
  <si>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</si>
  <si>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</si>
  <si>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</si>
  <si>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</si>
  <si>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</si>
  <si>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</si>
  <si>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</si>
  <si>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</si>
  <si>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</si>
  <si>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</si>
  <si>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</si>
  <si>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</si>
  <si>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</si>
  <si>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</si>
  <si>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</si>
  <si>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</si>
  <si>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</si>
  <si>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</si>
  <si>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</si>
  <si>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</si>
  <si>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</si>
  <si>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</si>
  <si>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</si>
  <si>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</si>
  <si>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</si>
  <si>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</si>
  <si>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</si>
  <si>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</si>
  <si>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</si>
  <si>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</si>
  <si>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</si>
  <si>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</si>
  <si>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</si>
  <si>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</si>
  <si>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</si>
  <si>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</si>
  <si>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</si>
  <si>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</si>
  <si>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</si>
  <si>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</si>
  <si>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</si>
  <si>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</si>
  <si>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</si>
  <si>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</si>
  <si>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</si>
  <si>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</si>
  <si>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</si>
  <si>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</si>
  <si>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</si>
  <si>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</si>
  <si>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</si>
  <si>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</si>
  <si>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</si>
  <si>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</si>
  <si>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</si>
  <si>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</si>
  <si>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</si>
  <si>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</si>
  <si>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</si>
  <si>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</si>
  <si>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</si>
  <si>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</si>
  <si>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</si>
  <si>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</si>
  <si>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</si>
  <si>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</si>
  <si>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</si>
  <si>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</si>
  <si>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</si>
  <si>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</si>
  <si>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</si>
  <si>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</si>
  <si>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</si>
  <si>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</si>
  <si>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</si>
  <si>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</si>
  <si>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</si>
  <si>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</si>
  <si>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</si>
  <si>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</si>
  <si>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</si>
  <si>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</si>
  <si>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</si>
  <si>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</si>
  <si>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</si>
  <si>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</si>
  <si>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</si>
  <si>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</si>
  <si>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</si>
  <si>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</si>
  <si>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</si>
  <si>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</si>
  <si>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</si>
  <si>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</si>
  <si>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</si>
  <si>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</si>
  <si>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</si>
  <si>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</si>
  <si>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</si>
  <si>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</si>
  <si>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</si>
  <si>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</si>
  <si>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</si>
  <si>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</si>
  <si>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</si>
  <si>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</si>
  <si>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</si>
  <si>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</si>
  <si>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</si>
  <si>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</si>
  <si>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</si>
  <si>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</si>
  <si>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</si>
  <si>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</si>
  <si>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</si>
  <si>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</si>
  <si>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</si>
  <si>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</si>
  <si>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</si>
  <si>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</si>
  <si>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</si>
  <si>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</si>
  <si>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</si>
  <si>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</si>
  <si>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</si>
  <si>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</si>
  <si>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</si>
  <si>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</si>
  <si>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</si>
  <si>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</si>
  <si>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</si>
  <si>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</si>
  <si>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</si>
  <si>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</si>
  <si>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</si>
  <si>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</si>
  <si>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</si>
  <si>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</si>
  <si>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</si>
  <si>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</si>
  <si>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</si>
  <si>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</si>
  <si>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</si>
  <si>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</si>
  <si>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</si>
  <si>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</si>
  <si>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</si>
  <si>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</si>
  <si>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</si>
  <si>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</si>
  <si>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</si>
  <si>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</si>
  <si>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</si>
  <si>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</si>
  <si>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</si>
  <si>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</si>
  <si>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</si>
  <si>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</si>
  <si>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</si>
  <si>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</si>
  <si>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</si>
  <si>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</si>
  <si>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</si>
  <si>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</si>
  <si>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</si>
  <si>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</si>
  <si>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</si>
  <si>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</si>
  <si>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</si>
  <si>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</si>
  <si>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</si>
  <si>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</si>
  <si>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</si>
  <si>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</si>
  <si>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</si>
  <si>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</si>
  <si>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</si>
  <si>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</si>
  <si>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</si>
  <si>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</si>
  <si>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</si>
  <si>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</si>
  <si>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</si>
  <si>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</si>
  <si>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</si>
  <si>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</si>
  <si>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</si>
  <si>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</si>
  <si>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</si>
  <si>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</si>
  <si>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</si>
  <si>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</si>
  <si>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</si>
  <si>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</si>
  <si>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</si>
  <si>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</si>
  <si>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</si>
  <si>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</si>
  <si>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</si>
  <si>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</si>
  <si>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</si>
  <si>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</si>
  <si>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</si>
  <si>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</si>
  <si>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</si>
  <si>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</si>
  <si>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</si>
  <si>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</si>
  <si>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</si>
  <si>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</si>
  <si>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</si>
  <si>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</si>
  <si>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</si>
  <si>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</si>
  <si>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</si>
  <si>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</si>
  <si>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</si>
  <si>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</si>
  <si>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</si>
  <si>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</si>
  <si>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</si>
  <si>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</si>
  <si>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</si>
  <si>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</si>
  <si>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</si>
  <si>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</si>
  <si>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</si>
  <si>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</si>
  <si>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</si>
  <si>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</si>
  <si>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</si>
  <si>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</si>
  <si>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</si>
  <si>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</si>
  <si>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</si>
  <si>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</si>
  <si>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</si>
  <si>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</si>
  <si>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</si>
  <si>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</si>
  <si>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</si>
  <si>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</si>
  <si>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</si>
  <si>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</si>
  <si>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</si>
  <si>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</si>
  <si>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</si>
  <si>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</si>
  <si>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</si>
  <si>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</si>
  <si>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</si>
  <si>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</si>
  <si>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</si>
  <si>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</si>
  <si>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</si>
  <si>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</si>
  <si>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</si>
  <si>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</si>
  <si>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</si>
  <si>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</si>
  <si>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</si>
  <si>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</si>
  <si>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</si>
  <si>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</si>
  <si>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</si>
  <si>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</si>
  <si>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</si>
  <si>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</si>
  <si>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</si>
  <si>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</si>
  <si>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</si>
  <si>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</si>
  <si>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</si>
  <si>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</si>
  <si>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</si>
  <si>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</si>
  <si>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</si>
  <si>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</si>
  <si>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</si>
  <si>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</si>
  <si>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</si>
  <si>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</si>
  <si>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</si>
  <si>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</si>
  <si>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</si>
  <si>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</si>
  <si>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</si>
  <si>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</si>
  <si>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</si>
  <si>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</si>
  <si>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</si>
  <si>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</si>
  <si>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</si>
  <si>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</si>
  <si>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</si>
  <si>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</si>
  <si>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</si>
  <si>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</si>
  <si>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</si>
  <si>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</si>
  <si>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</si>
  <si>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</si>
  <si>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</si>
  <si>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</si>
  <si>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</si>
  <si>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</si>
  <si>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</si>
  <si>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</si>
  <si>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</si>
  <si>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</si>
  <si>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</si>
  <si>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</si>
  <si>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</si>
  <si>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</si>
  <si>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</si>
  <si>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</si>
  <si>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</si>
  <si>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</si>
  <si>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</si>
  <si>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</si>
  <si>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</si>
  <si>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</si>
  <si>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</si>
  <si>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</si>
  <si>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</si>
  <si>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</si>
  <si>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</si>
  <si>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</si>
  <si>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</si>
  <si>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</si>
  <si>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</si>
  <si>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</si>
  <si>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</si>
  <si>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</si>
  <si>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</si>
  <si>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</si>
  <si>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</si>
  <si>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</si>
  <si>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</si>
  <si>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</si>
  <si>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</si>
  <si>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</si>
  <si>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</si>
  <si>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</si>
  <si>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</si>
  <si>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</si>
  <si>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</si>
  <si>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</si>
  <si>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</si>
  <si>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</si>
  <si>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</si>
  <si>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</si>
  <si>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</si>
  <si>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</si>
  <si>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</si>
  <si>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</si>
  <si>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</si>
  <si>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</si>
  <si>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</si>
  <si>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</si>
  <si>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</si>
  <si>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</si>
  <si>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</si>
  <si>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</si>
  <si>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</si>
  <si>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</si>
  <si>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</si>
  <si>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</si>
  <si>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</si>
  <si>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</si>
  <si>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</si>
  <si>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</si>
  <si>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</si>
  <si>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</si>
  <si>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</si>
  <si>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</si>
  <si>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</si>
  <si>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</si>
  <si>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</si>
  <si>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</si>
  <si>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</si>
  <si>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</si>
  <si>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</si>
  <si>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</si>
  <si>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</si>
  <si>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</si>
  <si>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</si>
  <si>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</si>
  <si>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</si>
  <si>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</si>
  <si>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</si>
  <si>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</si>
  <si>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</si>
  <si>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</si>
  <si>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</si>
  <si>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</si>
  <si>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</si>
  <si>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</si>
  <si>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</si>
  <si>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</si>
  <si>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</si>
  <si>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</si>
  <si>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</si>
  <si>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</si>
  <si>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</si>
  <si>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</si>
  <si>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</si>
  <si>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</si>
  <si>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</si>
  <si>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</si>
  <si>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</si>
  <si>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</si>
  <si>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</si>
  <si>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</si>
  <si>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</si>
  <si>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</si>
  <si>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</si>
  <si>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</si>
  <si>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</si>
  <si>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</si>
  <si>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</si>
  <si>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</si>
  <si>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</si>
  <si>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</si>
  <si>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</si>
  <si>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</si>
  <si>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</si>
  <si>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</si>
  <si>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</si>
  <si>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</si>
  <si>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</si>
  <si>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</si>
  <si>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</si>
  <si>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</si>
  <si>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</si>
  <si>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</si>
  <si>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</si>
  <si>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</si>
  <si>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</si>
  <si>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</si>
  <si>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</si>
  <si>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</si>
  <si>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</si>
  <si>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</si>
  <si>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</si>
  <si>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</si>
  <si>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</si>
  <si>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</si>
  <si>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</si>
  <si>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</si>
  <si>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</si>
  <si>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</si>
  <si>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</si>
  <si>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</si>
  <si>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</si>
  <si>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</si>
  <si>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</si>
  <si>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</si>
  <si>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</si>
  <si>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</si>
  <si>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</si>
  <si>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</si>
  <si>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</si>
  <si>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</si>
  <si>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</si>
  <si>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</si>
  <si>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</si>
  <si>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</si>
  <si>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</si>
  <si>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</si>
  <si>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</si>
  <si>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</si>
  <si>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</si>
  <si>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</si>
  <si>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</si>
  <si>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</si>
  <si>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</si>
  <si>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</si>
  <si>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</si>
  <si>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</si>
  <si>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</si>
  <si>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</si>
  <si>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</si>
  <si>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</si>
  <si>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</si>
  <si>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</si>
  <si>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</si>
  <si>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</si>
  <si>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</si>
  <si>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</si>
  <si>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</si>
  <si>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</si>
  <si>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</si>
  <si>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</si>
  <si>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</si>
  <si>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</si>
  <si>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</si>
  <si>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</si>
  <si>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</si>
  <si>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</si>
  <si>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</si>
  <si>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</si>
  <si>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</si>
  <si>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</si>
  <si>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</si>
  <si>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</si>
  <si>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</si>
  <si>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</si>
  <si>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</si>
  <si>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</si>
  <si>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</si>
  <si>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</si>
  <si>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</si>
  <si>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</si>
  <si>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</si>
  <si>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</si>
  <si>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</si>
  <si>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</si>
  <si>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</si>
  <si>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</si>
  <si>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</si>
  <si>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</si>
  <si>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</si>
  <si>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</si>
  <si>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</si>
  <si>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</si>
  <si>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</si>
  <si>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</si>
  <si>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</si>
  <si>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</si>
  <si>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</si>
  <si>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</si>
  <si>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</si>
  <si>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</si>
  <si>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</si>
  <si>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</si>
  <si>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</si>
  <si>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</si>
  <si>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</si>
  <si>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</si>
  <si>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</si>
  <si>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</si>
  <si>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</si>
  <si>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</si>
  <si>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</si>
  <si>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</si>
  <si>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</si>
  <si>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</si>
  <si>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</si>
  <si>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</si>
  <si>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</si>
  <si>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</si>
  <si>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</si>
  <si>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</si>
  <si>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</si>
  <si>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</si>
  <si>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</si>
  <si>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</si>
  <si>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</si>
  <si>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</si>
  <si>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</si>
  <si>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</si>
  <si>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</si>
  <si>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</si>
  <si>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</si>
  <si>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</si>
  <si>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</si>
  <si>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</si>
  <si>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</si>
  <si>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</si>
  <si>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</si>
  <si>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</si>
  <si>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</si>
  <si>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</si>
  <si>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</si>
  <si>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</si>
  <si>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</si>
  <si>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</si>
  <si>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</si>
  <si>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</si>
  <si>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</si>
  <si>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</si>
  <si>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</si>
  <si>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</si>
  <si>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</si>
  <si>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</si>
  <si>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</si>
  <si>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</si>
  <si>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</si>
  <si>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</si>
  <si>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</si>
  <si>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</si>
  <si>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</si>
  <si>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</si>
  <si>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</si>
  <si>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</si>
  <si>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</si>
  <si>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</si>
  <si>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</si>
  <si>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</si>
  <si>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</si>
  <si>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</si>
  <si>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</si>
  <si>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</si>
  <si>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</si>
  <si>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</si>
  <si>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</si>
  <si>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</si>
  <si>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</si>
  <si>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</si>
  <si>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</si>
  <si>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</si>
  <si>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</si>
  <si>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</si>
  <si>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</si>
  <si>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</si>
  <si>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</si>
  <si>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</si>
  <si>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</si>
  <si>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</si>
  <si>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</si>
  <si>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</si>
  <si>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</si>
  <si>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</si>
  <si>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</si>
  <si>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</si>
  <si>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</si>
  <si>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</si>
  <si>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</si>
  <si>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</si>
  <si>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</si>
  <si>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</si>
  <si>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</si>
  <si>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</si>
  <si>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</si>
  <si>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</si>
  <si>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</si>
  <si>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</si>
  <si>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</si>
  <si>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</si>
  <si>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</si>
  <si>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</si>
  <si>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</si>
  <si>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</si>
  <si>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</si>
  <si>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</si>
  <si>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</si>
  <si>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</si>
  <si>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</si>
  <si>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</si>
  <si>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</si>
  <si>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</si>
  <si>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</si>
  <si>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</si>
  <si>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</si>
  <si>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</si>
  <si>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</si>
  <si>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</si>
  <si>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</si>
  <si>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</si>
  <si>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</si>
  <si>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</si>
  <si>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</si>
  <si>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</si>
  <si>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</si>
  <si>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</si>
  <si>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</si>
  <si>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</si>
  <si>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</si>
  <si>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</si>
  <si>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</si>
  <si>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</si>
  <si>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</si>
  <si>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</si>
  <si>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</si>
  <si>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</si>
  <si>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</si>
  <si>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</si>
  <si>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</si>
  <si>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</si>
  <si>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</si>
  <si>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</si>
  <si>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</si>
  <si>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</si>
  <si>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</si>
  <si>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</si>
  <si>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</si>
  <si>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</si>
  <si>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</si>
  <si>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</si>
  <si>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</si>
  <si>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</si>
  <si>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</si>
  <si>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</si>
  <si>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</si>
  <si>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</si>
  <si>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</si>
  <si>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</si>
  <si>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</si>
  <si>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</si>
  <si>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</si>
  <si>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</si>
  <si>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</si>
  <si>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</si>
  <si>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</si>
  <si>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</si>
  <si>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</si>
  <si>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</si>
  <si>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</si>
  <si>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</si>
  <si>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</si>
  <si>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</si>
  <si>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</si>
  <si>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</si>
  <si>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</si>
  <si>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</si>
  <si>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</si>
  <si>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</si>
  <si>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</si>
  <si>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</si>
  <si>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</si>
  <si>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</si>
  <si>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</si>
  <si>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</si>
  <si>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</si>
  <si>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</si>
  <si>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</si>
  <si>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</si>
  <si>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</si>
  <si>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</si>
  <si>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</si>
  <si>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</si>
  <si>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</si>
  <si>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</si>
  <si>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</si>
  <si>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</si>
  <si>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</si>
  <si>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</si>
  <si>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</si>
  <si>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</si>
  <si>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</si>
  <si>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</si>
  <si>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</si>
  <si>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</si>
  <si>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</si>
  <si>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</si>
  <si>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</si>
  <si>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</si>
  <si>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</si>
  <si>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</si>
  <si>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</si>
  <si>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</si>
  <si>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</si>
  <si>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</si>
  <si>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</si>
  <si>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</si>
  <si>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</si>
  <si>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</si>
  <si>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</si>
  <si>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</si>
  <si>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</si>
  <si>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</si>
  <si>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</si>
  <si>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</si>
  <si>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</si>
  <si>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</si>
  <si>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</si>
  <si>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</si>
  <si>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</si>
  <si>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</si>
  <si>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</si>
  <si>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</si>
  <si>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</si>
  <si>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</si>
  <si>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</si>
  <si>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</si>
  <si>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</si>
  <si>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</si>
  <si>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</si>
  <si>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</si>
  <si>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</si>
  <si>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</si>
  <si>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</si>
  <si>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</si>
  <si>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</si>
  <si>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</si>
  <si>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</si>
  <si>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</si>
  <si>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</si>
  <si>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</si>
  <si>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</si>
  <si>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</si>
  <si>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</si>
  <si>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</si>
  <si>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</si>
  <si>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</si>
  <si>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</si>
  <si>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</si>
  <si>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</si>
  <si>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</si>
  <si>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</si>
  <si>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</si>
  <si>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</si>
  <si>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</si>
  <si>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</si>
  <si>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</si>
  <si>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</si>
  <si>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</si>
  <si>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</si>
  <si>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</si>
  <si>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</si>
  <si>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</si>
  <si>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</si>
  <si>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</si>
  <si>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</si>
  <si>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</si>
  <si>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</si>
  <si>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</si>
  <si>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</si>
  <si>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</si>
  <si>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</si>
  <si>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</si>
  <si>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</si>
  <si>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</si>
  <si>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</si>
  <si>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</si>
  <si>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</si>
  <si>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</si>
  <si>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</si>
  <si>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</si>
  <si>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</si>
  <si>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</si>
  <si>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</si>
  <si>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</si>
  <si>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</si>
  <si>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</si>
  <si>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</si>
  <si>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</si>
  <si>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</si>
  <si>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</si>
  <si>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</si>
  <si>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</si>
  <si>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</si>
  <si>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</si>
  <si>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</si>
  <si>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</si>
  <si>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</si>
  <si>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</si>
  <si>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</si>
  <si>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</si>
  <si>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</si>
  <si>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</si>
  <si>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</si>
  <si>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</si>
  <si>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</si>
  <si>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</si>
  <si>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</si>
  <si>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</si>
  <si>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</si>
  <si>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</si>
  <si>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</si>
  <si>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</si>
  <si>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</si>
  <si>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</si>
  <si>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</si>
  <si>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</si>
  <si>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</si>
  <si>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</si>
  <si>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</si>
  <si>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</si>
  <si>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</si>
  <si>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</si>
  <si>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</si>
  <si>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</si>
  <si>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</si>
  <si>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</si>
  <si>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</si>
  <si>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</si>
  <si>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</si>
  <si>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</si>
  <si>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</si>
  <si>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</si>
  <si>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</si>
  <si>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</si>
  <si>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</si>
  <si>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</si>
  <si>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</si>
  <si>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</si>
  <si>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</si>
  <si>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</si>
  <si>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</si>
  <si>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</si>
  <si>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</si>
  <si>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</si>
  <si>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</si>
  <si>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</si>
  <si>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</si>
  <si>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</si>
  <si>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</si>
  <si>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</si>
  <si>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</si>
  <si>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</si>
  <si>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</si>
  <si>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</si>
  <si>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</si>
  <si>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</si>
  <si>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</si>
  <si>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</si>
  <si>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</si>
  <si>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</si>
  <si>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</si>
  <si>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</si>
  <si>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</si>
  <si>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</si>
  <si>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</si>
  <si>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</si>
  <si>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</si>
  <si>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</si>
  <si>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</si>
  <si>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</si>
  <si>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r>
      <rPr>
        <sz val="10"/>
        <color theme="9" tint="-0.249977111117893"/>
        <rFont val="宋体"/>
        <family val="3"/>
        <charset val="134"/>
      </rPr>
      <t>朝阳区双花园南里二区</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t>
    </r>
    <r>
      <rPr>
        <sz val="10"/>
        <color theme="9" tint="-0.249977111117893"/>
        <rFont val="宋体"/>
        <family val="3"/>
        <charset val="134"/>
      </rPr>
      <t>商业用房</t>
    </r>
    <phoneticPr fontId="6" type="noConversion"/>
  </si>
  <si>
    <t>居住项目</t>
  </si>
  <si>
    <t>无</t>
  </si>
  <si>
    <t>否</t>
  </si>
  <si>
    <t>现房</t>
  </si>
  <si>
    <t>通路</t>
  </si>
  <si>
    <t>通电</t>
  </si>
  <si>
    <t>通讯</t>
  </si>
  <si>
    <t>通上水</t>
  </si>
  <si>
    <t>通下水</t>
  </si>
  <si>
    <t>通热</t>
  </si>
  <si>
    <t>燃气</t>
  </si>
  <si>
    <t>是</t>
  </si>
  <si>
    <t>地上</t>
  </si>
  <si>
    <t>底商</t>
  </si>
  <si>
    <t>1层底商</t>
  </si>
  <si>
    <t>1层底商</t>
    <phoneticPr fontId="7" type="noConversion"/>
  </si>
  <si>
    <t>成新度</t>
  </si>
  <si>
    <t>收益法</t>
  </si>
  <si>
    <t>押二</t>
  </si>
  <si>
    <t>押一</t>
  </si>
  <si>
    <t>钢混</t>
  </si>
  <si>
    <t>非生产用房</t>
  </si>
  <si>
    <t>收益法 (元)</t>
  </si>
  <si>
    <t>自定义容积率</t>
  </si>
  <si>
    <t>项目模式</t>
  </si>
  <si>
    <t>售价</t>
  </si>
  <si>
    <t>挂牌</t>
  </si>
  <si>
    <t>挂牌</t>
    <phoneticPr fontId="30" type="noConversion"/>
  </si>
  <si>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</si>
  <si>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</si>
  <si>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</si>
  <si>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r>
      <t>10</t>
    </r>
    <r>
      <rPr>
        <sz val="11"/>
        <rFont val="宋体"/>
        <family val="3"/>
        <charset val="134"/>
      </rPr>
      <t>（含）以下</t>
    </r>
    <phoneticPr fontId="30" type="noConversion"/>
  </si>
  <si>
    <t>多面</t>
  </si>
  <si>
    <t>双面</t>
  </si>
  <si>
    <t>单面</t>
  </si>
  <si>
    <t>不临街</t>
  </si>
  <si>
    <t>好</t>
  </si>
  <si>
    <t>较好</t>
  </si>
  <si>
    <t>一般</t>
  </si>
  <si>
    <t>较差</t>
  </si>
  <si>
    <t>差</t>
  </si>
  <si>
    <t>大</t>
  </si>
  <si>
    <t>较大</t>
  </si>
  <si>
    <t>较小</t>
  </si>
  <si>
    <t>小</t>
  </si>
  <si>
    <r>
      <t>1-2</t>
    </r>
    <r>
      <rPr>
        <sz val="11"/>
        <color indexed="8"/>
        <rFont val="宋体"/>
        <family val="3"/>
        <charset val="134"/>
      </rPr>
      <t>层</t>
    </r>
    <phoneticPr fontId="134"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</si>
  <si>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</si>
  <si>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</si>
  <si>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</si>
  <si>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</si>
  <si>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</si>
  <si>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</si>
  <si>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</si>
  <si>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</si>
  <si>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</si>
  <si>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</si>
  <si>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</si>
  <si>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</si>
  <si>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</si>
  <si>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七通</t>
    <phoneticPr fontId="30" type="noConversion"/>
  </si>
  <si>
    <t>六通</t>
    <phoneticPr fontId="30" type="noConversion"/>
  </si>
  <si>
    <t>五通</t>
  </si>
  <si>
    <t>五通</t>
    <phoneticPr fontId="30" type="noConversion"/>
  </si>
  <si>
    <t>四通</t>
    <phoneticPr fontId="30" type="noConversion"/>
  </si>
  <si>
    <t>三通</t>
    <phoneticPr fontId="30" type="noConversion"/>
  </si>
  <si>
    <t>标准层高</t>
  </si>
  <si>
    <t>标准层高</t>
    <phoneticPr fontId="30" type="noConversion"/>
  </si>
  <si>
    <t>正常</t>
  </si>
  <si>
    <t>商业</t>
    <phoneticPr fontId="30" type="noConversion"/>
  </si>
  <si>
    <t>比较法-商业</t>
  </si>
  <si>
    <t>收益比率</t>
  </si>
  <si>
    <t>楼面单价</t>
  </si>
  <si>
    <t>面积</t>
    <phoneticPr fontId="134" type="noConversion"/>
  </si>
  <si>
    <t>租期</t>
    <phoneticPr fontId="134" type="noConversion"/>
  </si>
  <si>
    <t>年租金</t>
    <phoneticPr fontId="134" type="noConversion"/>
  </si>
  <si>
    <t>物业费</t>
    <phoneticPr fontId="134" type="noConversion"/>
  </si>
  <si>
    <r>
      <t>2</t>
    </r>
    <r>
      <rPr>
        <sz val="11"/>
        <color theme="1"/>
        <rFont val="宋体"/>
        <family val="3"/>
        <charset val="134"/>
        <scheme val="minor"/>
      </rPr>
      <t>017/1/1-2027/4/14</t>
    </r>
    <phoneticPr fontId="134" type="noConversion"/>
  </si>
  <si>
    <t>含物业费</t>
    <phoneticPr fontId="134" type="noConversion"/>
  </si>
  <si>
    <t>日租金</t>
    <phoneticPr fontId="134" type="noConversion"/>
  </si>
  <si>
    <t>租期(年）</t>
    <phoneticPr fontId="134" type="noConversion"/>
  </si>
  <si>
    <r>
      <t>2</t>
    </r>
    <r>
      <rPr>
        <sz val="11"/>
        <color theme="1"/>
        <rFont val="宋体"/>
        <family val="3"/>
        <charset val="134"/>
        <scheme val="minor"/>
      </rPr>
      <t>017/1/1-2017/12/31</t>
    </r>
    <phoneticPr fontId="134" type="noConversion"/>
  </si>
  <si>
    <t>2018/1/1-2018/12/31</t>
    <phoneticPr fontId="134" type="noConversion"/>
  </si>
  <si>
    <t>2019/1/1-2019/12/31</t>
    <phoneticPr fontId="134" type="noConversion"/>
  </si>
  <si>
    <t>2020/1/1-2020/12/31</t>
    <phoneticPr fontId="134" type="noConversion"/>
  </si>
  <si>
    <t>2021/1/1-2021/12/31</t>
    <phoneticPr fontId="134" type="noConversion"/>
  </si>
  <si>
    <t>2022/1/1-2022/12/31</t>
    <phoneticPr fontId="134" type="noConversion"/>
  </si>
  <si>
    <t>2023/1/1-2023/12/31</t>
    <phoneticPr fontId="134" type="noConversion"/>
  </si>
  <si>
    <t>2024/1/1-2024/12/31</t>
    <phoneticPr fontId="134" type="noConversion"/>
  </si>
  <si>
    <t>2025/1/1-2025/12/31</t>
    <phoneticPr fontId="134" type="noConversion"/>
  </si>
  <si>
    <t>2026/1/1-2026/12/31</t>
    <phoneticPr fontId="134" type="noConversion"/>
  </si>
  <si>
    <t>2027/1/1-2027/4/14</t>
    <phoneticPr fontId="134" type="noConversion"/>
  </si>
  <si>
    <r>
      <t>C</t>
    </r>
    <r>
      <rPr>
        <sz val="11"/>
        <color theme="1"/>
        <rFont val="宋体"/>
        <family val="3"/>
        <charset val="134"/>
        <scheme val="minor"/>
      </rPr>
      <t>BD总部公寓三期</t>
    </r>
    <phoneticPr fontId="134" type="noConversion"/>
  </si>
  <si>
    <t>楼层</t>
    <phoneticPr fontId="134" type="noConversion"/>
  </si>
  <si>
    <t>面积</t>
    <phoneticPr fontId="134" type="noConversion"/>
  </si>
  <si>
    <t>租金</t>
    <phoneticPr fontId="134" type="noConversion"/>
  </si>
  <si>
    <t>1层</t>
  </si>
  <si>
    <t>1层</t>
    <phoneticPr fontId="134" type="noConversion"/>
  </si>
  <si>
    <t>售价</t>
    <phoneticPr fontId="134" type="noConversion"/>
  </si>
  <si>
    <t>临街，市政供暖，无燃气</t>
    <phoneticPr fontId="134" type="noConversion"/>
  </si>
  <si>
    <t>临街，市政供暖，无燃气</t>
    <phoneticPr fontId="134" type="noConversion"/>
  </si>
  <si>
    <t>富力城</t>
    <phoneticPr fontId="134" type="noConversion"/>
  </si>
  <si>
    <r>
      <t>1</t>
    </r>
    <r>
      <rPr>
        <sz val="11"/>
        <color theme="1"/>
        <rFont val="宋体"/>
        <family val="3"/>
        <charset val="134"/>
        <scheme val="minor"/>
      </rPr>
      <t>-2层</t>
    </r>
    <phoneticPr fontId="134" type="noConversion"/>
  </si>
  <si>
    <t>双花园南里一区花光北一街商铺</t>
    <phoneticPr fontId="134" type="noConversion"/>
  </si>
  <si>
    <t>双花园南里一区</t>
    <phoneticPr fontId="134" type="noConversion"/>
  </si>
  <si>
    <t>1-2层</t>
    <phoneticPr fontId="134" type="noConversion"/>
  </si>
  <si>
    <t>1-2层</t>
  </si>
  <si>
    <t>1-2层</t>
    <phoneticPr fontId="134" type="noConversion"/>
  </si>
  <si>
    <t>临街，市政供暖，无燃气</t>
    <phoneticPr fontId="134" type="noConversion"/>
  </si>
  <si>
    <t>价值时点</t>
    <phoneticPr fontId="3" type="noConversion"/>
  </si>
  <si>
    <t>租赁终止日期</t>
    <phoneticPr fontId="3" type="noConversion"/>
  </si>
  <si>
    <t>剩余租赁期</t>
    <phoneticPr fontId="3" type="noConversion"/>
  </si>
  <si>
    <t>需扣减承租人权益</t>
  </si>
  <si>
    <t>一般</t>
    <phoneticPr fontId="30" type="noConversion"/>
  </si>
  <si>
    <t>富力城D区</t>
    <phoneticPr fontId="134" type="noConversion"/>
  </si>
  <si>
    <r>
      <rPr>
        <sz val="11"/>
        <color theme="9" tint="-0.249977111117893"/>
        <rFont val="宋体"/>
        <family val="3"/>
        <charset val="134"/>
      </rPr>
      <t>富力城</t>
    </r>
    <r>
      <rPr>
        <sz val="11"/>
        <color theme="9" tint="-0.249977111117893"/>
        <rFont val="Arial"/>
        <family val="2"/>
      </rPr>
      <t>D</t>
    </r>
    <r>
      <rPr>
        <sz val="11"/>
        <color theme="9" tint="-0.249977111117893"/>
        <rFont val="宋体"/>
        <family val="3"/>
        <charset val="134"/>
      </rPr>
      <t>区</t>
    </r>
    <phoneticPr fontId="30" type="noConversion"/>
  </si>
  <si>
    <t>东环国际</t>
    <phoneticPr fontId="134" type="noConversion"/>
  </si>
  <si>
    <t>较好</t>
    <phoneticPr fontId="30" type="noConversion"/>
  </si>
  <si>
    <t>支路</t>
    <phoneticPr fontId="30" type="noConversion"/>
  </si>
  <si>
    <t>次干道</t>
    <phoneticPr fontId="30" type="noConversion"/>
  </si>
  <si>
    <t>主干道</t>
    <phoneticPr fontId="30" type="noConversion"/>
  </si>
  <si>
    <t>临路状况</t>
    <phoneticPr fontId="30" type="noConversion"/>
  </si>
  <si>
    <t>高速路</t>
    <phoneticPr fontId="30" type="noConversion"/>
  </si>
  <si>
    <t>快速路</t>
    <phoneticPr fontId="30" type="noConversion"/>
  </si>
  <si>
    <t>支路</t>
    <phoneticPr fontId="30" type="noConversion"/>
  </si>
  <si>
    <t>东环国际</t>
    <phoneticPr fontId="30" type="noConversion"/>
  </si>
  <si>
    <r>
      <rPr>
        <sz val="11"/>
        <color theme="9" tint="-0.249977111117893"/>
        <rFont val="宋体"/>
        <family val="3"/>
        <charset val="134"/>
      </rPr>
      <t>富力城</t>
    </r>
    <r>
      <rPr>
        <sz val="11"/>
        <color theme="9" tint="-0.249977111117893"/>
        <rFont val="Arial"/>
        <family val="2"/>
      </rPr>
      <t>D</t>
    </r>
    <r>
      <rPr>
        <sz val="11"/>
        <color theme="9" tint="-0.249977111117893"/>
        <rFont val="宋体"/>
        <family val="3"/>
        <charset val="134"/>
      </rPr>
      <t>区</t>
    </r>
    <phoneticPr fontId="30" type="noConversion"/>
  </si>
  <si>
    <t>不临65条商业街</t>
  </si>
  <si>
    <t>楼层修正</t>
  </si>
  <si>
    <t>与级别开发程度不一致</t>
  </si>
  <si>
    <t>未包含在土地购买价格中</t>
  </si>
  <si>
    <t>全部缴纳</t>
  </si>
  <si>
    <t>已包含在土地取得成本中</t>
  </si>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</sst>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269"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2" fontId="0" fillId="0" borderId="0" xfId="0" applyNumberFormat="1">
      <alignment vertical="center"/>
    </xf>
    <xf numFmtId="1" fontId="95" fillId="0" borderId="0" xfId="0" applyNumberFormat="1" applyFont="1">
      <alignment vertical="center"/>
    </xf>
    <xf numFmtId="196" fontId="0" fillId="0" borderId="0" xfId="0" applyNumberFormat="1">
      <alignment vertical="center"/>
    </xf>
    <xf numFmtId="14"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637462</xdr:colOff>
      <xdr:row>18</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04762" cy="3171429"/>
        </a:xfrm>
        <a:prstGeom prst="rect">
          <a:avLst/>
        </a:prstGeom>
      </xdr:spPr>
    </xdr:pic>
    <xdr:clientData/>
  </xdr:twoCellAnchor>
  <xdr:twoCellAnchor editAs="oneCell">
    <xdr:from>
      <xdr:col>8</xdr:col>
      <xdr:colOff>47625</xdr:colOff>
      <xdr:row>0</xdr:row>
      <xdr:rowOff>0</xdr:rowOff>
    </xdr:from>
    <xdr:to>
      <xdr:col>16</xdr:col>
      <xdr:colOff>570749</xdr:colOff>
      <xdr:row>23</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6391275" y="0"/>
          <a:ext cx="6009524" cy="4066667"/>
        </a:xfrm>
        <a:prstGeom prst="rect">
          <a:avLst/>
        </a:prstGeom>
      </xdr:spPr>
    </xdr:pic>
    <xdr:clientData/>
  </xdr:twoCellAnchor>
  <xdr:twoCellAnchor editAs="oneCell">
    <xdr:from>
      <xdr:col>8</xdr:col>
      <xdr:colOff>0</xdr:colOff>
      <xdr:row>24</xdr:row>
      <xdr:rowOff>0</xdr:rowOff>
    </xdr:from>
    <xdr:to>
      <xdr:col>16</xdr:col>
      <xdr:colOff>418362</xdr:colOff>
      <xdr:row>32</xdr:row>
      <xdr:rowOff>18876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4114800"/>
          <a:ext cx="5904762" cy="1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14286" cy="4609524"/>
        </a:xfrm>
        <a:prstGeom prst="rect">
          <a:avLst/>
        </a:prstGeom>
      </xdr:spPr>
    </xdr:pic>
    <xdr:clientData/>
  </xdr:twoCellAnchor>
  <xdr:twoCellAnchor editAs="oneCell">
    <xdr:from>
      <xdr:col>0</xdr:col>
      <xdr:colOff>0</xdr:colOff>
      <xdr:row>27</xdr:row>
      <xdr:rowOff>0</xdr:rowOff>
    </xdr:from>
    <xdr:to>
      <xdr:col>17</xdr:col>
      <xdr:colOff>665210</xdr:colOff>
      <xdr:row>59</xdr:row>
      <xdr:rowOff>132648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2323810"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北京市朝阳区双花园南里二区9号楼1层12商业用房房地产抵押价值预评估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受贵公司委托，我公司对北京市朝阳区双花园南里二区9号楼1层12商业用房房地产抵押价值进行了预评估。</v>
      </c>
    </row>
    <row r="7" spans="1:2" s="1202" customFormat="1">
      <c r="A7" s="1200" t="s">
        <v>566</v>
      </c>
      <c r="B7" s="1201" t="str">
        <f>'预评函-1'!A7</f>
        <v>估价对象为北京市朝阳区双花园南里二区9号楼1层12商业用房房地产，为所有。根据《国有土地使用证》[]，估价对象（分摊）出让国有建设用地使用权面积为0平方米，建筑面积为1056.2平方米。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双花园南里二区9号楼1层12商业用房房地产,属开发建设的居住项目，该项目尚在开发建设中。根据《国有土地使用证》[]，估价对象（分摊）出让国有建设用地使用权面积为0平方米，规划建筑面积为1056.2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2023年8月25日（评估专业人员实地查勘之日）</v>
      </c>
    </row>
    <row r="13" spans="1:2" s="1202" customFormat="1">
      <c r="A13" s="1200" t="s">
        <v>529</v>
      </c>
      <c r="B13" s="120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5392</v>
      </c>
    </row>
    <row r="21" spans="1:2" s="1202" customFormat="1">
      <c r="A21" s="1200" t="s">
        <v>537</v>
      </c>
      <c r="B21" s="1201">
        <f ca="1">'预评函-2'!D7</f>
        <v>51051</v>
      </c>
    </row>
    <row r="22" spans="1:2" s="1202" customFormat="1">
      <c r="A22" s="1200" t="s">
        <v>538</v>
      </c>
      <c r="B22" s="1201" t="str">
        <f ca="1">'预评函-2'!D6</f>
        <v>伍仟叁佰玖拾贰万元整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5392</v>
      </c>
    </row>
    <row r="31" spans="1:2" s="1202" customFormat="1">
      <c r="A31" s="1200" t="s">
        <v>576</v>
      </c>
      <c r="B31" s="1201">
        <f ca="1">'预评函-2'!D15</f>
        <v>51051</v>
      </c>
    </row>
    <row r="32" spans="1:2" s="1202" customFormat="1">
      <c r="A32" s="1200" t="s">
        <v>543</v>
      </c>
      <c r="B32" s="1201" t="str">
        <f ca="1">'预评函-2'!D14</f>
        <v>伍仟叁佰玖拾贰万元整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北京市朝阳区双花园南里二区9号楼1层12商业用房房地产</v>
      </c>
    </row>
    <row r="42" spans="1:2" s="1202" customFormat="1">
      <c r="A42" s="1200" t="s">
        <v>590</v>
      </c>
      <c r="B42" s="1201" t="str">
        <f>'预评函-3'!B2</f>
        <v>建筑面积</v>
      </c>
    </row>
    <row r="43" spans="1:2" s="1202" customFormat="1">
      <c r="A43" s="1200" t="s">
        <v>591</v>
      </c>
      <c r="B43" s="1201">
        <f>'预评函-3'!B4</f>
        <v>1056.2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4119</v>
      </c>
    </row>
    <row r="48" spans="1:2" s="1202" customFormat="1">
      <c r="A48" s="1200" t="s">
        <v>549</v>
      </c>
      <c r="B48" s="1201">
        <f ca="1">'预评函-3'!E4</f>
        <v>39003</v>
      </c>
    </row>
    <row r="49" spans="1:2" s="1202" customFormat="1">
      <c r="A49" s="1200" t="s">
        <v>550</v>
      </c>
      <c r="B49" s="1201" t="str">
        <f ca="1">'预评函-3'!D5</f>
        <v>肆仟壹佰壹拾玖万元整</v>
      </c>
    </row>
    <row r="50" spans="1:2" s="1202" customFormat="1">
      <c r="A50" s="1200" t="s">
        <v>574</v>
      </c>
      <c r="B50" s="1201" t="str">
        <f>'预评函-3'!F2</f>
        <v>在建建筑物价值</v>
      </c>
    </row>
    <row r="51" spans="1:2" s="1202" customFormat="1">
      <c r="A51" s="1200" t="s">
        <v>551</v>
      </c>
      <c r="B51" s="1201">
        <f ca="1">'预评函-3'!F4</f>
        <v>1273</v>
      </c>
    </row>
    <row r="52" spans="1:2" s="1202" customFormat="1">
      <c r="A52" s="1200" t="s">
        <v>552</v>
      </c>
      <c r="B52" s="1201">
        <f ca="1">'预评函-3'!G4</f>
        <v>12048</v>
      </c>
    </row>
    <row r="53" spans="1:2" s="1202" customFormat="1">
      <c r="A53" s="1200" t="s">
        <v>580</v>
      </c>
      <c r="B53" s="1201" t="str">
        <f ca="1">'预评函-3'!F5</f>
        <v>壹仟贰佰柒拾叁万元整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3" t="s">
        <v>385</v>
      </c>
      <c r="C54" s="1550" t="s">
        <v>583</v>
      </c>
    </row>
    <row r="55" spans="1:4">
      <c r="A55" s="3504"/>
      <c r="B55" s="1553" t="s">
        <v>386</v>
      </c>
      <c r="C55" s="1550" t="s">
        <v>584</v>
      </c>
    </row>
    <row r="56" spans="1:4">
      <c r="A56" s="3504"/>
      <c r="B56" s="1553" t="s">
        <v>387</v>
      </c>
      <c r="C56" s="1550" t="s">
        <v>588</v>
      </c>
    </row>
    <row r="57" spans="1:4">
      <c r="A57" s="350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5" t="s">
        <v>2584</v>
      </c>
      <c r="J2" s="3505"/>
      <c r="K2" s="3505"/>
      <c r="L2" s="3505"/>
      <c r="M2" s="3505"/>
      <c r="N2" s="3505"/>
      <c r="O2" s="3505"/>
      <c r="P2" s="3505"/>
      <c r="Q2" s="3505"/>
      <c r="R2" s="3505"/>
    </row>
    <row r="3" spans="1:18">
      <c r="A3" s="3019" t="s">
        <v>2505</v>
      </c>
      <c r="B3" s="3020">
        <f>项目基本情况!D3</f>
        <v>45163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3.32</v>
      </c>
      <c r="D5" s="3024">
        <f>IF(ISERROR(ROUND(POWER(1+E5,A5-C5)*(POWER(1+E5,C5)-1)/(POWER(1+E5,A5)-1),3)),0,ROUND(POWER(1+E5,A5-C5)*(POWER(1+E5,C5)-1)/(POWER(1+E5,A5)-1),4))</f>
        <v>0.1542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13.32</v>
      </c>
      <c r="D6" s="3024">
        <f>IF(ISERROR(ROUND(POWER(1+E6,A6-C6)*(POWER(1+E6,C6)-1)/(POWER(1+E6,A6)-1),3)),0,ROUND(POWER(1+E6,A6-C6)*(POWER(1+E6,C6)-1)/(POWER(1+E6,A6)-1),4))</f>
        <v>0.47360000000000002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33.340000000000003</v>
      </c>
      <c r="D7" s="3024">
        <f>IF(ISERROR(ROUND(POWER(1+E7,A7-C7)*(POWER(1+E7,C7)-1)/(POWER(1+E7,A7)-1),3)),0,ROUND(POWER(1+E7,A7-C7)*(POWER(1+E7,C7)-1)/(POWER(1+E7,A7)-1),4))</f>
        <v>0.77959999999999996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4" t="str">
        <f>IF(B10="北京市","北京市",C10)&amp;F10&amp;IF(结果表!G1="在建","出让国有建设用地使用权及在建建筑物",IF(结果表!G1="土地","出让国有建设用地使用权",))&amp;B9&amp;"预评估"</f>
        <v>北京市朝阳区双花园南里二区9号楼1层12商业用房房地产抵押价值预评估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北京市朝阳区双花园南里二区9号楼1层12商业用房房地产抵押价值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北京市朝阳区双花园南里二区9号楼1层12商业用房房地产</v>
      </c>
      <c r="T2" s="1744"/>
      <c r="U2" s="1744"/>
      <c r="V2" s="1744"/>
      <c r="W2" s="1744"/>
      <c r="X2" s="1744"/>
      <c r="Y2" s="1744"/>
      <c r="Z2" s="1744"/>
      <c r="AA2" s="1744"/>
      <c r="AB2" s="1744"/>
    </row>
    <row r="3" spans="1:30">
      <c r="A3" s="302" t="s">
        <v>2170</v>
      </c>
      <c r="B3" s="2372">
        <v>45163</v>
      </c>
      <c r="C3" s="2373" t="s">
        <v>2171</v>
      </c>
      <c r="D3" s="2372">
        <f>B3</f>
        <v>45163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7"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18"/>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t="s">
        <v>3383</v>
      </c>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5">
        <v>63619</v>
      </c>
      <c r="D13" s="855">
        <v>52662</v>
      </c>
      <c r="E13" s="855"/>
      <c r="F13" s="855"/>
      <c r="G13" s="855"/>
      <c r="H13" s="855"/>
      <c r="I13" s="855"/>
      <c r="J13" s="3061"/>
      <c r="K13" s="2612"/>
      <c r="L13" s="2612"/>
      <c r="M13" s="2438"/>
      <c r="N13" s="2449"/>
      <c r="O13" s="2438"/>
      <c r="P13" s="2438"/>
      <c r="Q13" s="2438"/>
      <c r="AD13" s="1744"/>
    </row>
    <row r="14" spans="1:30">
      <c r="A14" s="1080"/>
      <c r="B14" s="2406" t="s">
        <v>2191</v>
      </c>
      <c r="C14" s="2407">
        <v>70</v>
      </c>
      <c r="D14" s="2407">
        <v>40</v>
      </c>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50.56</v>
      </c>
      <c r="D15" s="2409">
        <f>IF(A13="出让",IF(D13="","",ROUNDDOWN(MIN((D13-$D$3)/365,D14),2)),D14)</f>
        <v>20.54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4"/>
      <c r="C16" s="3525"/>
      <c r="D16" s="3526"/>
      <c r="E16" s="2412" t="s">
        <v>2194</v>
      </c>
      <c r="F16" s="3527"/>
      <c r="G16" s="3528"/>
      <c r="H16" s="3528"/>
      <c r="I16" s="3529"/>
      <c r="J16" s="2438"/>
      <c r="K16" s="2616"/>
      <c r="L16" s="2450"/>
      <c r="M16" s="2450"/>
      <c r="N16" s="2508"/>
      <c r="O16" s="2450"/>
      <c r="P16" s="2508"/>
      <c r="Q16" s="2438"/>
      <c r="R16" s="2438"/>
    </row>
    <row r="17" spans="1:28">
      <c r="A17" s="313" t="s">
        <v>2195</v>
      </c>
      <c r="B17" s="302" t="s">
        <v>2196</v>
      </c>
      <c r="C17" s="8">
        <f>'数据-汇总表'!E3</f>
        <v>1056.2</v>
      </c>
      <c r="D17" s="2321" t="s">
        <v>2197</v>
      </c>
      <c r="E17" s="3530" t="s">
        <v>2198</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3" t="s">
        <v>2202</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0" t="s">
        <v>2206</v>
      </c>
      <c r="C20" s="3521"/>
      <c r="D20" s="3522" t="s">
        <v>2207</v>
      </c>
      <c r="E20" s="3523"/>
      <c r="F20" s="2646" t="s">
        <v>1056</v>
      </c>
      <c r="G20" s="2663"/>
      <c r="H20" s="2663"/>
      <c r="I20" s="2663"/>
      <c r="J20" s="2438"/>
      <c r="K20" s="351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7" t="s">
        <v>2214</v>
      </c>
      <c r="B27" s="320" t="s">
        <v>2215</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7"/>
      <c r="B28" s="302" t="s">
        <v>2216</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7"/>
      <c r="B29" s="302" t="s">
        <v>2217</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8"/>
      <c r="B30" s="302" t="s">
        <v>2218</v>
      </c>
      <c r="C30" s="3509"/>
      <c r="D30" s="3510"/>
      <c r="E30" s="2663"/>
      <c r="F30" s="2663"/>
      <c r="G30" s="2663"/>
      <c r="H30" s="2663"/>
      <c r="I30" s="2663"/>
      <c r="J30" s="2438"/>
      <c r="K30" s="2615"/>
      <c r="L30" s="2612"/>
      <c r="M30" s="2612"/>
      <c r="N30" s="2438"/>
      <c r="O30" s="2449"/>
      <c r="P30" s="2438"/>
      <c r="Q30" s="2438"/>
      <c r="R30" s="2438"/>
      <c r="S30" s="2438"/>
      <c r="T30" s="2438"/>
      <c r="U30" s="2438"/>
      <c r="V30" s="2438"/>
    </row>
    <row r="31" spans="1:28">
      <c r="A31" s="3511" t="s">
        <v>2219</v>
      </c>
      <c r="B31" s="2421" t="s">
        <v>3387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t="s">
        <v>3388</v>
      </c>
      <c r="C34" s="2025" t="s">
        <v>3389</v>
      </c>
      <c r="D34" s="2025" t="s">
        <v>3390</v>
      </c>
      <c r="E34" s="2025" t="s">
        <v>3391</v>
      </c>
      <c r="F34" s="2025" t="s">
        <v>3392</v>
      </c>
      <c r="G34" s="2025" t="s">
        <v>3393</v>
      </c>
      <c r="H34" s="2025" t="s">
        <v>3394</v>
      </c>
      <c r="I34" s="2663"/>
      <c r="J34" s="2438"/>
      <c r="K34" s="2426">
        <f>COUNTIF(B34:H34,"——")</f>
        <v>0</v>
      </c>
      <c r="L34" s="323" t="s">
        <v>2221</v>
      </c>
      <c r="M34" s="323" t="s">
        <v>2222</v>
      </c>
      <c r="N34" s="323" t="s">
        <v>2223</v>
      </c>
      <c r="O34" s="323" t="s">
        <v>2224</v>
      </c>
      <c r="P34" s="323" t="s">
        <v>2225</v>
      </c>
      <c r="Q34" s="323" t="s">
        <v>2226</v>
      </c>
      <c r="R34" s="323" t="s">
        <v>2227</v>
      </c>
      <c r="S34" s="3506" t="s">
        <v>2228</v>
      </c>
      <c r="T34" s="2427" t="str">
        <f>NUMBERSTRING(7-K34,1)&amp;"通"</f>
        <v>七通</v>
      </c>
      <c r="U34" s="2438"/>
      <c r="V34" s="2438"/>
    </row>
    <row r="35" spans="1:30">
      <c r="A35" s="2428"/>
      <c r="B35" s="3513" t="s">
        <v>2229</v>
      </c>
      <c r="C35" s="3513"/>
      <c r="D35" s="3513"/>
      <c r="E35" s="351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6"/>
      <c r="T35" s="329" t="str">
        <f>IF(T34="一通",L35,IF(T34="二通",M35,IF(T34="三通",N35,IF(T34="四通",O35,IF(T34="五通",P35,IF(T34="六通",Q35,R35))))))</f>
        <v>通路、通电、通讯、通上水、通下水、通热、燃气</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194</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1056.2</v>
      </c>
      <c r="H5" s="13">
        <f t="shared" ref="H5:AT5" si="0">SUM(H13:H656)</f>
        <v>1056.2</v>
      </c>
      <c r="I5" s="13">
        <f t="shared" si="0"/>
        <v>1056.2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1056.2</v>
      </c>
      <c r="BA5" s="15">
        <f t="shared" si="1"/>
        <v>1056.2</v>
      </c>
      <c r="BB5" s="15">
        <f t="shared" si="1"/>
        <v>1056.2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3396</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3397</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3395</v>
      </c>
      <c r="E13" s="13">
        <f>IF($C$3="是",ROUND($A$3*G13/$B$3,2),ROUND($A$3*(G13-AT13)/$B$3,2))</f>
        <v>0</v>
      </c>
      <c r="F13" s="29"/>
      <c r="G13" s="30">
        <f>H13+AC13+AT13</f>
        <v>1056.2</v>
      </c>
      <c r="H13" s="17">
        <f>SUMIF(I$12:AB$12,"总值",I13:AB13)</f>
        <v>1056.2</v>
      </c>
      <c r="I13" s="1625">
        <v>1056.2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1056.2</v>
      </c>
      <c r="BA13" s="13">
        <f>SUM(BB13:BK13)</f>
        <v>1056.2</v>
      </c>
      <c r="BB13" s="13">
        <f>IF($D13="是",I13-J13,0)</f>
        <v>1056.2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5" t="s">
        <v>1131</v>
      </c>
      <c r="B2" s="3545"/>
      <c r="C2" s="3545"/>
      <c r="D2" s="795" t="s">
        <v>1107</v>
      </c>
      <c r="E2" s="1638" t="s">
        <v>1108</v>
      </c>
      <c r="F2" s="2658"/>
      <c r="G2" s="2649"/>
      <c r="H2" s="2650"/>
      <c r="I2" s="2324" t="s">
        <v>1132</v>
      </c>
      <c r="J2" s="2658"/>
      <c r="K2" s="2658"/>
      <c r="L2" s="2658"/>
      <c r="M2" s="2658"/>
      <c r="N2" s="2660"/>
      <c r="O2" s="2658"/>
      <c r="P2" s="2658"/>
    </row>
    <row r="3" spans="1:16" ht="15.75" thickBot="1">
      <c r="A3" s="3546" t="s">
        <v>1105</v>
      </c>
      <c r="B3" s="3546"/>
      <c r="C3" s="3546"/>
      <c r="D3" s="43">
        <f>'数据-基础表'!AY6</f>
        <v>0</v>
      </c>
      <c r="E3" s="43">
        <f>'数据-基础表'!AZ5</f>
        <v>1056.2</v>
      </c>
      <c r="F3" s="2658"/>
      <c r="G3" s="1144"/>
      <c r="H3" s="1025" t="s">
        <v>1106</v>
      </c>
      <c r="I3" s="854" t="e">
        <f>ROUND('数据-基础表'!B3/'数据-基础表'!A3,2)</f>
        <v>#DIV/0!</v>
      </c>
      <c r="J3" s="2658"/>
      <c r="K3" s="2658"/>
      <c r="L3" s="2658"/>
      <c r="M3" s="2658"/>
      <c r="N3" s="2660"/>
      <c r="O3" s="2658"/>
      <c r="P3" s="2658"/>
    </row>
    <row r="4" spans="1:16" ht="15">
      <c r="A4" s="3547"/>
      <c r="B4" s="3548"/>
      <c r="C4" s="3549"/>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0" t="s">
        <v>1111</v>
      </c>
      <c r="C6" s="3550"/>
      <c r="D6" s="45">
        <f>ROUND($D$3*E6/$E$3,2)</f>
        <v>0</v>
      </c>
      <c r="E6" s="46">
        <f>E3-E5</f>
        <v>1056.2</v>
      </c>
      <c r="F6" s="2658"/>
      <c r="G6" s="2652" t="s">
        <v>1112</v>
      </c>
      <c r="H6" s="1145" t="s">
        <v>1113</v>
      </c>
      <c r="I6" s="2653" t="e">
        <f>ROUND(F31/D31,2)</f>
        <v>#DIV/0!</v>
      </c>
      <c r="J6" s="2658"/>
      <c r="K6" s="2658"/>
      <c r="L6" s="2658"/>
      <c r="M6" s="2658"/>
      <c r="N6" s="2658"/>
      <c r="O6" s="2658"/>
      <c r="P6" s="2658"/>
    </row>
    <row r="7" spans="1:16" ht="15.75" thickBot="1">
      <c r="A7" s="3542"/>
      <c r="B7" s="3543"/>
      <c r="C7" s="3544"/>
      <c r="D7" s="1640" t="s">
        <v>1107</v>
      </c>
      <c r="E7" s="1644"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1056.2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1056.2</v>
      </c>
      <c r="F16" s="2658"/>
      <c r="G16" s="2659"/>
      <c r="H16" s="1647" t="s">
        <v>1135</v>
      </c>
      <c r="I16" s="1648"/>
      <c r="J16" s="1138"/>
      <c r="K16" s="3539" t="s">
        <v>1135</v>
      </c>
      <c r="L16" s="3540"/>
      <c r="M16" s="3540"/>
      <c r="N16" s="3540"/>
      <c r="O16" s="3540"/>
      <c r="P16" s="3541"/>
    </row>
    <row r="17" spans="1:19" ht="15">
      <c r="A17" s="1649" t="s">
        <v>1136</v>
      </c>
      <c r="B17" s="1650" t="s">
        <v>1137</v>
      </c>
      <c r="C17" s="1651" t="s">
        <v>1138</v>
      </c>
      <c r="D17" s="1652" t="s">
        <v>1126</v>
      </c>
      <c r="E17" s="1653" t="s">
        <v>1127</v>
      </c>
      <c r="F17" s="1654"/>
      <c r="G17" s="1655"/>
      <c r="H17" s="1656" t="s">
        <v>1139</v>
      </c>
      <c r="I17" s="1657" t="s">
        <v>1124</v>
      </c>
      <c r="J17" s="1138"/>
      <c r="K17" s="3536" t="s">
        <v>1140</v>
      </c>
      <c r="L17" s="3537"/>
      <c r="M17" s="3538"/>
      <c r="N17" s="3536" t="s">
        <v>1141</v>
      </c>
      <c r="O17" s="3537"/>
      <c r="P17" s="353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3399</v>
      </c>
      <c r="D19" s="45">
        <f>ROUND($D$3*E19/$E$3,2)</f>
        <v>0</v>
      </c>
      <c r="E19" s="53">
        <f t="shared" ref="E19:E26" si="1">SUM(F19:G19)</f>
        <v>1056.2</v>
      </c>
      <c r="F19" s="2794">
        <f>'数据-基础表'!I13</f>
        <v>1056.2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1056.2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1056.2</v>
      </c>
      <c r="F27" s="1139">
        <f>IF(SUM(F19:F26)=E8,SUM(F19:F26),"地上面积有误")</f>
        <v>1056.2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1056.2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1056.2</v>
      </c>
      <c r="F31" s="676">
        <f>F27+F30</f>
        <v>1056.2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10.875" style="1681" customWidth="1"/>
    <col min="26" max="26" width="12.2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1层底商</v>
      </c>
      <c r="B6" s="1712" t="str">
        <f>IF(A6=0,"","经营性")</f>
        <v>经营性</v>
      </c>
      <c r="C6" s="1713" t="s">
        <v>673</v>
      </c>
      <c r="D6" s="857">
        <f>SUMIF(项目基本情况!C$12:I$12,C6,项目基本情况!C$14:I$14)</f>
        <v>40</v>
      </c>
      <c r="E6" s="856">
        <f>IF(B6="","",SUMIF(项目基本情况!C$12:I$12,C6,项目基本情况!C$13:I$13))</f>
        <v>52662</v>
      </c>
      <c r="F6" s="64">
        <f>SUMIF(项目基本情况!C$12:I$12,C6,项目基本情况!C$15:I$15)</f>
        <v>20.54</v>
      </c>
      <c r="G6" s="65">
        <f>IF(ISERROR(ROUND(POWER(1+H6,D6-F6)*(POWER(1+H6,F6)-1)/(POWER(1+H6,D6)-1),3)),0,ROUND(POWER(1+H6,D6-F6)*(POWER(1+H6,F6)-1)/(POWER(1+H6,D6)-1),3))</f>
        <v>0.73799999999999999</v>
      </c>
      <c r="H6" s="731">
        <v>0.05</v>
      </c>
      <c r="I6" s="731">
        <v>5.5E-2</v>
      </c>
      <c r="J6" s="66">
        <v>7.4999999999999997E-2</v>
      </c>
      <c r="K6" s="1029">
        <f>SUMIF('数据-汇总表'!C$19:C$33,A6,'数据-汇总表'!E$19:E$33)</f>
        <v>1056.2</v>
      </c>
      <c r="L6" s="732">
        <v>3500</v>
      </c>
      <c r="M6" s="67">
        <f t="shared" ref="M6:M14" si="0">ROUND(K6*L6/10000,0)</f>
        <v>370</v>
      </c>
      <c r="N6" s="730">
        <f>N19</f>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v>
      </c>
      <c r="W6" s="70">
        <v>0</v>
      </c>
      <c r="X6" s="1039"/>
      <c r="Y6" s="71">
        <f>N6</f>
        <v>0.7</v>
      </c>
      <c r="Z6" s="72">
        <f>ROUND(收益法!F49*(1+2.5%)^'数据-取费表'!AC21,1)</f>
        <v>7.7</v>
      </c>
      <c r="AA6" s="66">
        <v>2.5000000000000001E-2</v>
      </c>
      <c r="AB6" s="66">
        <v>0.1</v>
      </c>
      <c r="AC6" s="1039"/>
      <c r="AD6" s="73">
        <f>ROUND((1-0%)-(2027-N18)/60,2)</f>
        <v>0.63</v>
      </c>
      <c r="AE6" s="1040">
        <f ca="1">IF(AN6="",0,SUMIF(INDIRECT("'"&amp;AN6&amp;"'"&amp;"!E:E"),$AE$5,INDIRECT("'"&amp;AN6&amp;"'"&amp;"!F:F")))</f>
        <v>20.54</v>
      </c>
      <c r="AF6" s="1347">
        <f>AC21</f>
        <v>3.6383561643835618</v>
      </c>
      <c r="AG6" s="138">
        <f ca="1">IF(AF6="",0,AE6-AF6)</f>
        <v>16.901643835616436</v>
      </c>
      <c r="AH6" s="74"/>
      <c r="AI6" s="76">
        <v>365</v>
      </c>
      <c r="AJ6" s="77"/>
      <c r="AK6" s="78">
        <v>1.4999999999999999E-2</v>
      </c>
      <c r="AL6" s="79">
        <v>1.5E-3</v>
      </c>
      <c r="AM6" s="80">
        <v>0.01</v>
      </c>
      <c r="AN6" s="1714" t="s">
        <v>3406</v>
      </c>
      <c r="AO6" s="52">
        <f ca="1">SUMIF(INDIRECT("'"&amp;AN6&amp;"'"&amp;"!A:A"),"总价",INDIRECT("'"&amp;AN6&amp;"'"&amp;"!B:B"))</f>
        <v>2833.2550999999999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0.73799999999999999</v>
      </c>
      <c r="H16" s="90">
        <f>ROUND(SUMPRODUCT(H6:H13,K6:K13)/SUMPRODUCT((H6:H13&gt;0)*(K6:K13)),3)</f>
        <v>0.05</v>
      </c>
      <c r="I16" s="91"/>
      <c r="J16" s="91"/>
      <c r="K16" s="92">
        <f>SUM(K6:K15)</f>
        <v>1056.2</v>
      </c>
      <c r="L16" s="93">
        <f>ROUND(M16*10000/SUM(K6:K14),0)</f>
        <v>3503</v>
      </c>
      <c r="M16" s="93">
        <f>SUM(M6:M14)</f>
        <v>370</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f>Q16/B20</f>
        <v>0.1</v>
      </c>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ROUND((1-0%)-(2023-N18)/60,2)</f>
        <v>0.7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3461" t="s">
        <v>3492</v>
      </c>
      <c r="Z20" s="3461" t="s">
        <v>3493</v>
      </c>
      <c r="AA20" s="2670"/>
      <c r="AB20" s="2670"/>
      <c r="AC20" s="3461" t="s">
        <v>3494</v>
      </c>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3460">
        <f>项目基本情况!D3</f>
        <v>45163</v>
      </c>
      <c r="Z21" s="3460">
        <v>46491</v>
      </c>
      <c r="AA21" s="2670"/>
      <c r="AB21" s="2670">
        <f>Z21-Y21</f>
        <v>1328</v>
      </c>
      <c r="AC21" s="2670">
        <f>AB21/365</f>
        <v>3.6383561643835618</v>
      </c>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21</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1056.2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5392</v>
      </c>
      <c r="C5" s="2511">
        <f ca="1">IF(B5=D14,结果表!H102,ROUND(B5*10000/$B$1,0))</f>
        <v>51051</v>
      </c>
      <c r="D5" s="2511" t="e">
        <f ca="1">ROUND(B5*10000/$B$2,0)</f>
        <v>#DIV/0!</v>
      </c>
      <c r="E5" s="2685"/>
      <c r="F5" s="2686"/>
      <c r="G5" s="2686"/>
      <c r="H5" s="2687"/>
      <c r="I5" s="2687"/>
      <c r="J5" s="2687"/>
      <c r="K5" s="2687"/>
    </row>
    <row r="6" spans="1:11" ht="16.5">
      <c r="A6" s="2511" t="s">
        <v>656</v>
      </c>
      <c r="B6" s="2511">
        <f ca="1">SUM(G14:G23)</f>
        <v>5392</v>
      </c>
      <c r="C6" s="2511">
        <f ca="1">IF(B6=G14,结果表!H108,ROUND(B6*10000/$B$1,0))</f>
        <v>51051</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1056.2</v>
      </c>
      <c r="C14" s="2517"/>
      <c r="D14" s="2517">
        <f ca="1">结果表!H101</f>
        <v>5392</v>
      </c>
      <c r="E14" s="2517">
        <f ca="1">ROUND(D14*10000/B14,0)</f>
        <v>51051</v>
      </c>
      <c r="F14" s="2517" t="e">
        <f ca="1">ROUND(D14*10000/C14,0)</f>
        <v>#DIV/0!</v>
      </c>
      <c r="G14" s="2517">
        <f ca="1">结果表!H107</f>
        <v>5392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K37" sqref="K3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3387</v>
      </c>
      <c r="H1" s="1749" t="str">
        <f>IF(G1="现房","——","估价对象范围")</f>
        <v>——</v>
      </c>
      <c r="I1" s="1750"/>
    </row>
    <row r="2" spans="1:12" ht="21.75" customHeight="1" thickBot="1">
      <c r="A2" s="3587" t="str">
        <f>项目基本情况!S2</f>
        <v>北京市朝阳区双花园南里二区9号楼1层12商业用房房地产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3" t="s">
        <v>1265</v>
      </c>
      <c r="B4" s="1754" t="s">
        <v>1266</v>
      </c>
      <c r="C4" s="1755" t="s">
        <v>3453</v>
      </c>
      <c r="D4" s="1755" t="s">
        <v>3401</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6"/>
      <c r="G5" s="1756"/>
      <c r="H5" s="1756"/>
      <c r="I5" s="1372"/>
    </row>
    <row r="6" spans="1:12" ht="12.75">
      <c r="A6" s="3567"/>
      <c r="B6" s="3554"/>
      <c r="C6" s="3571"/>
      <c r="D6" s="3590"/>
      <c r="E6" s="131" t="s">
        <v>1270</v>
      </c>
      <c r="F6" s="1756"/>
      <c r="G6" s="1756"/>
      <c r="H6" s="1756"/>
      <c r="I6" s="1372"/>
    </row>
    <row r="7" spans="1:12" ht="12.75">
      <c r="A7" s="3567"/>
      <c r="B7" s="3554"/>
      <c r="C7" s="3572"/>
      <c r="D7" s="3590"/>
      <c r="E7" s="131" t="s">
        <v>1271</v>
      </c>
      <c r="F7" s="1756"/>
      <c r="G7" s="1756"/>
      <c r="H7" s="1756"/>
      <c r="I7" s="1372"/>
    </row>
    <row r="8" spans="1:12" ht="12.75">
      <c r="A8" s="3567" t="s">
        <v>1272</v>
      </c>
      <c r="B8" s="3554">
        <v>15</v>
      </c>
      <c r="C8" s="3570"/>
      <c r="D8" s="3590"/>
      <c r="E8" s="131" t="s">
        <v>1273</v>
      </c>
      <c r="F8" s="1756"/>
      <c r="G8" s="1756"/>
      <c r="H8" s="1756"/>
      <c r="I8" s="1372"/>
    </row>
    <row r="9" spans="1:12" ht="12.75">
      <c r="A9" s="3567"/>
      <c r="B9" s="3554"/>
      <c r="C9" s="3572"/>
      <c r="D9" s="3590"/>
      <c r="E9" s="131" t="s">
        <v>1274</v>
      </c>
      <c r="F9" s="1756"/>
      <c r="G9" s="1756"/>
      <c r="H9" s="1756"/>
      <c r="I9" s="1372"/>
    </row>
    <row r="10" spans="1:12" ht="12.75">
      <c r="A10" s="3567" t="s">
        <v>1275</v>
      </c>
      <c r="B10" s="3554">
        <v>15</v>
      </c>
      <c r="C10" s="3570"/>
      <c r="D10" s="3590"/>
      <c r="E10" s="131" t="s">
        <v>1276</v>
      </c>
      <c r="F10" s="1756"/>
      <c r="G10" s="1756"/>
      <c r="H10" s="1756"/>
      <c r="I10" s="1372"/>
    </row>
    <row r="11" spans="1:12" ht="12.75">
      <c r="A11" s="3567"/>
      <c r="B11" s="3554"/>
      <c r="C11" s="3572"/>
      <c r="D11" s="3590"/>
      <c r="E11" s="131" t="s">
        <v>1277</v>
      </c>
      <c r="F11" s="1756"/>
      <c r="G11" s="1756"/>
      <c r="H11" s="1756"/>
      <c r="I11" s="1372"/>
    </row>
    <row r="12" spans="1:12" ht="12.75">
      <c r="A12" s="3567" t="s">
        <v>1278</v>
      </c>
      <c r="B12" s="3554">
        <v>15</v>
      </c>
      <c r="C12" s="3570"/>
      <c r="D12" s="3590"/>
      <c r="E12" s="131" t="s">
        <v>1279</v>
      </c>
      <c r="F12" s="1756"/>
      <c r="G12" s="1756"/>
      <c r="H12" s="1756"/>
      <c r="I12" s="1372"/>
    </row>
    <row r="13" spans="1:12" ht="12.75">
      <c r="A13" s="3567"/>
      <c r="B13" s="3554"/>
      <c r="C13" s="3572"/>
      <c r="D13" s="3590"/>
      <c r="E13" s="131" t="s">
        <v>1280</v>
      </c>
      <c r="F13" s="1756"/>
      <c r="G13" s="1756"/>
      <c r="H13" s="1756"/>
      <c r="I13" s="1372"/>
    </row>
    <row r="14" spans="1:12" ht="12.75">
      <c r="A14" s="3567" t="s">
        <v>1281</v>
      </c>
      <c r="B14" s="3554">
        <v>30</v>
      </c>
      <c r="C14" s="3570">
        <v>4</v>
      </c>
      <c r="D14" s="3590">
        <v>6</v>
      </c>
      <c r="E14" s="131" t="s">
        <v>1282</v>
      </c>
      <c r="F14" s="1756"/>
      <c r="G14" s="1756"/>
      <c r="H14" s="1756"/>
      <c r="I14" s="1372"/>
    </row>
    <row r="15" spans="1:12" ht="12.75">
      <c r="A15" s="3567"/>
      <c r="B15" s="3554"/>
      <c r="C15" s="3571"/>
      <c r="D15" s="3590"/>
      <c r="E15" s="131" t="s">
        <v>1283</v>
      </c>
      <c r="F15" s="1756"/>
      <c r="G15" s="1756"/>
      <c r="H15" s="1756"/>
      <c r="I15" s="1372"/>
    </row>
    <row r="16" spans="1:12" ht="12.75">
      <c r="A16" s="3567"/>
      <c r="B16" s="3554"/>
      <c r="C16" s="3572"/>
      <c r="D16" s="3590"/>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77" t="s">
        <v>2131</v>
      </c>
      <c r="F18" s="3578"/>
      <c r="G18" s="3578"/>
      <c r="H18" s="3578"/>
      <c r="I18" s="3578"/>
      <c r="K18" s="302" t="s">
        <v>1289</v>
      </c>
      <c r="L18" s="302">
        <f>IF(C1="",'数据-汇总表'!E3,SUMIF(项目类型,C1,'数据-汇总表'!E17:E26)+SUMIF(项目类型,C1,'数据-汇总表'!I17:I26))</f>
        <v>1056.2</v>
      </c>
      <c r="M18" s="302">
        <f>IF(C1="",'数据-汇总表'!E3,SUMIF(项目类型,C1,'数据-汇总表'!E17:E26))</f>
        <v>1056.2</v>
      </c>
    </row>
    <row r="19" spans="1:36" ht="15">
      <c r="A19" s="1760" t="s">
        <v>1290</v>
      </c>
      <c r="B19" s="1761" t="s">
        <v>1291</v>
      </c>
      <c r="C19" s="134">
        <f ca="1">SUMIF(INDIRECT("'"&amp;C4&amp;"'"&amp;"!A:A"),结果表!B19,INDIRECT("'"&amp;C4&amp;"'"&amp;"!B:B"))</f>
        <v>9208</v>
      </c>
      <c r="D19" s="135">
        <f ca="1">SUMIF(INDIRECT("'"&amp;D4&amp;"'"&amp;"!A:A"),结果表!B19,INDIRECT("'"&amp;D4&amp;"'"&amp;"!B:B"))</f>
        <v>2848</v>
      </c>
      <c r="E19" s="1760" t="s">
        <v>1292</v>
      </c>
      <c r="F19" s="1761" t="s">
        <v>1291</v>
      </c>
      <c r="G19" s="136">
        <f ca="1">ROUND(C19*$C$18+D19*$D$18,0)</f>
        <v>5392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87180</v>
      </c>
      <c r="D20" s="138">
        <f ca="1">SUMIF(INDIRECT("'"&amp;D4&amp;"'"&amp;"!A:A"),结果表!B20,INDIRECT("'"&amp;D4&amp;"'"&amp;"!B:B"))</f>
        <v>26965</v>
      </c>
      <c r="E20" s="1763"/>
      <c r="F20" s="1025" t="s">
        <v>1295</v>
      </c>
      <c r="G20" s="139">
        <f ca="1">ROUND(C20*$C$18+D20*$D$18,0)</f>
        <v>51051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2.2331460674157304</v>
      </c>
      <c r="E22" s="129"/>
      <c r="F22" s="129"/>
      <c r="G22" s="129"/>
      <c r="H22" s="129"/>
      <c r="I22" s="129"/>
    </row>
    <row r="23" spans="1:36" ht="13.5" thickBot="1">
      <c r="A23" s="1746"/>
      <c r="B23" s="1746"/>
      <c r="C23" s="1746"/>
      <c r="D23" s="1746"/>
      <c r="E23" s="129"/>
      <c r="F23" s="129"/>
      <c r="G23" s="129"/>
      <c r="H23" s="129"/>
      <c r="I23" s="129"/>
    </row>
    <row r="24" spans="1:36" ht="14.25">
      <c r="A24" s="3561" t="s">
        <v>1299</v>
      </c>
      <c r="B24" s="1761" t="s">
        <v>1291</v>
      </c>
      <c r="C24" s="136">
        <f>IF(B30=0,0,D30)</f>
        <v>0</v>
      </c>
      <c r="D24" s="1768"/>
      <c r="E24" s="129"/>
      <c r="F24" s="129"/>
      <c r="G24" s="129"/>
      <c r="H24" s="129"/>
      <c r="I24" s="129"/>
    </row>
    <row r="25" spans="1:36" ht="14.25">
      <c r="A25" s="356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51051</v>
      </c>
      <c r="D32" s="1774" t="s">
        <v>3455</v>
      </c>
      <c r="E32" s="129"/>
      <c r="F32" s="129"/>
      <c r="G32" s="129"/>
      <c r="H32" s="129"/>
      <c r="I32" s="129"/>
    </row>
    <row r="33" spans="1:15" ht="15">
      <c r="A33" s="785" t="s">
        <v>1306</v>
      </c>
      <c r="B33" s="1775"/>
      <c r="C33" s="1776" t="s">
        <v>3454</v>
      </c>
      <c r="D33" s="1777" t="s">
        <v>3401</v>
      </c>
      <c r="E33" s="1778" t="s">
        <v>1307</v>
      </c>
      <c r="F33" s="1779" t="str">
        <f>IF(D32="楼面单价","取值（单价）","取值（总价）")</f>
        <v>取值（单价）</v>
      </c>
      <c r="G33" s="129"/>
      <c r="H33" s="129"/>
      <c r="I33" s="129"/>
    </row>
    <row r="34" spans="1:15" ht="15">
      <c r="A34" s="1780"/>
      <c r="B34" s="1781" t="s">
        <v>1308</v>
      </c>
      <c r="C34" s="148">
        <f ca="1">IF(C33="自定义",F34,C32-C35)</f>
        <v>39003</v>
      </c>
      <c r="D34" s="860">
        <f ca="1">IF(C33="自定义",ROUND(C34/C32,3),IF(C33="收益比率",SUMIF(INDIRECT("'"&amp;D33&amp;"'"&amp;"!b:b"),"土地收益比率",INDIRECT("'"&amp;D33&amp;"'"&amp;"!c:c")),SUMIF(INDIRECT("'"&amp;D33&amp;"'"&amp;"!b:b"),"土地成本比率",INDIRECT("'"&amp;D33&amp;"'"&amp;"!c:c"))))</f>
        <v>0.76400000000000001</v>
      </c>
      <c r="E34" s="1782" t="s">
        <v>1309</v>
      </c>
      <c r="F34" s="1329"/>
      <c r="G34" s="129"/>
      <c r="H34" s="129"/>
      <c r="I34" s="129"/>
    </row>
    <row r="35" spans="1:15" ht="15.75" thickBot="1">
      <c r="A35" s="1783"/>
      <c r="B35" s="1784" t="s">
        <v>1310</v>
      </c>
      <c r="C35" s="1169">
        <f ca="1">IF(C33="自定义",F35,ROUND(C32*D35,0))</f>
        <v>12048</v>
      </c>
      <c r="D35" s="1170">
        <f ca="1">IF(C33="自定义",ROUND(C35/C32,3),IF(C33="收益比率",SUMIF(INDIRECT("'"&amp;D33&amp;"'"&amp;"!b:b"),"建筑物收益比率",INDIRECT("'"&amp;D33&amp;"'"&amp;"!c:c")),SUMIF(INDIRECT("'"&amp;D33&amp;"'"&amp;"!b:b"),"建筑物成本比率",INDIRECT("'"&amp;D33&amp;"'"&amp;"!c:c"))))</f>
        <v>0.23599999999999999</v>
      </c>
      <c r="E35" s="1785" t="s">
        <v>1311</v>
      </c>
      <c r="F35" s="154"/>
      <c r="G35" s="129"/>
      <c r="H35" s="129"/>
      <c r="I35" s="129"/>
    </row>
    <row r="36" spans="1:15" ht="15.75" thickBot="1">
      <c r="A36" s="3581" t="s">
        <v>1312</v>
      </c>
      <c r="B36" s="1786" t="s">
        <v>1313</v>
      </c>
      <c r="C36" s="145"/>
      <c r="D36" s="1787"/>
      <c r="E36" s="1788"/>
      <c r="F36" s="1789"/>
      <c r="G36" s="129"/>
      <c r="H36" s="129"/>
      <c r="I36" s="129"/>
    </row>
    <row r="37" spans="1:15" ht="15.75" thickBot="1">
      <c r="A37" s="3582"/>
      <c r="B37" s="1673" t="s">
        <v>1314</v>
      </c>
      <c r="C37" s="147"/>
      <c r="D37" s="1138"/>
      <c r="E37" s="1138"/>
      <c r="F37" s="1789"/>
      <c r="G37" s="129"/>
      <c r="H37" s="129"/>
      <c r="I37" s="129"/>
    </row>
    <row r="38" spans="1:15" ht="15.75" thickBot="1">
      <c r="A38" s="358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8" t="s">
        <v>1326</v>
      </c>
      <c r="B45" s="3559"/>
      <c r="C45" s="3560"/>
      <c r="D45" s="155">
        <f ca="1">ROUND(H101*F45,0)</f>
        <v>5392</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5"/>
      <c r="I46" s="159"/>
      <c r="J46" s="2522">
        <v>1</v>
      </c>
      <c r="K46" s="3617" t="s">
        <v>1331</v>
      </c>
      <c r="L46" s="3617"/>
      <c r="M46" s="3637"/>
      <c r="N46" s="3637"/>
      <c r="O46" s="3637"/>
    </row>
    <row r="47" spans="1:15" ht="12" customHeight="1">
      <c r="A47" s="160" t="s">
        <v>1332</v>
      </c>
      <c r="B47" s="161"/>
      <c r="C47" s="162"/>
      <c r="D47" s="1086" t="s">
        <v>1333</v>
      </c>
      <c r="E47" s="302" t="s">
        <v>1334</v>
      </c>
      <c r="F47" s="163" t="s">
        <v>1335</v>
      </c>
      <c r="G47" s="2545" t="s">
        <v>1336</v>
      </c>
      <c r="H47" s="2546"/>
      <c r="I47" s="159"/>
      <c r="J47" s="2522">
        <v>2</v>
      </c>
      <c r="K47" s="3617" t="s">
        <v>1337</v>
      </c>
      <c r="L47" s="3617"/>
      <c r="M47" s="3638">
        <f>'数据-取费表'!B2</f>
        <v>45163</v>
      </c>
      <c r="N47" s="3638"/>
      <c r="O47" s="3638"/>
    </row>
    <row r="48" spans="1:15" ht="25.5">
      <c r="A48" s="3586" t="s">
        <v>1338</v>
      </c>
      <c r="B48" s="3569"/>
      <c r="C48" s="3569"/>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7" t="s">
        <v>1340</v>
      </c>
      <c r="L48" s="3617"/>
      <c r="M48" s="3639">
        <f ca="1">H101</f>
        <v>5392</v>
      </c>
      <c r="N48" s="3639"/>
      <c r="O48" s="3639"/>
    </row>
    <row r="49" spans="1:35" ht="25.5" customHeight="1">
      <c r="A49" s="2332" t="s">
        <v>1341</v>
      </c>
      <c r="B49" s="3553" t="s">
        <v>1342</v>
      </c>
      <c r="C49" s="3553"/>
      <c r="D49" s="1589">
        <v>0</v>
      </c>
      <c r="E49" s="324" t="s">
        <v>1343</v>
      </c>
      <c r="F49" s="2423" t="s">
        <v>28</v>
      </c>
      <c r="G49" s="3623"/>
      <c r="H49" s="2309" t="s">
        <v>2134</v>
      </c>
      <c r="I49" s="2310"/>
      <c r="J49" s="2522">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50"/>
      <c r="B50" s="3553" t="s">
        <v>1344</v>
      </c>
      <c r="C50" s="3553"/>
      <c r="D50" s="2551"/>
      <c r="E50" s="332"/>
      <c r="F50" s="2423"/>
      <c r="G50" s="3624"/>
      <c r="H50" s="2311" t="s">
        <v>2135</v>
      </c>
      <c r="I50" s="2310"/>
      <c r="J50" s="3636" t="s">
        <v>1345</v>
      </c>
      <c r="K50" s="3636"/>
      <c r="L50" s="3636"/>
      <c r="M50" s="3636"/>
      <c r="N50" s="3636"/>
      <c r="O50" s="3636"/>
    </row>
    <row r="51" spans="1:35" ht="20.45" customHeight="1">
      <c r="A51" s="2552"/>
      <c r="B51" s="3553" t="s">
        <v>1346</v>
      </c>
      <c r="C51" s="3553"/>
      <c r="D51" s="1086"/>
      <c r="E51" s="327"/>
      <c r="F51" s="2423"/>
      <c r="G51" s="3625"/>
      <c r="H51" s="2311" t="s">
        <v>2136</v>
      </c>
      <c r="I51" s="2310"/>
      <c r="J51" s="2523" t="s">
        <v>1347</v>
      </c>
      <c r="K51" s="3617" t="s">
        <v>1348</v>
      </c>
      <c r="L51" s="3617"/>
      <c r="M51" s="2523" t="s">
        <v>1349</v>
      </c>
      <c r="N51" s="2523" t="s">
        <v>1350</v>
      </c>
      <c r="O51" s="2523" t="s">
        <v>1351</v>
      </c>
    </row>
    <row r="52" spans="1:35" ht="24" customHeight="1">
      <c r="A52" s="2334" t="s">
        <v>1352</v>
      </c>
      <c r="B52" s="3553" t="s">
        <v>1353</v>
      </c>
      <c r="C52" s="3553"/>
      <c r="D52" s="1086">
        <f ca="1">ROUND(D45*'数据-取费表'!B41/(1+'数据-取费表'!C42),0)</f>
        <v>288</v>
      </c>
      <c r="E52" s="2333" t="s">
        <v>1354</v>
      </c>
      <c r="F52" s="2553">
        <f>'数据-取费表'!B41</f>
        <v>5.6000000000000001E-2</v>
      </c>
      <c r="G52" s="2554"/>
      <c r="H52" s="2543"/>
      <c r="I52" s="1806"/>
      <c r="J52" s="2522">
        <v>1</v>
      </c>
      <c r="K52" s="3618" t="s">
        <v>1355</v>
      </c>
      <c r="L52" s="3618"/>
      <c r="M52" s="2524" t="b">
        <f>D48</f>
        <v>0</v>
      </c>
      <c r="N52" s="2522" t="str">
        <f>E48</f>
        <v>销售额×税（费）率</v>
      </c>
      <c r="O52" s="2525">
        <f>F48</f>
        <v>5.6000000000000001E-2</v>
      </c>
    </row>
    <row r="53" spans="1:35" ht="12" customHeight="1">
      <c r="A53" s="2334" t="s">
        <v>1356</v>
      </c>
      <c r="B53" s="3579" t="s">
        <v>2291</v>
      </c>
      <c r="C53" s="3580"/>
      <c r="D53" s="1086">
        <f ca="1">ROUND(D45*'数据-取费表'!B41/(1+'数据-取费表'!C42),0)</f>
        <v>288</v>
      </c>
      <c r="E53" s="2333" t="s">
        <v>1354</v>
      </c>
      <c r="F53" s="2553">
        <f>'数据-取费表'!B41</f>
        <v>5.6000000000000001E-2</v>
      </c>
      <c r="G53" s="2554"/>
      <c r="H53" s="2543"/>
      <c r="I53" s="1806"/>
      <c r="J53" s="2522">
        <v>2</v>
      </c>
      <c r="K53" s="3618" t="s">
        <v>1357</v>
      </c>
      <c r="L53" s="3618"/>
      <c r="M53" s="2524">
        <f t="shared" ref="M53:O54" ca="1" si="0">D55</f>
        <v>3</v>
      </c>
      <c r="N53" s="2522" t="str">
        <f t="shared" si="0"/>
        <v>销售额×税（费）率</v>
      </c>
      <c r="O53" s="2525" t="str">
        <f t="shared" si="0"/>
        <v>免征</v>
      </c>
    </row>
    <row r="54" spans="1:35" ht="12" customHeight="1">
      <c r="A54" s="2334" t="s">
        <v>1358</v>
      </c>
      <c r="B54" s="3579" t="s">
        <v>2292</v>
      </c>
      <c r="C54" s="3580"/>
      <c r="D54" s="1086">
        <f ca="1">C68</f>
        <v>288</v>
      </c>
      <c r="E54" s="327" t="s">
        <v>1359</v>
      </c>
      <c r="F54" s="2553">
        <f>'数据-取费表'!B41</f>
        <v>5.6000000000000001E-2</v>
      </c>
      <c r="G54" s="2554"/>
      <c r="H54" s="2555"/>
      <c r="I54" s="1806"/>
      <c r="J54" s="2522">
        <v>3</v>
      </c>
      <c r="K54" s="3618" t="s">
        <v>1360</v>
      </c>
      <c r="L54" s="3618"/>
      <c r="M54" s="2524">
        <f t="shared" ca="1" si="0"/>
        <v>3052</v>
      </c>
      <c r="N54" s="2522" t="str">
        <f t="shared" si="0"/>
        <v>增值额×税（费）率</v>
      </c>
      <c r="O54" s="2526" t="str">
        <f t="shared" si="0"/>
        <v>免征</v>
      </c>
    </row>
    <row r="55" spans="1:35" ht="24" customHeight="1">
      <c r="A55" s="3568" t="s">
        <v>1361</v>
      </c>
      <c r="B55" s="3569"/>
      <c r="C55" s="3569"/>
      <c r="D55" s="2323">
        <f ca="1">IF(H55="个人住宅",0,ROUND(D45*I55,0))</f>
        <v>3</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51</v>
      </c>
      <c r="N55" s="2039" t="str">
        <f>E59</f>
        <v>差额计税</v>
      </c>
      <c r="O55" s="2528">
        <f>F59</f>
        <v>0.01</v>
      </c>
    </row>
    <row r="56" spans="1:35" ht="24.75">
      <c r="A56" s="3568" t="s">
        <v>1363</v>
      </c>
      <c r="B56" s="3569"/>
      <c r="C56" s="3569"/>
      <c r="D56" s="2323">
        <f ca="1">IF(H56="个人住宅",D57,D58)</f>
        <v>3052</v>
      </c>
      <c r="E56" s="2333" t="s">
        <v>1364</v>
      </c>
      <c r="F56" s="2553" t="str">
        <f>IF(H56="正常",F58,"免征")</f>
        <v>免征</v>
      </c>
      <c r="G56" s="2556" t="s">
        <v>1365</v>
      </c>
      <c r="H56" s="2557"/>
      <c r="I56" s="1807"/>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4" t="s">
        <v>1341</v>
      </c>
      <c r="B57" s="3579" t="s">
        <v>1366</v>
      </c>
      <c r="C57" s="3580"/>
      <c r="D57" s="1589">
        <v>0</v>
      </c>
      <c r="E57" s="324" t="s">
        <v>1343</v>
      </c>
      <c r="F57" s="302"/>
      <c r="G57" s="2554"/>
      <c r="H57" s="2558"/>
      <c r="I57" s="1807"/>
      <c r="J57" s="3618">
        <f>IF(AND(J55="",J56=""),4,IF(项目基本情况!K6="上海银行",结果表!J56+1,结果表!J55+1))</f>
        <v>5</v>
      </c>
      <c r="K57" s="3618" t="s">
        <v>1367</v>
      </c>
      <c r="L57" s="2529" t="s">
        <v>1368</v>
      </c>
      <c r="M57" s="2530"/>
      <c r="N57" s="2531">
        <f ca="1">SUMIF(M52:M56,"&lt;9e307")</f>
        <v>3106</v>
      </c>
      <c r="O57" s="2532"/>
      <c r="P57" s="2689" t="e">
        <f ca="1">N57/M49</f>
        <v>#VALUE!</v>
      </c>
    </row>
    <row r="58" spans="1:35" ht="24.75">
      <c r="A58" s="2334" t="s">
        <v>1352</v>
      </c>
      <c r="B58" s="3579" t="s">
        <v>1369</v>
      </c>
      <c r="C58" s="3553"/>
      <c r="D58" s="2323">
        <f ca="1">IF(H58="转让取得",C81,C97)</f>
        <v>3052</v>
      </c>
      <c r="E58" s="2333" t="s">
        <v>1364</v>
      </c>
      <c r="F58" s="302" t="s">
        <v>28</v>
      </c>
      <c r="G58" s="2554"/>
      <c r="H58" s="2557"/>
      <c r="I58" s="1807"/>
      <c r="J58" s="3618"/>
      <c r="K58" s="3618"/>
      <c r="L58" s="2529" t="s">
        <v>1370</v>
      </c>
      <c r="M58" s="2533"/>
      <c r="N58" s="2534" t="str">
        <f ca="1">NUMBERSTRING(INT(N57*10000),2)&amp;"元整"</f>
        <v>叁仟壹佰零陆万元整</v>
      </c>
      <c r="O58" s="2535"/>
    </row>
    <row r="59" spans="1:35" ht="24.75" thickBot="1">
      <c r="A59" s="3621" t="s">
        <v>1371</v>
      </c>
      <c r="B59" s="3622"/>
      <c r="C59" s="3622"/>
      <c r="D59" s="2559">
        <f ca="1">IF(H59="非个人房产","——",IF(H59="个人住宅（满五唯一有凭证）",0,IF(H59="个人其他（无凭证）",ROUND(D45*F59,0),ROUND(C67*F59,0))))</f>
        <v>51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9">
        <f>J57+1</f>
        <v>6</v>
      </c>
      <c r="K59" s="3618" t="s">
        <v>1372</v>
      </c>
      <c r="L59" s="2522" t="s">
        <v>1368</v>
      </c>
      <c r="M59" s="2536"/>
      <c r="N59" s="2537" t="e">
        <f ca="1">M49-N57</f>
        <v>#VALUE!</v>
      </c>
      <c r="O59" s="2538"/>
    </row>
    <row r="60" spans="1:35" ht="12" customHeight="1">
      <c r="A60" s="1808"/>
      <c r="B60" s="1746"/>
      <c r="C60" s="1746"/>
      <c r="D60" s="1746"/>
      <c r="E60" s="1577"/>
      <c r="F60" s="1807"/>
      <c r="G60" s="1807"/>
      <c r="H60" s="1809"/>
      <c r="I60" s="129"/>
      <c r="J60" s="3620"/>
      <c r="K60" s="3618"/>
      <c r="L60" s="2529" t="s">
        <v>1370</v>
      </c>
      <c r="M60" s="2533"/>
      <c r="N60" s="2534" t="e">
        <f ca="1">NUMBERSTRING(INT(N59*10000),2)&amp;"元整"</f>
        <v>#VALUE!</v>
      </c>
      <c r="O60" s="2535"/>
    </row>
    <row r="61" spans="1:35" ht="13.5" thickBot="1">
      <c r="A61" s="3566" t="s">
        <v>1373</v>
      </c>
      <c r="B61" s="3566"/>
      <c r="C61" s="3566"/>
      <c r="D61" s="3566"/>
      <c r="E61" s="3566"/>
      <c r="F61" s="1807"/>
      <c r="G61" s="1807"/>
      <c r="H61" s="1809"/>
      <c r="I61" s="129"/>
      <c r="J61" s="2522">
        <f>J59+1</f>
        <v>7</v>
      </c>
      <c r="K61" s="3618" t="s">
        <v>1374</v>
      </c>
      <c r="L61" s="3618"/>
      <c r="M61" s="2539"/>
      <c r="N61" s="2540" t="e">
        <f ca="1">ROUND(N59*10000/'数据-汇总表'!E3,0)</f>
        <v>#VALUE!</v>
      </c>
      <c r="O61" s="2541"/>
    </row>
    <row r="62" spans="1:35" ht="12.75">
      <c r="A62" s="3584" t="s">
        <v>1375</v>
      </c>
      <c r="B62" s="3585"/>
      <c r="C62" s="2020"/>
      <c r="D62" s="2020" t="s">
        <v>1376</v>
      </c>
      <c r="E62" s="166" t="s">
        <v>1377</v>
      </c>
      <c r="F62" s="1807"/>
      <c r="G62" s="1807"/>
      <c r="H62" s="1809"/>
      <c r="I62" s="129"/>
    </row>
    <row r="63" spans="1:35" ht="12.75">
      <c r="A63" s="173" t="s">
        <v>330</v>
      </c>
      <c r="B63" s="167" t="s">
        <v>1378</v>
      </c>
      <c r="C63" s="2563">
        <f ca="1">ROUND((C64+C65)/(1+'数据-取费表'!C42),0)</f>
        <v>5135</v>
      </c>
      <c r="D63" s="167"/>
      <c r="E63" s="168"/>
      <c r="F63" s="1807"/>
      <c r="G63" s="1807"/>
      <c r="H63" s="1809"/>
      <c r="I63" s="129"/>
      <c r="J63" s="3643"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5392</v>
      </c>
      <c r="D64" s="170" t="s">
        <v>26</v>
      </c>
      <c r="E64" s="172"/>
      <c r="F64" s="1807"/>
      <c r="G64" s="1807"/>
      <c r="H64" s="1809"/>
      <c r="I64" s="129"/>
      <c r="J64" s="364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43"/>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43"/>
      <c r="K66" s="1331" t="s">
        <v>1387</v>
      </c>
      <c r="L66" s="1331" t="e">
        <f>M49*0.5%</f>
        <v>#VALUE!</v>
      </c>
      <c r="M66" s="302" t="e">
        <f>IF(L66&gt;0.5,0.5,ROUND(L66,0))</f>
        <v>#VALUE!</v>
      </c>
      <c r="N66" s="2543" t="s">
        <v>1388</v>
      </c>
      <c r="Z66" s="1751"/>
      <c r="AI66" s="1752"/>
    </row>
    <row r="67" spans="1:35" ht="14.25" customHeight="1">
      <c r="A67" s="173" t="s">
        <v>328</v>
      </c>
      <c r="B67" s="174" t="s">
        <v>1389</v>
      </c>
      <c r="C67" s="2567">
        <f ca="1">C63-C66</f>
        <v>5135</v>
      </c>
      <c r="D67" s="170" t="s">
        <v>26</v>
      </c>
      <c r="E67" s="172"/>
      <c r="F67" s="1807"/>
      <c r="G67" s="1807"/>
      <c r="H67" s="1809"/>
      <c r="I67" s="129"/>
      <c r="J67" s="364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288</v>
      </c>
      <c r="D68" s="2569">
        <f>'数据-取费表'!B41</f>
        <v>5.6000000000000001E-2</v>
      </c>
      <c r="E68" s="178"/>
      <c r="F68" s="1807"/>
      <c r="G68" s="1807"/>
      <c r="H68" s="1809"/>
      <c r="I68" s="129"/>
      <c r="J68" s="3643"/>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43"/>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1375</v>
      </c>
      <c r="B71" s="358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5135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31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9" t="s">
        <v>1402</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31</v>
      </c>
      <c r="D78" s="2576">
        <f>'数据-取费表'!B43</f>
        <v>6.000000000000001E-3</v>
      </c>
      <c r="E78" s="3563" t="s">
        <v>1406</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5104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164.64516129032259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3052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4" t="s">
        <v>1375</v>
      </c>
      <c r="B84" s="358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5135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5" t="s">
        <v>2129</v>
      </c>
      <c r="H90" s="364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3" t="s">
        <v>1419</v>
      </c>
      <c r="F91" s="3564"/>
      <c r="G91" s="35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3" t="s">
        <v>1422</v>
      </c>
      <c r="F92" s="3564"/>
      <c r="G92" s="3564"/>
      <c r="H92" s="357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31</v>
      </c>
      <c r="D93" s="2576">
        <f>'数据-取费表'!B43</f>
        <v>6.000000000000001E-3</v>
      </c>
      <c r="E93" s="3563" t="s">
        <v>1406</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4" t="s">
        <v>1426</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5104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164.64516129032259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3052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比较法-商业</v>
      </c>
      <c r="D101" s="2585" t="str">
        <f>D4</f>
        <v>收益法</v>
      </c>
      <c r="E101" s="3640" t="s">
        <v>1431</v>
      </c>
      <c r="F101" s="3597"/>
      <c r="G101" s="1826" t="s">
        <v>1432</v>
      </c>
      <c r="H101" s="2594">
        <f ca="1">H118</f>
        <v>5392</v>
      </c>
      <c r="I101" s="129"/>
    </row>
    <row r="102" spans="1:35" ht="18.75" customHeight="1">
      <c r="A102" s="3599" t="s">
        <v>1433</v>
      </c>
      <c r="B102" s="2583" t="s">
        <v>1432</v>
      </c>
      <c r="C102" s="2584">
        <f ca="1">IF(D32="楼面单价",ROUND(C19,0),C19)</f>
        <v>9208</v>
      </c>
      <c r="D102" s="2585">
        <f ca="1">IF(D32="楼面单价",ROUND(D19,0),D19)</f>
        <v>2848</v>
      </c>
      <c r="E102" s="3640"/>
      <c r="F102" s="3597"/>
      <c r="G102" s="1826" t="s">
        <v>1434</v>
      </c>
      <c r="H102" s="2554">
        <f ca="1">I118</f>
        <v>51051</v>
      </c>
      <c r="I102" s="129"/>
    </row>
    <row r="103" spans="1:35" ht="42.75" customHeight="1">
      <c r="A103" s="3599"/>
      <c r="B103" s="2583" t="s">
        <v>1434</v>
      </c>
      <c r="C103" s="2586">
        <f ca="1">C20</f>
        <v>87180</v>
      </c>
      <c r="D103" s="2587">
        <f ca="1">D20</f>
        <v>26965</v>
      </c>
      <c r="E103" s="3634" t="s">
        <v>1435</v>
      </c>
      <c r="F103" s="3635"/>
      <c r="G103" s="1827" t="s">
        <v>1436</v>
      </c>
      <c r="H103" s="2594">
        <f>IF(D36="正常操作",H104+H105+H106,H105+H106)</f>
        <v>0</v>
      </c>
      <c r="I103" s="129"/>
    </row>
    <row r="104" spans="1:35" ht="18.75" customHeight="1">
      <c r="A104" s="3599" t="s">
        <v>1437</v>
      </c>
      <c r="B104" s="2588" t="s">
        <v>1432</v>
      </c>
      <c r="C104" s="2589">
        <f ca="1">H118</f>
        <v>5392</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f ca="1">I118</f>
        <v>51051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97"/>
      <c r="G107" s="1826" t="s">
        <v>1432</v>
      </c>
      <c r="H107" s="2594">
        <f ca="1">IF(E107="——","——",H101-H103)</f>
        <v>5392</v>
      </c>
      <c r="I107" s="129"/>
    </row>
    <row r="108" spans="1:35" ht="18.75" customHeight="1">
      <c r="A108" s="129"/>
      <c r="B108" s="129"/>
      <c r="C108" s="129"/>
      <c r="D108" s="129"/>
      <c r="E108" s="3596"/>
      <c r="F108" s="3597"/>
      <c r="G108" s="1826" t="s">
        <v>1434</v>
      </c>
      <c r="H108" s="2554">
        <f ca="1">IF(H107=H101,H102,ROUND(H107*10000/'数据-汇总表'!E3,0))</f>
        <v>51051</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6" t="s">
        <v>1432</v>
      </c>
      <c r="H109" s="2597" t="str">
        <f>IF(E109="——","——",H101-H105-H106)</f>
        <v>——</v>
      </c>
      <c r="I109" s="129"/>
    </row>
    <row r="110" spans="1:35" ht="18.75" customHeight="1">
      <c r="A110" s="129"/>
      <c r="B110" s="129"/>
      <c r="C110" s="129"/>
      <c r="D110" s="129"/>
      <c r="E110" s="3596"/>
      <c r="F110" s="3597"/>
      <c r="G110" s="1826"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6" t="s">
        <v>1432</v>
      </c>
      <c r="H111" s="2594" t="str">
        <f>IF(E111="——","——",N59)</f>
        <v>——</v>
      </c>
      <c r="I111" s="129"/>
    </row>
    <row r="112" spans="1:35" ht="18.75" customHeight="1" thickBot="1">
      <c r="A112" s="129"/>
      <c r="B112" s="129"/>
      <c r="C112" s="129"/>
      <c r="D112" s="129"/>
      <c r="E112" s="3629"/>
      <c r="F112" s="3630"/>
      <c r="G112" s="1829"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8" t="s">
        <v>1449</v>
      </c>
      <c r="E117" s="2328" t="s">
        <v>1450</v>
      </c>
      <c r="F117" s="2328" t="s">
        <v>1449</v>
      </c>
      <c r="G117" s="2328" t="s">
        <v>1451</v>
      </c>
      <c r="H117" s="2328" t="s">
        <v>1449</v>
      </c>
      <c r="I117" s="2328" t="s">
        <v>1451</v>
      </c>
    </row>
    <row r="118" spans="1:27" ht="24.75" customHeight="1">
      <c r="A118" s="2599" t="str">
        <f>项目基本情况!S2</f>
        <v>北京市朝阳区双花园南里二区9号楼1层12商业用房房地产</v>
      </c>
      <c r="B118" s="2328">
        <f>M18</f>
        <v>1056.2</v>
      </c>
      <c r="C118" s="2328">
        <f>M19</f>
        <v>0</v>
      </c>
      <c r="D118" s="2328">
        <f ca="1">ROUND(IF(D32="总价",C34,E118*B118/10000),0)</f>
        <v>4119</v>
      </c>
      <c r="E118" s="2328">
        <f ca="1">ROUND(IF(C33="自定义",IF(D32="楼面单价",C34,D118*10000/B118),I118-G118),0)</f>
        <v>39003</v>
      </c>
      <c r="F118" s="2328">
        <f ca="1">ROUND(IF(D32="总价",C35,G118*B118/10000),0)</f>
        <v>1273</v>
      </c>
      <c r="G118" s="2328">
        <f ca="1">ROUND(IF(D32="楼面单价",C35,F118*10000/B118),0)</f>
        <v>12048</v>
      </c>
      <c r="H118" s="2328">
        <f ca="1">ROUND(IF(D32="总价",C32,I118*B118/10000),0)</f>
        <v>5392</v>
      </c>
      <c r="I118" s="2328">
        <f ca="1">ROUND(IF(D32="楼面单价",C32,H118*10000/B118),0)</f>
        <v>51051</v>
      </c>
    </row>
    <row r="119" spans="1:27" ht="18.75" customHeight="1">
      <c r="A119" s="3567" t="s">
        <v>1452</v>
      </c>
      <c r="B119" s="3567"/>
      <c r="C119" s="3567"/>
      <c r="D119" s="3607" t="str">
        <f ca="1">NUMBERSTRING(INT(D118*10000),2)&amp;"元整"</f>
        <v>肆仟壹佰壹拾玖万元整</v>
      </c>
      <c r="E119" s="3609"/>
      <c r="F119" s="3607" t="str">
        <f ca="1">NUMBERSTRING(INT(F118*10000),2)&amp;"元整"</f>
        <v>壹仟贰佰柒拾叁万元整</v>
      </c>
      <c r="G119" s="3609"/>
      <c r="H119" s="3607" t="str">
        <f ca="1">NUMBERSTRING(INT(H118*10000),2)&amp;"元整"</f>
        <v>伍仟叁佰玖拾贰万元整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7" t="s">
        <v>1452</v>
      </c>
      <c r="B121" s="3608"/>
      <c r="C121" s="3609"/>
      <c r="D121" s="3607" t="str">
        <f>IF(D120=0,"零元整",NUMBERSTRING(INT(D120*10000),2)&amp;"元整")</f>
        <v>零元整</v>
      </c>
      <c r="E121" s="3608"/>
      <c r="F121" s="3608"/>
      <c r="G121" s="3608"/>
      <c r="H121" s="3608"/>
      <c r="I121" s="3609"/>
      <c r="AA121" s="724"/>
    </row>
    <row r="122" spans="1:27" ht="18.75" customHeight="1">
      <c r="A122" s="3598" t="str">
        <f>IF(项目基本情况!B9="房地产市场价值","",MID(E107,3,LEN(E107)-2))</f>
        <v>房地产抵押价值</v>
      </c>
      <c r="B122" s="3598"/>
      <c r="C122" s="3598"/>
      <c r="D122" s="3631">
        <f ca="1">H107</f>
        <v>5392</v>
      </c>
      <c r="E122" s="3632"/>
      <c r="F122" s="3632"/>
      <c r="G122" s="3632"/>
      <c r="H122" s="3632"/>
      <c r="I122" s="3633"/>
      <c r="AA122" s="724"/>
    </row>
    <row r="123" spans="1:27" ht="18.75" customHeight="1">
      <c r="A123" s="3567" t="s">
        <v>1452</v>
      </c>
      <c r="B123" s="3567"/>
      <c r="C123" s="3567"/>
      <c r="D123" s="3607" t="str">
        <f ca="1">NUMBERSTRING(INT(D122*10000),2)&amp;"元整"</f>
        <v>伍仟叁佰玖拾贰万元整</v>
      </c>
      <c r="E123" s="3608"/>
      <c r="F123" s="3608"/>
      <c r="G123" s="3608"/>
      <c r="H123" s="3608"/>
      <c r="I123" s="3609"/>
      <c r="AA123" s="724"/>
    </row>
    <row r="124" spans="1:27" ht="18.75" customHeight="1">
      <c r="A124" s="3598" t="str">
        <f>IF(项目基本情况!B9="房地产市场价值","",MID(E109,3,LEN(E109)-2))</f>
        <v/>
      </c>
      <c r="B124" s="3598"/>
      <c r="C124" s="3598"/>
      <c r="D124" s="3631" t="str">
        <f>H109</f>
        <v>——</v>
      </c>
      <c r="E124" s="3632"/>
      <c r="F124" s="3632"/>
      <c r="G124" s="3632"/>
      <c r="H124" s="3632"/>
      <c r="I124" s="3633"/>
      <c r="AA124" s="724"/>
    </row>
    <row r="125" spans="1:27" ht="18.75" customHeight="1">
      <c r="A125" s="3567" t="s">
        <v>1452</v>
      </c>
      <c r="B125" s="3567"/>
      <c r="C125" s="3567"/>
      <c r="D125" s="3607" t="e">
        <f>NUMBERSTRING(INT(D124*10000),2)&amp;"元整"</f>
        <v>#VALUE!</v>
      </c>
      <c r="E125" s="3608"/>
      <c r="F125" s="3608"/>
      <c r="G125" s="3608"/>
      <c r="H125" s="3608"/>
      <c r="I125" s="3609"/>
      <c r="AA125" s="724"/>
    </row>
    <row r="126" spans="1:27" ht="18.75" customHeight="1">
      <c r="A126" s="3598" t="str">
        <f>IF(项目基本情况!B9="房地产市场价值","",MID(E111,3,LEN(E111)-2))</f>
        <v/>
      </c>
      <c r="B126" s="3598"/>
      <c r="C126" s="3598"/>
      <c r="D126" s="3631" t="str">
        <f>H111</f>
        <v>——</v>
      </c>
      <c r="E126" s="3632"/>
      <c r="F126" s="3632"/>
      <c r="G126" s="3632"/>
      <c r="H126" s="3632"/>
      <c r="I126" s="3633"/>
      <c r="AA126" s="724"/>
    </row>
    <row r="127" spans="1:27" ht="18.75" customHeight="1">
      <c r="A127" s="3567" t="s">
        <v>1452</v>
      </c>
      <c r="B127" s="3567"/>
      <c r="C127" s="3567"/>
      <c r="D127" s="3607" t="e">
        <f>NUMBERSTRING(INT(D126*10000),2)&amp;"元整"</f>
        <v>#VALUE!</v>
      </c>
      <c r="E127" s="3608"/>
      <c r="F127" s="3608"/>
      <c r="G127" s="3608"/>
      <c r="H127" s="3608"/>
      <c r="I127" s="3609"/>
      <c r="AA127" s="724"/>
    </row>
    <row r="128" spans="1:27" ht="21.75" customHeight="1">
      <c r="A128" s="3614" t="s">
        <v>1453</v>
      </c>
      <c r="B128" s="3614"/>
      <c r="C128" s="3614"/>
      <c r="D128" s="3614"/>
      <c r="E128" s="3614"/>
      <c r="F128" s="3614"/>
      <c r="G128" s="3614"/>
      <c r="H128" s="3614"/>
      <c r="I128" s="361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3" sqref="I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5770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54630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3739</v>
      </c>
      <c r="D5" s="211" t="s">
        <v>1469</v>
      </c>
      <c r="E5" s="212" t="s">
        <v>1470</v>
      </c>
      <c r="F5" s="212" t="s">
        <v>1471</v>
      </c>
      <c r="G5" s="213"/>
    </row>
    <row r="6" spans="1:9" s="214" customFormat="1" ht="13.5" customHeight="1">
      <c r="A6" s="777" t="s">
        <v>1472</v>
      </c>
      <c r="B6" s="215" t="s">
        <v>1473</v>
      </c>
      <c r="C6" s="216">
        <f>基准地价修正!V2</f>
        <v>3608</v>
      </c>
      <c r="D6" s="217"/>
      <c r="E6" s="218"/>
      <c r="F6" s="218"/>
      <c r="G6" s="219"/>
    </row>
    <row r="7" spans="1:9" s="214" customFormat="1" ht="13.5" customHeight="1">
      <c r="A7" s="777" t="s">
        <v>1474</v>
      </c>
      <c r="B7" s="215" t="s">
        <v>1475</v>
      </c>
      <c r="C7" s="220">
        <f>ROUND(C6*F7,0)</f>
        <v>110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21</v>
      </c>
      <c r="D8" s="222"/>
      <c r="E8" s="220"/>
      <c r="F8" s="221"/>
      <c r="G8" s="1855" t="s">
        <v>3513</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3514</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1056.2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1056.2</v>
      </c>
      <c r="E19" s="211">
        <f>'数据-取费表'!B31</f>
        <v>200</v>
      </c>
      <c r="F19" s="231"/>
      <c r="G19" s="1855" t="s">
        <v>3515</v>
      </c>
    </row>
    <row r="20" spans="1:7" s="214" customFormat="1" ht="13.5" customHeight="1">
      <c r="A20" s="255" t="s">
        <v>1493</v>
      </c>
      <c r="B20" s="210" t="s">
        <v>1494</v>
      </c>
      <c r="C20" s="232">
        <f ca="1">ROUND((C5+C19)*F20,0)</f>
        <v>112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266</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262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4</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770</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770</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370</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1056.2</v>
      </c>
      <c r="E37" s="249">
        <f>'数据-取费表'!B35</f>
        <v>200</v>
      </c>
      <c r="F37" s="259"/>
      <c r="G37" s="261" t="s">
        <v>1532</v>
      </c>
    </row>
    <row r="38" spans="1:7" ht="13.5" customHeight="1">
      <c r="A38" s="779"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14</v>
      </c>
      <c r="D42" s="238"/>
      <c r="E42" s="238"/>
      <c r="F42" s="239"/>
      <c r="G42" s="3647" t="s">
        <v>1544</v>
      </c>
    </row>
    <row r="43" spans="1:7" ht="13.5" customHeight="1">
      <c r="A43" s="779" t="s">
        <v>347</v>
      </c>
      <c r="B43" s="215" t="s">
        <v>1545</v>
      </c>
      <c r="C43" s="238">
        <f ca="1">ROUND(IF('数据-取费表'!B22&lt;=1,C39*F22*'数据-取费表'!B21/2,C39*(POWER((1+F22),'数据-取费表'!B21/2)-1)),0)</f>
        <v>0</v>
      </c>
      <c r="D43" s="238"/>
      <c r="E43" s="238"/>
      <c r="F43" s="239"/>
      <c r="G43" s="3648"/>
    </row>
    <row r="44" spans="1:7" ht="13.5" customHeight="1">
      <c r="A44" s="779"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84</v>
      </c>
      <c r="D45" s="235">
        <f ca="1">C47</f>
        <v>6.0000000000000001E-3</v>
      </c>
      <c r="E45" s="236" t="s">
        <v>1539</v>
      </c>
      <c r="F45" s="246">
        <f ca="1">F27</f>
        <v>0.2</v>
      </c>
      <c r="G45" s="247" t="s">
        <v>1548</v>
      </c>
    </row>
    <row r="46" spans="1:7" s="214" customFormat="1" ht="13.5" customHeight="1">
      <c r="A46" s="779" t="s">
        <v>346</v>
      </c>
      <c r="B46" s="248" t="s">
        <v>1549</v>
      </c>
      <c r="C46" s="249">
        <f ca="1">ROUND((C33+C39)*F27,0)</f>
        <v>84</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398</v>
      </c>
      <c r="D51" s="232"/>
      <c r="E51" s="232"/>
      <c r="F51" s="264"/>
      <c r="G51" s="234" t="s">
        <v>1560</v>
      </c>
    </row>
    <row r="52" spans="1:7" s="208" customFormat="1" ht="16.5" thickBot="1">
      <c r="A52" s="265" t="s">
        <v>1561</v>
      </c>
      <c r="B52" s="266"/>
      <c r="C52" s="267">
        <f ca="1">C31+C51</f>
        <v>5770</v>
      </c>
      <c r="D52" s="266"/>
      <c r="E52" s="266"/>
      <c r="F52" s="266"/>
      <c r="G52" s="268"/>
    </row>
    <row r="55" spans="1:7" ht="15">
      <c r="B55" s="270" t="s">
        <v>1562</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4" t="str">
        <f>项目基本情况!B1</f>
        <v>北京市朝阳区双花园南里二区9号楼1层12商业用房房地产抵押价值预评估</v>
      </c>
      <c r="C37" s="3464"/>
      <c r="D37" s="3464"/>
      <c r="E37" s="3464"/>
      <c r="F37" s="3464"/>
      <c r="G37" s="3464"/>
      <c r="H37" s="3464"/>
      <c r="I37" s="346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U3" sqref="U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1056.2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3608</v>
      </c>
      <c r="C2" s="1998" t="s">
        <v>1935</v>
      </c>
      <c r="D2" s="1999" t="s">
        <v>1936</v>
      </c>
      <c r="E2" s="3421"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8"/>
      <c r="L2" s="2002" t="s">
        <v>1939</v>
      </c>
      <c r="M2" s="863">
        <f>SUMPRODUCT((区片价!B10:B29=I2)*(区片价!C3:G3=E2)*(区片价!C10:G29))</f>
        <v>27750</v>
      </c>
      <c r="N2" s="865">
        <f>SUMPRODUCT((因素修正幅度!B10:B29=I2)*(因素修正幅度!C3:G3=E2)*(因素修正幅度!C10:G29))</f>
        <v>9.9000000000000005E-2</v>
      </c>
      <c r="O2" s="1118"/>
      <c r="P2" s="1118"/>
      <c r="Q2" s="1118"/>
      <c r="R2" s="1211">
        <v>1</v>
      </c>
      <c r="S2" s="3360">
        <f>ROUND(SUMPRODUCT((B106:B110=R2)*(C105:N105=G2)*(C106:N110)),4)</f>
        <v>1.5206</v>
      </c>
      <c r="T2" s="3360">
        <f t="shared" ref="T2:T16" si="0">ROUND($C$5*$C$22*$C$23*$C$24*S2*$C$28,0)</f>
        <v>34157</v>
      </c>
      <c r="U2" s="1212">
        <f>'数据-汇总表'!E3</f>
        <v>1056.2</v>
      </c>
      <c r="V2" s="3360">
        <f>ROUND(T2*U2/10000,0)</f>
        <v>3608</v>
      </c>
      <c r="W2" s="1215"/>
      <c r="X2" s="1215"/>
      <c r="Y2" s="1215"/>
      <c r="Z2" s="1215"/>
      <c r="AA2" s="1215"/>
      <c r="AB2" s="1215"/>
      <c r="AC2" s="1216"/>
      <c r="AD2" s="1217"/>
      <c r="AE2" s="1217"/>
      <c r="AF2" s="1217"/>
      <c r="AG2" s="1217"/>
      <c r="AH2" s="1217"/>
      <c r="AI2" s="1217"/>
      <c r="AJ2" s="1218"/>
    </row>
    <row r="3" spans="1:36" ht="15.75">
      <c r="A3" s="203" t="s">
        <v>1940</v>
      </c>
      <c r="B3" s="204">
        <f>ROUND(B2*10000/D1,0)</f>
        <v>34160</v>
      </c>
      <c r="C3" s="1998" t="s">
        <v>1941</v>
      </c>
      <c r="D3" s="1999" t="s">
        <v>1942</v>
      </c>
      <c r="E3" s="3419" t="s">
        <v>2443</v>
      </c>
      <c r="F3" s="2003" t="s">
        <v>3407</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27117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57"/>
      <c r="B4" s="3658"/>
      <c r="C4" s="3658"/>
      <c r="D4" s="3659"/>
      <c r="E4" s="3659"/>
      <c r="F4" s="3659"/>
      <c r="G4" s="3659"/>
      <c r="H4" s="3659"/>
      <c r="I4" s="3659"/>
      <c r="J4" s="366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23431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27713</v>
      </c>
      <c r="D5" s="1338">
        <f>ROUND(C6*C17+C20,0)</f>
        <v>27713</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21203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27750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20208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8"/>
      <c r="B8" s="170" t="s">
        <v>1957</v>
      </c>
      <c r="C8" s="2025" t="s">
        <v>3510</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4" t="s">
        <v>1960</v>
      </c>
      <c r="X8" s="36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6"/>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1" t="s">
        <v>3260</v>
      </c>
      <c r="B20" s="167" t="s">
        <v>1994</v>
      </c>
      <c r="C20" s="3324">
        <f>ROUND(IF(F21="与级别开发程度一致",0,(G21-E21)/C21),0)</f>
        <v>-37</v>
      </c>
      <c r="D20" s="3340" t="s">
        <v>1998</v>
      </c>
      <c r="E20" s="3341"/>
      <c r="F20" s="3667" t="s">
        <v>1995</v>
      </c>
      <c r="G20" s="3668"/>
      <c r="H20" s="3325" t="s">
        <v>3388</v>
      </c>
      <c r="I20" s="3325" t="s">
        <v>3389</v>
      </c>
      <c r="J20" s="3326" t="s">
        <v>3390</v>
      </c>
      <c r="K20" s="2046" t="s">
        <v>3391</v>
      </c>
      <c r="L20" s="2046" t="s">
        <v>3392</v>
      </c>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2"/>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3512</v>
      </c>
      <c r="G21" s="2156">
        <f>SUM(H21:O21)</f>
        <v>245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45163</v>
      </c>
      <c r="H23" s="3342" t="s">
        <v>3262</v>
      </c>
      <c r="I23" s="3343" t="str">
        <f>IF(H23="季度增幅（自定义）",SUMIF(N25:N28,E2,O25:O28),"")</f>
        <v/>
      </c>
      <c r="J23" s="3445" t="s">
        <v>3261</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0.75580000000000003</v>
      </c>
      <c r="D24" s="2059" t="s">
        <v>2007</v>
      </c>
      <c r="E24" s="1334">
        <f>存贷款利率!E24/100</f>
        <v>4.3499999999999997E-2</v>
      </c>
      <c r="F24" s="2059" t="s">
        <v>1999</v>
      </c>
      <c r="G24" s="767">
        <f>SUMIF(M30:Q30,E2,M33:Q33)</f>
        <v>5.5E-2</v>
      </c>
      <c r="H24" s="2059" t="s">
        <v>2008</v>
      </c>
      <c r="I24" s="768">
        <f>SUMIF('数据-取费表'!C6:C15,E2,'数据-取费表'!F6:F15)/COUNTIF('数据-取费表'!C6:C15,E2)</f>
        <v>20.54</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3511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1.0317000000000001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3608</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f>'数据-汇总表'!E3</f>
        <v>1056.2</v>
      </c>
      <c r="E33" s="772">
        <f>ROUND(C33*D33/10000,0)</f>
        <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5"/>
      <c r="B37" s="2112" t="s">
        <v>2036</v>
      </c>
      <c r="C37" s="175">
        <f>ROUND(D5*C22*C23*C24*C28*F37,0)</f>
        <v>15724</v>
      </c>
      <c r="D37" s="2097"/>
      <c r="E37" s="171">
        <f>ROUND(C37*D37/10000,0)</f>
        <v>0</v>
      </c>
      <c r="F37" s="171">
        <f>SUMIF(修正!A57:A68,G2,修正!B57:B68)</f>
        <v>0.7</v>
      </c>
      <c r="G37" s="171">
        <f>ROUND(IF(E2="工业",C37*$M$42,C37*$M$41),0)</f>
        <v>3931</v>
      </c>
      <c r="H37" s="171">
        <f>D37</f>
        <v>0</v>
      </c>
      <c r="I37" s="171">
        <f>ROUND(G37*H37/10000,0)</f>
        <v>0</v>
      </c>
      <c r="J37" s="3011"/>
      <c r="K37" s="3358" t="s">
        <v>3272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6"/>
      <c r="B38" s="2040" t="s">
        <v>2037</v>
      </c>
      <c r="C38" s="175">
        <f>ROUND(D5*C22*C23*C24*C28*F38,0)</f>
        <v>8985</v>
      </c>
      <c r="D38" s="2097"/>
      <c r="E38" s="171">
        <f t="shared" ref="E38:E42" si="4">ROUND(C38*D38/10000,0)</f>
        <v>0</v>
      </c>
      <c r="F38" s="171">
        <f>SUMIF(修正!A57:A68,G2,修正!C57:C68)</f>
        <v>0.4</v>
      </c>
      <c r="G38" s="171">
        <f>ROUND(IF(E2="工业",C38*$M$42,C38*$M$41),0)</f>
        <v>2246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6"/>
      <c r="B39" s="2040" t="s">
        <v>3265</v>
      </c>
      <c r="C39" s="175">
        <f>ROUND(D5*C22*C23*C24*C28*F39,0)</f>
        <v>6739</v>
      </c>
      <c r="D39" s="2097"/>
      <c r="E39" s="171">
        <f t="shared" si="4"/>
        <v>0</v>
      </c>
      <c r="F39" s="171">
        <f>SUMIF(修正!A57:A68,G2,修正!D57:D68)</f>
        <v>0.3</v>
      </c>
      <c r="G39" s="171">
        <f>ROUND(IF(E2="工业",C39*$M$42,C39*$M$41),0)</f>
        <v>1685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6739</v>
      </c>
      <c r="D40" s="2097"/>
      <c r="E40" s="171">
        <f t="shared" si="4"/>
        <v>0</v>
      </c>
      <c r="F40" s="175">
        <f>SUMIF(修正!A57:A68,G2,修正!E57:E68)</f>
        <v>0.3</v>
      </c>
      <c r="G40" s="171">
        <f>ROUND(IF(E2="工业",C40*$M$42,C40*$M$41),0)</f>
        <v>1685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6387</v>
      </c>
      <c r="D41" s="2097"/>
      <c r="E41" s="171">
        <f t="shared" si="4"/>
        <v>0</v>
      </c>
      <c r="F41" s="175">
        <f>SUMIF(修正!A57:A68,G2,修正!F57:F68)</f>
        <v>0.3</v>
      </c>
      <c r="G41" s="171">
        <f>ROUND(IF(E2="工业",C41*$M$42,C41*$M$41),0)</f>
        <v>1597</v>
      </c>
      <c r="H41" s="171">
        <f t="shared" si="5"/>
        <v>0</v>
      </c>
      <c r="I41" s="171">
        <f t="shared" si="6"/>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4258</v>
      </c>
      <c r="D42" s="2102"/>
      <c r="E42" s="187">
        <f t="shared" si="4"/>
        <v>0</v>
      </c>
      <c r="F42" s="766">
        <f>SUMIF(修正!A57:A68,G2,修正!G57:G68)</f>
        <v>0.2</v>
      </c>
      <c r="G42" s="187">
        <f>ROUND(IF(E2="工业",C42*$M$42,C42*$M$41),0)</f>
        <v>1065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0.71630000000000005</v>
      </c>
      <c r="D44" s="171" t="s">
        <v>1999</v>
      </c>
      <c r="E44" s="2152">
        <f>G24</f>
        <v>5.5E-2</v>
      </c>
      <c r="F44" s="171" t="s">
        <v>2008</v>
      </c>
      <c r="G44" s="183">
        <f>项目基本情况!D15</f>
        <v>20.54</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1.0317000000000001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3422</v>
      </c>
      <c r="D50" s="1064">
        <f t="shared" ref="D50:D58" si="7">SUMIF($J$49:$N$49,C50,J50:N50)</f>
        <v>0</v>
      </c>
      <c r="E50" s="743">
        <f>ROUND(SUM(D50:D58),4)</f>
        <v>3.1699999999999999E-2</v>
      </c>
      <c r="F50" s="1813">
        <f>IF(E2="商业",SUMIF(L1:L12,G2,N1:N12),"——")</f>
        <v>9.9000000000000005E-2</v>
      </c>
      <c r="G50" s="1062">
        <f>H50</f>
        <v>1.4800000000000001E-2</v>
      </c>
      <c r="H50" s="1065">
        <f t="shared" ref="H50:H58" si="8">IFERROR(ROUNDDOWN($F$50*I50/2,4),"——")</f>
        <v>1.4800000000000001E-2</v>
      </c>
      <c r="I50" s="3366">
        <v>0.3</v>
      </c>
      <c r="J50" s="1063">
        <f t="shared" ref="J50:J58" si="9">K50+$G50</f>
        <v>2.9600000000000001E-2</v>
      </c>
      <c r="K50" s="1063">
        <f t="shared" ref="K50:K58" si="10">$L50+$G50</f>
        <v>1.4800000000000001E-2</v>
      </c>
      <c r="L50" s="1063">
        <v>0</v>
      </c>
      <c r="M50" s="1063">
        <f t="shared" ref="M50:N58" si="11">L50-$G50</f>
        <v>-1.4800000000000001E-2</v>
      </c>
      <c r="N50" s="1063">
        <f t="shared" si="11"/>
        <v>-2.9600000000000001E-2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3421</v>
      </c>
      <c r="D51" s="1064">
        <f t="shared" si="7"/>
        <v>1.0800000000000001E-2</v>
      </c>
      <c r="E51" s="744"/>
      <c r="F51" s="1813"/>
      <c r="G51" s="1062">
        <f t="shared" ref="G51:G58" si="12">H51</f>
        <v>1.0800000000000001E-2</v>
      </c>
      <c r="H51" s="1065">
        <f t="shared" si="8"/>
        <v>1.0800000000000001E-2</v>
      </c>
      <c r="I51" s="3366">
        <v>0.22</v>
      </c>
      <c r="J51" s="1063">
        <f t="shared" si="9"/>
        <v>2.1600000000000001E-2</v>
      </c>
      <c r="K51" s="1063">
        <f t="shared" si="10"/>
        <v>1.0800000000000001E-2</v>
      </c>
      <c r="L51" s="1063">
        <v>0</v>
      </c>
      <c r="M51" s="1063">
        <f t="shared" si="11"/>
        <v>-1.0800000000000001E-2</v>
      </c>
      <c r="N51" s="1063">
        <f t="shared" si="11"/>
        <v>-2.1600000000000001E-2</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t="s">
        <v>3421</v>
      </c>
      <c r="D52" s="1064">
        <f t="shared" si="7"/>
        <v>5.8999999999999999E-3</v>
      </c>
      <c r="E52" s="744"/>
      <c r="F52" s="1813"/>
      <c r="G52" s="1062">
        <f t="shared" si="12"/>
        <v>5.8999999999999999E-3</v>
      </c>
      <c r="H52" s="1065">
        <f t="shared" si="8"/>
        <v>5.8999999999999999E-3</v>
      </c>
      <c r="I52" s="3366">
        <v>0.12</v>
      </c>
      <c r="J52" s="1063">
        <f t="shared" si="9"/>
        <v>1.18E-2</v>
      </c>
      <c r="K52" s="1063">
        <f t="shared" si="10"/>
        <v>5.8999999999999999E-3</v>
      </c>
      <c r="L52" s="1063">
        <v>0</v>
      </c>
      <c r="M52" s="1063">
        <f t="shared" si="11"/>
        <v>-5.8999999999999999E-3</v>
      </c>
      <c r="N52" s="1063">
        <f t="shared" si="11"/>
        <v>-1.18E-2</v>
      </c>
      <c r="AA52" s="1119"/>
      <c r="AB52" s="1119"/>
      <c r="AC52" s="1119"/>
      <c r="AD52" s="1119"/>
      <c r="AE52" s="1119"/>
      <c r="AF52" s="1119"/>
      <c r="AG52" s="1119"/>
      <c r="AH52" s="1119"/>
      <c r="AI52" s="1119"/>
      <c r="AJ52" s="1119"/>
      <c r="AK52" s="1119"/>
    </row>
    <row r="53" spans="1:37" s="1118" customFormat="1" ht="36.75">
      <c r="A53" s="2129" t="s">
        <v>2054</v>
      </c>
      <c r="B53" s="2134" t="s">
        <v>2055</v>
      </c>
      <c r="C53" s="2043" t="s">
        <v>3421</v>
      </c>
      <c r="D53" s="1064">
        <f t="shared" si="7"/>
        <v>2.3999999999999998E-3</v>
      </c>
      <c r="E53" s="744"/>
      <c r="F53" s="1813"/>
      <c r="G53" s="1062">
        <f t="shared" si="12"/>
        <v>2.3999999999999998E-3</v>
      </c>
      <c r="H53" s="1065">
        <f t="shared" si="8"/>
        <v>2.3999999999999998E-3</v>
      </c>
      <c r="I53" s="3366">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3422</v>
      </c>
      <c r="D54" s="1064">
        <f t="shared" si="7"/>
        <v>0</v>
      </c>
      <c r="E54" s="744"/>
      <c r="F54" s="1813"/>
      <c r="G54" s="1062">
        <f t="shared" si="12"/>
        <v>3.8999999999999998E-3</v>
      </c>
      <c r="H54" s="1065">
        <f t="shared" si="8"/>
        <v>3.8999999999999998E-3</v>
      </c>
      <c r="I54" s="3366">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3421</v>
      </c>
      <c r="D55" s="1064">
        <f t="shared" si="7"/>
        <v>2.3999999999999998E-3</v>
      </c>
      <c r="E55" s="744"/>
      <c r="F55" s="1813"/>
      <c r="G55" s="1062">
        <f t="shared" si="12"/>
        <v>2.3999999999999998E-3</v>
      </c>
      <c r="H55" s="1065">
        <f t="shared" si="8"/>
        <v>2.3999999999999998E-3</v>
      </c>
      <c r="I55" s="3366">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3421</v>
      </c>
      <c r="D56" s="1064">
        <f t="shared" si="7"/>
        <v>2.3999999999999998E-3</v>
      </c>
      <c r="E56" s="744"/>
      <c r="F56" s="1813"/>
      <c r="G56" s="1062">
        <f t="shared" si="12"/>
        <v>2.3999999999999998E-3</v>
      </c>
      <c r="H56" s="1065">
        <f t="shared" si="8"/>
        <v>2.3999999999999998E-3</v>
      </c>
      <c r="I56" s="3366">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3420</v>
      </c>
      <c r="D57" s="1064">
        <f t="shared" si="7"/>
        <v>7.7999999999999996E-3</v>
      </c>
      <c r="E57" s="744"/>
      <c r="F57" s="1813"/>
      <c r="G57" s="1062">
        <f t="shared" si="12"/>
        <v>3.8999999999999998E-3</v>
      </c>
      <c r="H57" s="1065">
        <f t="shared" si="8"/>
        <v>3.8999999999999998E-3</v>
      </c>
      <c r="I57" s="3366">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3422</v>
      </c>
      <c r="D58" s="1064">
        <f t="shared" si="7"/>
        <v>0</v>
      </c>
      <c r="E58" s="745"/>
      <c r="F58" s="1813"/>
      <c r="G58" s="1062">
        <f t="shared" si="12"/>
        <v>2.3999999999999998E-3</v>
      </c>
      <c r="H58" s="1065">
        <f t="shared" si="8"/>
        <v>2.3999999999999998E-3</v>
      </c>
      <c r="I58" s="3367">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63" t="s">
        <v>3300</v>
      </c>
      <c r="B103" s="3663"/>
      <c r="C103" s="3663"/>
      <c r="D103" s="3663"/>
      <c r="E103" s="3663"/>
      <c r="F103" s="3663"/>
      <c r="G103" s="3663"/>
      <c r="H103" s="3663"/>
      <c r="I103" s="3663"/>
      <c r="J103" s="3663"/>
      <c r="K103" s="3389"/>
      <c r="L103" s="3389"/>
      <c r="M103" s="3389"/>
      <c r="N103" s="3389"/>
    </row>
    <row r="104" spans="1:14">
      <c r="A104" s="3664" t="s">
        <v>3301</v>
      </c>
      <c r="B104" s="3664" t="s">
        <v>3302</v>
      </c>
      <c r="C104" s="3390" t="s">
        <v>3303</v>
      </c>
      <c r="D104" s="3391"/>
      <c r="E104" s="3391"/>
      <c r="F104" s="3391"/>
      <c r="G104" s="3391"/>
      <c r="H104" s="3391"/>
      <c r="I104" s="3391"/>
      <c r="J104" s="3392"/>
      <c r="K104" s="3393"/>
      <c r="L104" s="3393"/>
      <c r="M104" s="3393"/>
      <c r="N104" s="3393"/>
    </row>
    <row r="105" spans="1:14">
      <c r="A105" s="3664"/>
      <c r="B105" s="3664"/>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650"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1"/>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5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53" t="s">
        <v>3317</v>
      </c>
      <c r="B113" s="3653"/>
      <c r="C113" s="3653"/>
      <c r="D113" s="3653"/>
      <c r="E113" s="3653"/>
      <c r="F113" s="3653"/>
      <c r="G113" s="3653"/>
      <c r="H113" s="3653"/>
      <c r="I113" s="3653"/>
      <c r="J113" s="36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3.5</v>
      </c>
      <c r="C116" s="3399" t="s">
        <v>3319</v>
      </c>
      <c r="D116" s="3400">
        <f>SUMPRODUCT((A118:A122=F116)*(B117:M117=H116)*B118:M122)</f>
        <v>0.95830000000000004</v>
      </c>
      <c r="E116" s="1999" t="s">
        <v>3320</v>
      </c>
      <c r="F116" s="3401" t="str">
        <f>E2</f>
        <v>商业</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0.95830000000000004</v>
      </c>
      <c r="C118" s="3387">
        <f>B118</f>
        <v>0.95830000000000004</v>
      </c>
      <c r="D118" s="3387">
        <f>ROUND(0.949-0.014*B116,4)</f>
        <v>0.9</v>
      </c>
      <c r="E118" s="3387">
        <f>D118</f>
        <v>0.9</v>
      </c>
      <c r="F118" s="3387">
        <f>E118</f>
        <v>0.9</v>
      </c>
      <c r="G118" s="3387">
        <f>F118</f>
        <v>0.9</v>
      </c>
      <c r="H118" s="3387">
        <f>G118</f>
        <v>0.9</v>
      </c>
      <c r="I118" s="3387">
        <f>ROUND(0.8486-0.018*B116,4)</f>
        <v>0.78559999999999997</v>
      </c>
      <c r="J118" s="3387">
        <f t="shared" ref="J118:M122" si="36">I118</f>
        <v>0.78559999999999997</v>
      </c>
      <c r="K118" s="3387">
        <f t="shared" si="36"/>
        <v>0.78559999999999997</v>
      </c>
      <c r="L118" s="3387">
        <f t="shared" si="36"/>
        <v>0.78559999999999997</v>
      </c>
      <c r="M118" s="3410">
        <f t="shared" si="36"/>
        <v>0.78559999999999997</v>
      </c>
      <c r="N118" s="3397"/>
    </row>
    <row r="119" spans="1:14">
      <c r="A119" s="3409" t="s">
        <v>3335</v>
      </c>
      <c r="B119" s="3387">
        <f>ROUND(0.993-0.0112*B116,4)</f>
        <v>0.95379999999999998</v>
      </c>
      <c r="C119" s="3387">
        <f>B119</f>
        <v>0.95379999999999998</v>
      </c>
      <c r="D119" s="3387">
        <f>ROUND(0.9415-0.0142*B116,4)</f>
        <v>0.89180000000000004</v>
      </c>
      <c r="E119" s="3387">
        <f t="shared" ref="E119:H120" si="37">D119</f>
        <v>0.89180000000000004</v>
      </c>
      <c r="F119" s="3387">
        <f t="shared" si="37"/>
        <v>0.89180000000000004</v>
      </c>
      <c r="G119" s="3387">
        <f t="shared" si="37"/>
        <v>0.89180000000000004</v>
      </c>
      <c r="H119" s="3387">
        <f t="shared" si="37"/>
        <v>0.89180000000000004</v>
      </c>
      <c r="I119" s="3387">
        <f>ROUND(0.838-0.0182*B116,4)</f>
        <v>0.77429999999999999</v>
      </c>
      <c r="J119" s="3387">
        <f t="shared" si="36"/>
        <v>0.77429999999999999</v>
      </c>
      <c r="K119" s="3387">
        <f t="shared" si="36"/>
        <v>0.77429999999999999</v>
      </c>
      <c r="L119" s="3387">
        <f t="shared" si="36"/>
        <v>0.77429999999999999</v>
      </c>
      <c r="M119" s="3410">
        <f t="shared" si="36"/>
        <v>0.77429999999999999</v>
      </c>
      <c r="N119" s="3397"/>
    </row>
    <row r="120" spans="1:14">
      <c r="A120" s="3409" t="s">
        <v>3336</v>
      </c>
      <c r="B120" s="3387">
        <f>ROUND(0.9448-0.0115*B116,4)</f>
        <v>0.90459999999999996</v>
      </c>
      <c r="C120" s="3387">
        <f>B120</f>
        <v>0.90459999999999996</v>
      </c>
      <c r="D120" s="3387">
        <f>ROUND(0.937-0.0145*B116,4)</f>
        <v>0.88629999999999998</v>
      </c>
      <c r="E120" s="3387">
        <f t="shared" si="37"/>
        <v>0.88629999999999998</v>
      </c>
      <c r="F120" s="3387">
        <f t="shared" si="37"/>
        <v>0.88629999999999998</v>
      </c>
      <c r="G120" s="3387">
        <f t="shared" si="37"/>
        <v>0.88629999999999998</v>
      </c>
      <c r="H120" s="3387">
        <f t="shared" si="37"/>
        <v>0.88629999999999998</v>
      </c>
      <c r="I120" s="3387">
        <f>ROUND(0.7965-0.0185*B116,4)</f>
        <v>0.73180000000000001</v>
      </c>
      <c r="J120" s="3387">
        <f t="shared" si="36"/>
        <v>0.73180000000000001</v>
      </c>
      <c r="K120" s="3387">
        <f t="shared" si="36"/>
        <v>0.73180000000000001</v>
      </c>
      <c r="L120" s="3387">
        <f t="shared" si="36"/>
        <v>0.73180000000000001</v>
      </c>
      <c r="M120" s="3410">
        <f t="shared" si="36"/>
        <v>0.73180000000000001</v>
      </c>
      <c r="N120" s="3397"/>
    </row>
    <row r="121" spans="1:14" ht="13.5" thickBot="1">
      <c r="A121" s="3411" t="s">
        <v>3337</v>
      </c>
      <c r="B121" s="3412">
        <f>ROUND(0.7836-0.012*B116,4)</f>
        <v>0.74160000000000004</v>
      </c>
      <c r="C121" s="3412">
        <f>B121</f>
        <v>0.74160000000000004</v>
      </c>
      <c r="D121" s="3412">
        <f>ROUND(0.753-0.015*B116,4)</f>
        <v>0.70050000000000001</v>
      </c>
      <c r="E121" s="3412">
        <f>D121</f>
        <v>0.70050000000000001</v>
      </c>
      <c r="F121" s="3412">
        <f>E121</f>
        <v>0.70050000000000001</v>
      </c>
      <c r="G121" s="3412">
        <f>ROUND(0.6612-0.018*B116,4)</f>
        <v>0.59819999999999995</v>
      </c>
      <c r="H121" s="3412">
        <f>G121</f>
        <v>0.59819999999999995</v>
      </c>
      <c r="I121" s="3412">
        <f>ROUND(0.5905-0.019*B116,4)</f>
        <v>0.52400000000000002</v>
      </c>
      <c r="J121" s="3412">
        <f t="shared" si="36"/>
        <v>0.52400000000000002</v>
      </c>
      <c r="K121" s="3412">
        <f t="shared" si="36"/>
        <v>0.52400000000000002</v>
      </c>
      <c r="L121" s="3412">
        <f t="shared" si="36"/>
        <v>0.52400000000000002</v>
      </c>
      <c r="M121" s="3413">
        <f t="shared" si="36"/>
        <v>0.52400000000000002</v>
      </c>
      <c r="N121" s="3397"/>
    </row>
    <row r="122" spans="1:14">
      <c r="A122" s="3414" t="s">
        <v>2616</v>
      </c>
      <c r="B122" s="3387">
        <f>ROUND(0.9404-0.0106*B116,4)</f>
        <v>0.90329999999999999</v>
      </c>
      <c r="C122" s="3387">
        <f>B122</f>
        <v>0.90329999999999999</v>
      </c>
      <c r="D122" s="3387">
        <f>ROUND(0.8955-0.0135*B116,4)</f>
        <v>0.84830000000000005</v>
      </c>
      <c r="E122" s="3387">
        <f t="shared" ref="E122:H122" si="38">D122</f>
        <v>0.84830000000000005</v>
      </c>
      <c r="F122" s="3387">
        <f t="shared" si="38"/>
        <v>0.84830000000000005</v>
      </c>
      <c r="G122" s="3387">
        <f t="shared" si="38"/>
        <v>0.84830000000000005</v>
      </c>
      <c r="H122" s="3387">
        <f t="shared" si="38"/>
        <v>0.84830000000000005</v>
      </c>
      <c r="I122" s="3387">
        <f>ROUND(0.7632-0.0166*B116,4)</f>
        <v>0.70509999999999995</v>
      </c>
      <c r="J122" s="3387">
        <f t="shared" si="36"/>
        <v>0.70509999999999995</v>
      </c>
      <c r="K122" s="3387">
        <f t="shared" si="36"/>
        <v>0.70509999999999995</v>
      </c>
      <c r="L122" s="3387">
        <f t="shared" si="36"/>
        <v>0.70509999999999995</v>
      </c>
      <c r="M122" s="3410">
        <f t="shared" si="36"/>
        <v>0.70509999999999995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459.3492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211240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211240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211240</v>
      </c>
      <c r="D10" s="844">
        <f ca="1">IF(B1="",'数据-汇总表'!E6,IF(INDIRECT("'数据-取费表'!c"&amp;$G$1)="住宅",INDIRECT("'数据-取费表'!s"&amp;$G$1),INDIRECT("'数据-取费表'!k"&amp;$G$1)+INDIRECT("'数据-取费表'!s"&amp;$G$1)))</f>
        <v>1056.2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211240</v>
      </c>
      <c r="D19" s="848">
        <f ca="1">D9+D10</f>
        <v>1056.2</v>
      </c>
      <c r="E19" s="211">
        <f>'数据-取费表'!B31</f>
        <v>200</v>
      </c>
      <c r="F19" s="231"/>
      <c r="G19" s="1855"/>
    </row>
    <row r="20" spans="1:7" s="214" customFormat="1" ht="13.5" customHeight="1">
      <c r="A20" s="255" t="s">
        <v>1574</v>
      </c>
      <c r="B20" s="210" t="s">
        <v>1575</v>
      </c>
      <c r="C20" s="232">
        <f ca="1">ROUND((C5+C19)*F20,0)</f>
        <v>12674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30091</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14827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14827</v>
      </c>
      <c r="D24" s="238"/>
      <c r="E24" s="238"/>
      <c r="F24" s="239"/>
      <c r="G24" s="240" t="s">
        <v>1586</v>
      </c>
    </row>
    <row r="25" spans="1:7" s="214" customFormat="1" ht="24">
      <c r="A25" s="779" t="s">
        <v>1476</v>
      </c>
      <c r="B25" s="215" t="s">
        <v>1587</v>
      </c>
      <c r="C25" s="1127">
        <f ca="1">ROUND(IF('数据-取费表'!B22&lt;=1,C20*F22*'数据-取费表'!B22/2,C20*(POWER((1+F22),'数据-取费表'!B22/2)-1)),0)</f>
        <v>437</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87031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87031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607097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4074292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3696700</v>
      </c>
      <c r="D34" s="217"/>
      <c r="E34" s="220"/>
      <c r="F34" s="257"/>
      <c r="G34" s="219"/>
    </row>
    <row r="35" spans="1:7" ht="13.5" customHeight="1">
      <c r="A35" s="779" t="s">
        <v>351</v>
      </c>
      <c r="B35" s="215" t="s">
        <v>1527</v>
      </c>
      <c r="C35" s="220">
        <f ca="1">ROUND(C34*F35,0)</f>
        <v>110901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211240</v>
      </c>
      <c r="D37" s="217">
        <f ca="1">D19</f>
        <v>1056.2</v>
      </c>
      <c r="E37" s="249">
        <f>'数据-取费表'!B35</f>
        <v>200</v>
      </c>
      <c r="F37" s="259"/>
      <c r="G37" s="261"/>
    </row>
    <row r="38" spans="1:7" ht="13.5" customHeight="1">
      <c r="A38" s="779" t="s">
        <v>354</v>
      </c>
      <c r="B38" s="215" t="s">
        <v>1533</v>
      </c>
      <c r="C38" s="220">
        <f ca="1">ROUND(C34*F38,0)</f>
        <v>55451</v>
      </c>
      <c r="D38" s="220"/>
      <c r="E38" s="220"/>
      <c r="F38" s="259">
        <f>'数据-取费表'!B36</f>
        <v>1.4999999999999999E-2</v>
      </c>
      <c r="G38" s="219" t="s">
        <v>1528</v>
      </c>
    </row>
    <row r="39" spans="1:7" s="214" customFormat="1" ht="13.5" customHeight="1">
      <c r="A39" s="255" t="s">
        <v>1534</v>
      </c>
      <c r="B39" s="210" t="s">
        <v>1535</v>
      </c>
      <c r="C39" s="232">
        <f ca="1">ROUND(C33*F20,0)</f>
        <v>122229</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144780</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140563</v>
      </c>
      <c r="D42" s="238"/>
      <c r="E42" s="238"/>
      <c r="F42" s="239"/>
      <c r="G42" s="3647" t="s">
        <v>1591</v>
      </c>
    </row>
    <row r="43" spans="1:7" ht="13.5" customHeight="1">
      <c r="A43" s="779" t="s">
        <v>347</v>
      </c>
      <c r="B43" s="215" t="s">
        <v>1545</v>
      </c>
      <c r="C43" s="238">
        <f ca="1">ROUND(IF('数据-取费表'!B22&lt;=1,C39*F22*'数据-取费表'!B20/2,C39*(POWER((1+F22),'数据-取费表'!B20/2)-1)),0)</f>
        <v>4217</v>
      </c>
      <c r="D43" s="238"/>
      <c r="E43" s="238"/>
      <c r="F43" s="239"/>
      <c r="G43" s="3648"/>
    </row>
    <row r="44" spans="1:7" ht="13.5" customHeight="1">
      <c r="A44" s="779"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839304</v>
      </c>
      <c r="D45" s="235">
        <f ca="1">C47</f>
        <v>6.0000000000000001E-3</v>
      </c>
      <c r="E45" s="236" t="s">
        <v>1539</v>
      </c>
      <c r="F45" s="246">
        <f ca="1">F27</f>
        <v>0.2</v>
      </c>
      <c r="G45" s="247" t="s">
        <v>1548</v>
      </c>
    </row>
    <row r="46" spans="1:7" s="214" customFormat="1" ht="13.5" customHeight="1">
      <c r="A46" s="779" t="s">
        <v>346</v>
      </c>
      <c r="B46" s="248" t="s">
        <v>1549</v>
      </c>
      <c r="C46" s="249">
        <f ca="1">ROUND((C33+C39)*F27,0)</f>
        <v>839304</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5694850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3986395</v>
      </c>
      <c r="D51" s="232"/>
      <c r="E51" s="232"/>
      <c r="F51" s="264"/>
      <c r="G51" s="234" t="s">
        <v>1560</v>
      </c>
    </row>
    <row r="52" spans="1:7" s="208" customFormat="1" ht="16.5" thickBot="1">
      <c r="A52" s="265" t="s">
        <v>1561</v>
      </c>
      <c r="B52" s="266"/>
      <c r="C52" s="267">
        <f ca="1">C31+C51</f>
        <v>4593492</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1056.2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1056.2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1056.2</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17" sqref="F1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3398</v>
      </c>
      <c r="D1" s="1361" t="s">
        <v>43</v>
      </c>
      <c r="E1" s="1362" t="s">
        <v>678</v>
      </c>
      <c r="F1" s="1061">
        <f ca="1">J53</f>
        <v>20.54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2848</v>
      </c>
      <c r="C2" s="1386" t="s">
        <v>805</v>
      </c>
      <c r="D2" s="1386"/>
      <c r="E2" s="1387"/>
      <c r="F2" s="1388"/>
      <c r="G2" s="2705"/>
      <c r="H2" s="2694"/>
      <c r="I2" s="2694"/>
      <c r="J2" s="2694"/>
      <c r="K2" s="2695"/>
      <c r="L2" s="2694"/>
      <c r="M2" s="2694"/>
    </row>
    <row r="3" spans="1:37" ht="18" customHeight="1" thickBot="1">
      <c r="A3" s="1389" t="s">
        <v>806</v>
      </c>
      <c r="B3" s="1390">
        <f ca="1">IF(ISERROR(B2*10000/F43),0,ROUND(B2*10000/F43,0))</f>
        <v>26965</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155</v>
      </c>
      <c r="D5" s="1363" t="s">
        <v>693</v>
      </c>
      <c r="E5" s="1070"/>
      <c r="F5" s="1071"/>
      <c r="G5" s="1383"/>
      <c r="H5" s="299">
        <v>1</v>
      </c>
      <c r="I5" s="300" t="s">
        <v>692</v>
      </c>
      <c r="J5" s="1069">
        <f ca="1">J6+J10+J12</f>
        <v>268</v>
      </c>
      <c r="K5" s="1363" t="s">
        <v>693</v>
      </c>
      <c r="L5" s="1070"/>
      <c r="M5" s="1071"/>
    </row>
    <row r="6" spans="1:37" ht="18" customHeight="1">
      <c r="A6" s="1068" t="s">
        <v>398</v>
      </c>
      <c r="B6" s="3671" t="s">
        <v>694</v>
      </c>
      <c r="C6" s="1073">
        <f ca="1">ROUND(F6*F8*F7*(1-F9)/10000,0)</f>
        <v>154</v>
      </c>
      <c r="D6" s="155" t="s">
        <v>2109</v>
      </c>
      <c r="E6" s="302" t="s">
        <v>696</v>
      </c>
      <c r="F6" s="303">
        <f ca="1">INDIRECT("'数据-取费表'!u"&amp;$G$1)</f>
        <v>4</v>
      </c>
      <c r="G6" s="1383"/>
      <c r="H6" s="1068" t="s">
        <v>398</v>
      </c>
      <c r="I6" s="3671" t="s">
        <v>694</v>
      </c>
      <c r="J6" s="301">
        <f ca="1">ROUND(M6*M8*M7*(1-M9)/10000,0)</f>
        <v>267</v>
      </c>
      <c r="K6" s="155" t="s">
        <v>2108</v>
      </c>
      <c r="L6" s="302" t="s">
        <v>696</v>
      </c>
      <c r="M6" s="303">
        <f ca="1">INDIRECT("'数据-取费表'!z"&amp;$G$1)</f>
        <v>7.7</v>
      </c>
    </row>
    <row r="7" spans="1:37" ht="18" customHeight="1">
      <c r="A7" s="1072"/>
      <c r="B7" s="3672"/>
      <c r="C7" s="1074"/>
      <c r="D7" s="307"/>
      <c r="E7" s="1075" t="s">
        <v>697</v>
      </c>
      <c r="F7" s="303">
        <f ca="1">IF(INDIRECT("'数据-取费表'!ah"&amp;$G$1)="",INDIRECT("'数据-取费表'!k"&amp;$G$1),INDIRECT("'数据-取费表'!ah"&amp;$G$1))</f>
        <v>1056.2</v>
      </c>
      <c r="G7" s="1383"/>
      <c r="H7" s="304"/>
      <c r="I7" s="3672"/>
      <c r="J7" s="306"/>
      <c r="K7" s="307"/>
      <c r="L7" s="302" t="s">
        <v>697</v>
      </c>
      <c r="M7" s="303">
        <f ca="1">F7</f>
        <v>1056.2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0.1</v>
      </c>
    </row>
    <row r="10" spans="1:37" ht="18" customHeight="1">
      <c r="A10" s="1068" t="s">
        <v>402</v>
      </c>
      <c r="B10" s="1364" t="s">
        <v>700</v>
      </c>
      <c r="C10" s="316">
        <f ca="1">ROUND(IF(F10="押一",C6/12*F11,IF(F10="押二",C6/12*2*F11,IF(F10="押三",C6/12*3*F11,C11*F11))),0)</f>
        <v>1</v>
      </c>
      <c r="D10" s="1365" t="s">
        <v>2117</v>
      </c>
      <c r="E10" s="313" t="s">
        <v>701</v>
      </c>
      <c r="F10" s="1115" t="s">
        <v>3516</v>
      </c>
      <c r="G10" s="1383"/>
      <c r="H10" s="1068" t="s">
        <v>402</v>
      </c>
      <c r="I10" s="1364" t="s">
        <v>700</v>
      </c>
      <c r="J10" s="301">
        <f ca="1">ROUND(IF(M10="押一",J6/12*M11,IF(M10="押二",J6/12*2*M11,IF(M10="押三",J6/12*3*M11,J11*M11))),0)</f>
        <v>1</v>
      </c>
      <c r="K10" s="1365" t="s">
        <v>2116</v>
      </c>
      <c r="L10" s="313" t="s">
        <v>701</v>
      </c>
      <c r="M10" s="1115" t="s">
        <v>3402</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398</v>
      </c>
      <c r="D13" s="1080" t="s">
        <v>705</v>
      </c>
      <c r="E13" s="1080" t="s">
        <v>706</v>
      </c>
      <c r="F13" s="1081">
        <f ca="1">INDIRECT("'数据-取费表'!y"&amp;$G$1)</f>
        <v>0.7</v>
      </c>
      <c r="G13" s="1383"/>
      <c r="H13" s="1078">
        <v>2</v>
      </c>
      <c r="I13" s="1079" t="s">
        <v>704</v>
      </c>
      <c r="J13" s="1067">
        <f ca="1">ROUND(J14*J15,0)</f>
        <v>358</v>
      </c>
      <c r="K13" s="1086" t="s">
        <v>705</v>
      </c>
      <c r="L13" s="1391"/>
      <c r="M13" s="1392"/>
    </row>
    <row r="14" spans="1:37" ht="18" customHeight="1">
      <c r="A14" s="981" t="s">
        <v>397</v>
      </c>
      <c r="B14" s="302" t="s">
        <v>707</v>
      </c>
      <c r="C14" s="318">
        <f ca="1">INDIRECT("'数据-取费表'!m"&amp;$G$1)+INDIRECT("'数据-取费表'!t"&amp;$G$1)</f>
        <v>370</v>
      </c>
      <c r="D14" s="1344" t="s">
        <v>708</v>
      </c>
      <c r="E14" s="1341"/>
      <c r="F14" s="319"/>
      <c r="G14" s="1383"/>
      <c r="H14" s="981" t="s">
        <v>398</v>
      </c>
      <c r="I14" s="302" t="s">
        <v>709</v>
      </c>
      <c r="J14" s="21">
        <f ca="1">C29</f>
        <v>569</v>
      </c>
      <c r="K14" s="12"/>
      <c r="L14" s="806"/>
      <c r="M14" s="807"/>
    </row>
    <row r="15" spans="1:37" s="1396" customFormat="1" ht="18" customHeight="1" thickBot="1">
      <c r="A15" s="981" t="s">
        <v>399</v>
      </c>
      <c r="B15" s="302" t="s">
        <v>710</v>
      </c>
      <c r="C15" s="21">
        <f ca="1">ROUND(C14*F15,0)</f>
        <v>11</v>
      </c>
      <c r="D15" s="320" t="s">
        <v>711</v>
      </c>
      <c r="E15" s="320" t="s">
        <v>712</v>
      </c>
      <c r="F15" s="321">
        <f>'数据-取费表'!B33</f>
        <v>0.03</v>
      </c>
      <c r="G15" s="1395"/>
      <c r="H15" s="1088" t="s">
        <v>402</v>
      </c>
      <c r="I15" s="1089" t="s">
        <v>706</v>
      </c>
      <c r="J15" s="1098">
        <f ca="1">INDIRECT("'数据-取费表'!ad"&amp;$G$1)</f>
        <v>0.63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42</v>
      </c>
      <c r="K16" s="1086" t="s">
        <v>715</v>
      </c>
      <c r="L16" s="1087"/>
      <c r="M16" s="1071"/>
    </row>
    <row r="17" spans="1:37" s="1396" customFormat="1" ht="18" customHeight="1">
      <c r="A17" s="981" t="s">
        <v>681</v>
      </c>
      <c r="B17" s="302" t="s">
        <v>716</v>
      </c>
      <c r="C17" s="21">
        <f ca="1">ROUND(F17*(F43+INDIRECT("'数据-取费表'!S"&amp;$G$1))/10000,0)</f>
        <v>21</v>
      </c>
      <c r="D17" s="302" t="s">
        <v>717</v>
      </c>
      <c r="E17" s="302" t="s">
        <v>718</v>
      </c>
      <c r="F17" s="23">
        <f>'数据-取费表'!B35</f>
        <v>200</v>
      </c>
      <c r="G17" s="1395"/>
      <c r="H17" s="981" t="s">
        <v>398</v>
      </c>
      <c r="I17" s="302" t="s">
        <v>719</v>
      </c>
      <c r="J17" s="2315">
        <f ca="1">ROUND(IF(AND(项目基本情况!B11="自然人",项目基本情况!B10="北京市"),J6*M17/(1+'数据-取费表'!C42),J18+J19+J20),2)</f>
        <v>30.51</v>
      </c>
      <c r="K17" s="1344" t="s">
        <v>720</v>
      </c>
      <c r="L17" s="1343" t="s">
        <v>721</v>
      </c>
      <c r="M17" s="2314">
        <f ca="1">IF(项目基本情况!B11="企业","",IF('数据-取费表'!B10="住宅",IF(M6*M7*M8/12/(1+'数据-取费表'!F30)&gt;100000,4%,2.5%),IF(M6*M7*M8/12/(1+'数据-取费表'!F30)&gt;100000,12%,7%)))</f>
        <v>0.12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v>
      </c>
      <c r="D18" s="302" t="s">
        <v>711</v>
      </c>
      <c r="E18" s="302" t="s">
        <v>712</v>
      </c>
      <c r="F18" s="322">
        <f>'数据-取费表'!B36</f>
        <v>1.4999999999999999E-2</v>
      </c>
      <c r="G18" s="1395"/>
      <c r="H18" s="981" t="s">
        <v>397</v>
      </c>
      <c r="I18" s="302" t="s">
        <v>723</v>
      </c>
      <c r="J18" s="21">
        <f ca="1">ROUND(J6*M18/(1+'数据-取费表'!C42),2)</f>
        <v>14.24</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408</v>
      </c>
      <c r="D19" s="131" t="s">
        <v>726</v>
      </c>
      <c r="E19" s="1359"/>
      <c r="F19" s="23"/>
      <c r="G19" s="1383"/>
      <c r="H19" s="981" t="s">
        <v>399</v>
      </c>
      <c r="I19" s="302" t="s">
        <v>727</v>
      </c>
      <c r="J19" s="21">
        <f ca="1">IF(K19="按租金收入计税",ROUND(J6*M19/(1+'数据-取费表'!C42),2),ROUND(C29*M19*0.7,2))</f>
        <v>30.51</v>
      </c>
      <c r="K19" s="1369" t="s">
        <v>3341</v>
      </c>
      <c r="L19" s="302" t="s">
        <v>712</v>
      </c>
      <c r="M19" s="322">
        <f>IF(K19="按租金收入计税",'数据-取费表'!B51,'数据-取费表'!B50)</f>
        <v>0.12</v>
      </c>
    </row>
    <row r="20" spans="1:37" s="1396" customFormat="1" ht="18" customHeight="1">
      <c r="A20" s="981" t="s">
        <v>402</v>
      </c>
      <c r="B20" s="302" t="s">
        <v>728</v>
      </c>
      <c r="C20" s="21">
        <f ca="1">ROUND(C19*F20,0)</f>
        <v>12</v>
      </c>
      <c r="D20" s="323" t="s">
        <v>729</v>
      </c>
      <c r="E20" s="302" t="s">
        <v>712</v>
      </c>
      <c r="F20" s="322">
        <f>'数据-取费表'!B37</f>
        <v>0.03</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8.5399999999999991</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0.54</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2.68</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226</v>
      </c>
      <c r="K25" s="1094" t="s">
        <v>753</v>
      </c>
      <c r="L25" s="1095"/>
      <c r="M25" s="1096"/>
    </row>
    <row r="26" spans="1:37">
      <c r="A26" s="981" t="s">
        <v>397</v>
      </c>
      <c r="B26" s="302" t="s">
        <v>754</v>
      </c>
      <c r="C26" s="21">
        <f ca="1">ROUND((C19+C20)*F26,0)</f>
        <v>84</v>
      </c>
      <c r="D26" s="323" t="s">
        <v>755</v>
      </c>
      <c r="E26" s="313" t="s">
        <v>756</v>
      </c>
      <c r="F26" s="312">
        <f ca="1">INDIRECT("'数据-取费表'!q"&amp;$G$1)</f>
        <v>0.2</v>
      </c>
      <c r="G26" s="1383"/>
      <c r="H26" s="299" t="s">
        <v>395</v>
      </c>
      <c r="I26" s="300" t="s">
        <v>757</v>
      </c>
      <c r="J26" s="301">
        <f ca="1">IF(J5&lt;&gt;0,ROUND(J25*(1-((1+M28)/(1+M26))^M27)/(M26-M28),0),0)</f>
        <v>2907</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16.901643835616436</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569</v>
      </c>
      <c r="D29" s="1091"/>
      <c r="E29" s="1089"/>
      <c r="F29" s="1092"/>
      <c r="G29" s="1395"/>
      <c r="H29" s="334" t="s">
        <v>396</v>
      </c>
      <c r="I29" s="335" t="s">
        <v>768</v>
      </c>
      <c r="J29" s="336">
        <f ca="1">ROUND(J26/(1+F40)^F41,0)</f>
        <v>2392</v>
      </c>
      <c r="K29" s="337" t="s">
        <v>769</v>
      </c>
      <c r="L29" s="338"/>
      <c r="M29" s="339">
        <f ca="1">INDIRECT("'数据-取费表'!k"&amp;$G$1)</f>
        <v>1056.2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17.600000000000001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8.5399999999999991</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ROUND(C13*F37,2)</f>
        <v>0.6</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1.55</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127</v>
      </c>
      <c r="D39" s="1094" t="s">
        <v>773</v>
      </c>
      <c r="E39" s="1095"/>
      <c r="F39" s="1096"/>
      <c r="G39" s="1383"/>
      <c r="H39" s="2699"/>
      <c r="I39" s="1397"/>
      <c r="J39" s="1398"/>
      <c r="K39" s="2703"/>
      <c r="L39" s="2699"/>
      <c r="M39" s="2699"/>
    </row>
    <row r="40" spans="1:18" ht="18" customHeight="1">
      <c r="A40" s="299" t="s">
        <v>395</v>
      </c>
      <c r="B40" s="300" t="s">
        <v>774</v>
      </c>
      <c r="C40" s="301">
        <f ca="1">ROUND(C39*(1-((1+F42)/(1+F40))^F41)/(F40-F42),0)</f>
        <v>409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3.6383561643835618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3872</v>
      </c>
      <c r="D43" s="337" t="s">
        <v>777</v>
      </c>
      <c r="E43" s="338" t="s">
        <v>778</v>
      </c>
      <c r="F43" s="339">
        <f ca="1">INDIRECT("'数据-取费表'!k"&amp;$G$1)</f>
        <v>1056.2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244</v>
      </c>
      <c r="D46" s="1405" t="str">
        <f>C2</f>
        <v>万元</v>
      </c>
      <c r="E46" s="1399"/>
      <c r="F46" s="1399"/>
      <c r="I46" s="1406" t="s">
        <v>810</v>
      </c>
      <c r="J46" s="1407"/>
      <c r="K46" s="1408"/>
      <c r="L46" s="1409">
        <f ca="1">IF(M47="住宅",0,IF(L48&gt;J51,L60,J60))</f>
        <v>47</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2801</v>
      </c>
      <c r="R47" s="1419" t="s">
        <v>818</v>
      </c>
    </row>
    <row r="48" spans="1:18" s="1383" customFormat="1" ht="28.5" thickBot="1">
      <c r="A48" s="1109" t="s">
        <v>438</v>
      </c>
      <c r="B48" s="300" t="s">
        <v>692</v>
      </c>
      <c r="C48" s="1358">
        <f ca="1">C49+C53+C55</f>
        <v>243</v>
      </c>
      <c r="D48" s="1111"/>
      <c r="E48" s="1112"/>
      <c r="F48" s="961"/>
      <c r="G48" s="721"/>
      <c r="H48" s="722"/>
      <c r="I48" s="1420" t="s">
        <v>819</v>
      </c>
      <c r="J48" s="1421" t="s">
        <v>3405</v>
      </c>
      <c r="K48" s="1422" t="s">
        <v>820</v>
      </c>
      <c r="L48" s="1423">
        <f ca="1">INDIRECT("'数据-取费表'!f"&amp;$G$1)</f>
        <v>20.54</v>
      </c>
      <c r="O48" s="1417" t="s">
        <v>404</v>
      </c>
      <c r="P48" s="1418" t="s">
        <v>821</v>
      </c>
      <c r="Q48" s="1419">
        <f ca="1">J60</f>
        <v>47</v>
      </c>
      <c r="R48" s="1419" t="s">
        <v>822</v>
      </c>
    </row>
    <row r="49" spans="1:18" s="1383" customFormat="1" ht="13.5" thickBot="1">
      <c r="A49" s="974" t="s">
        <v>439</v>
      </c>
      <c r="B49" s="1370" t="s">
        <v>779</v>
      </c>
      <c r="C49" s="1113">
        <f ca="1">ROUND(F49*F51*F50*(1-F52)/10000,0)</f>
        <v>243</v>
      </c>
      <c r="D49" s="1054" t="s">
        <v>2110</v>
      </c>
      <c r="E49" s="1371" t="s">
        <v>780</v>
      </c>
      <c r="F49" s="1059">
        <v>7</v>
      </c>
      <c r="G49" s="1424"/>
      <c r="H49" s="722"/>
      <c r="I49" s="1420" t="s">
        <v>823</v>
      </c>
      <c r="J49" s="1425">
        <f>'数据-取费表'!N18</f>
        <v>2005</v>
      </c>
      <c r="K49" s="1422" t="s">
        <v>824</v>
      </c>
      <c r="L49" s="1426"/>
      <c r="O49" s="1427" t="s">
        <v>405</v>
      </c>
      <c r="P49" s="1418" t="s">
        <v>825</v>
      </c>
      <c r="Q49" s="1419">
        <f ca="1">C29</f>
        <v>569</v>
      </c>
      <c r="R49" s="1419" t="s">
        <v>818</v>
      </c>
    </row>
    <row r="50" spans="1:18" s="1383" customFormat="1" ht="13.5" thickBot="1">
      <c r="A50" s="975"/>
      <c r="B50" s="978"/>
      <c r="C50" s="1117"/>
      <c r="D50" s="952"/>
      <c r="E50" s="1055" t="s">
        <v>697</v>
      </c>
      <c r="F50" s="1056">
        <f ca="1">F7</f>
        <v>1056.2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1693</v>
      </c>
      <c r="M51" s="1435"/>
      <c r="O51" s="1427" t="s">
        <v>407</v>
      </c>
      <c r="P51" s="1418" t="s">
        <v>831</v>
      </c>
      <c r="Q51" s="1430">
        <f>J52</f>
        <v>0.08</v>
      </c>
      <c r="R51" s="1419"/>
    </row>
    <row r="52" spans="1:18" s="1383" customFormat="1" ht="13.5" thickBot="1">
      <c r="A52" s="976"/>
      <c r="B52" s="978"/>
      <c r="C52" s="979"/>
      <c r="D52" s="952"/>
      <c r="E52" s="980" t="s">
        <v>699</v>
      </c>
      <c r="F52" s="1053">
        <v>0.1</v>
      </c>
      <c r="I52" s="1436" t="s">
        <v>832</v>
      </c>
      <c r="J52" s="1437">
        <f>'数据-取费表'!J6+0.5%</f>
        <v>0.08</v>
      </c>
      <c r="K52" s="1436" t="s">
        <v>833</v>
      </c>
      <c r="L52" s="1437"/>
      <c r="O52" s="1427" t="s">
        <v>408</v>
      </c>
      <c r="P52" s="1418" t="s">
        <v>834</v>
      </c>
      <c r="Q52" s="1419">
        <f ca="1">J53</f>
        <v>20.54</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t="s">
        <v>3403</v>
      </c>
      <c r="I53" s="1438" t="s">
        <v>836</v>
      </c>
      <c r="J53" s="2167">
        <f ca="1">IF(M47="住宅",IF(D1="——",MAX(J51,L48),MAX(J51,L48-'数据-取费表'!B24)),IF(D1="——",MIN(J51,L48),MIN(J51,L48-'数据-取费表'!B24)))</f>
        <v>20.54</v>
      </c>
      <c r="K53" s="3669" t="s">
        <v>837</v>
      </c>
      <c r="L53" s="3670"/>
      <c r="O53" s="1417" t="s">
        <v>409</v>
      </c>
      <c r="P53" s="1418" t="s">
        <v>838</v>
      </c>
      <c r="Q53" s="1419">
        <f ca="1">Q47+Q48</f>
        <v>2848</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0.35799999999999998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398</v>
      </c>
      <c r="D56" s="1446"/>
      <c r="E56" s="1447"/>
      <c r="F56" s="1439"/>
      <c r="I56" s="1448" t="s">
        <v>842</v>
      </c>
      <c r="J56" s="1449" t="s">
        <v>3386</v>
      </c>
      <c r="K56" s="1420" t="s">
        <v>843</v>
      </c>
      <c r="L56" s="1423" t="str">
        <f ca="1">IF(L48&lt;J51,"——",L48-J53)</f>
        <v>——</v>
      </c>
      <c r="O56" s="1417" t="s">
        <v>403</v>
      </c>
      <c r="P56" s="1418" t="s">
        <v>817</v>
      </c>
      <c r="Q56" s="1419">
        <f ca="1">C40+J29</f>
        <v>2801</v>
      </c>
      <c r="R56" s="1419" t="s">
        <v>818</v>
      </c>
    </row>
    <row r="57" spans="1:18" s="1383" customFormat="1" ht="24.75" thickBot="1">
      <c r="A57" s="1450"/>
      <c r="B57" s="949" t="s">
        <v>767</v>
      </c>
      <c r="C57" s="238">
        <f ca="1">C29</f>
        <v>569</v>
      </c>
      <c r="D57" s="1451"/>
      <c r="E57" s="1452"/>
      <c r="F57" s="1453"/>
      <c r="I57" s="1454" t="s">
        <v>844</v>
      </c>
      <c r="J57" s="1455">
        <f ca="1">IF(OR(M47="住宅",J51&lt;L48,J56="是"),"——",J51-L48)</f>
        <v>21.46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28</v>
      </c>
      <c r="D59" s="962" t="s">
        <v>720</v>
      </c>
      <c r="E59" s="963" t="s">
        <v>721</v>
      </c>
      <c r="F59" s="2314">
        <f ca="1">IF(项目基本情况!B11="企业","——",IF('数据-取费表'!B10="住宅",IF(F49*F50*F51/12/(1+'数据-取费表'!F30)&gt;100000,4%,2.5%),IF(F49*F50*F51/12/(1+'数据-取费表'!F30)&gt;100000,12%,7%)))</f>
        <v>0.12</v>
      </c>
      <c r="I59" s="1454" t="s">
        <v>851</v>
      </c>
      <c r="J59" s="1455">
        <f ca="1">IF(OR(M47="住宅",J51&lt;L48,J56="是"),"——",ROUND(C29*J58,0))</f>
        <v>228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12</v>
      </c>
      <c r="I62" s="1461" t="s">
        <v>858</v>
      </c>
      <c r="J62" s="1462" t="s">
        <v>859</v>
      </c>
      <c r="K62" s="1462" t="s">
        <v>860</v>
      </c>
      <c r="L62" s="1462" t="s">
        <v>861</v>
      </c>
      <c r="M62" s="1463" t="s">
        <v>862</v>
      </c>
      <c r="O62" s="1417" t="s">
        <v>409</v>
      </c>
      <c r="P62" s="1418" t="s">
        <v>863</v>
      </c>
      <c r="Q62" s="1419">
        <f ca="1">Q56+Q57</f>
        <v>2801</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8.5399999999999991</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0.6</v>
      </c>
      <c r="D65" s="963" t="s">
        <v>743</v>
      </c>
      <c r="E65" s="949" t="s">
        <v>744</v>
      </c>
      <c r="F65" s="330">
        <f t="shared" ca="1" si="0"/>
        <v>1.5E-3</v>
      </c>
      <c r="I65" s="1461" t="s">
        <v>867</v>
      </c>
      <c r="J65" s="1462">
        <v>40</v>
      </c>
      <c r="K65" s="1462">
        <v>30</v>
      </c>
      <c r="L65" s="1462">
        <v>50</v>
      </c>
      <c r="M65" s="1464">
        <v>0.02</v>
      </c>
      <c r="O65" s="1417" t="s">
        <v>403</v>
      </c>
      <c r="P65" s="1418" t="s">
        <v>868</v>
      </c>
      <c r="Q65" s="1419">
        <f ca="1">C40+J29</f>
        <v>2801</v>
      </c>
      <c r="R65" s="1419" t="s">
        <v>818</v>
      </c>
    </row>
    <row r="66" spans="1:18" s="1383" customFormat="1" ht="16.5" thickBot="1">
      <c r="A66" s="981" t="s">
        <v>793</v>
      </c>
      <c r="B66" s="949" t="s">
        <v>728</v>
      </c>
      <c r="C66" s="21">
        <f ca="1">ROUND(C48*F66,2)</f>
        <v>2.4300000000000002</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203</v>
      </c>
      <c r="D67" s="962" t="s">
        <v>753</v>
      </c>
      <c r="E67" s="967"/>
      <c r="F67" s="968"/>
      <c r="O67" s="1427" t="s">
        <v>405</v>
      </c>
      <c r="P67" s="1418" t="s">
        <v>850</v>
      </c>
      <c r="Q67" s="1465">
        <f ca="1">L51</f>
        <v>1693</v>
      </c>
      <c r="R67" s="1419" t="s">
        <v>870</v>
      </c>
    </row>
    <row r="68" spans="1:18" s="1383" customFormat="1" ht="16.5" thickBot="1">
      <c r="A68" s="946" t="s">
        <v>395</v>
      </c>
      <c r="B68" s="947" t="s">
        <v>774</v>
      </c>
      <c r="C68" s="301">
        <f ca="1">ROUND(C67*(1-((1+F70)/(1+F68))^F69)/(F68-F70),0)</f>
        <v>653</v>
      </c>
      <c r="D68" s="964" t="s">
        <v>758</v>
      </c>
      <c r="E68" s="949" t="s">
        <v>759</v>
      </c>
      <c r="F68" s="312">
        <f ca="1">F40</f>
        <v>5.5E-2</v>
      </c>
      <c r="O68" s="1427" t="s">
        <v>406</v>
      </c>
      <c r="P68" s="1466" t="s">
        <v>871</v>
      </c>
      <c r="Q68" s="1419">
        <f ca="1">ROUND(Q69-Q70*Q71,0)</f>
        <v>97</v>
      </c>
      <c r="R68" s="1419" t="s">
        <v>414</v>
      </c>
    </row>
    <row r="69" spans="1:18" s="1383" customFormat="1" ht="13.5" thickBot="1">
      <c r="A69" s="950"/>
      <c r="B69" s="951"/>
      <c r="C69" s="306"/>
      <c r="D69" s="969" t="s">
        <v>762</v>
      </c>
      <c r="E69" s="949" t="s">
        <v>763</v>
      </c>
      <c r="F69" s="333">
        <f ca="1">F41</f>
        <v>3.6383561643835618</v>
      </c>
      <c r="O69" s="1427" t="s">
        <v>411</v>
      </c>
      <c r="P69" s="1466" t="s">
        <v>872</v>
      </c>
      <c r="Q69" s="1419">
        <f ca="1">C39</f>
        <v>127</v>
      </c>
      <c r="R69" s="1419" t="s">
        <v>818</v>
      </c>
    </row>
    <row r="70" spans="1:18" s="1383" customFormat="1" ht="13.5" thickBot="1">
      <c r="A70" s="953"/>
      <c r="B70" s="954"/>
      <c r="C70" s="310"/>
      <c r="D70" s="965"/>
      <c r="E70" s="949" t="s">
        <v>766</v>
      </c>
      <c r="F70" s="1053"/>
      <c r="O70" s="1427" t="s">
        <v>412</v>
      </c>
      <c r="P70" s="1466" t="s">
        <v>873</v>
      </c>
      <c r="Q70" s="1419">
        <f ca="1">C13</f>
        <v>398</v>
      </c>
      <c r="R70" s="1419" t="s">
        <v>818</v>
      </c>
    </row>
    <row r="71" spans="1:18" s="1383" customFormat="1" ht="13.5" thickBot="1">
      <c r="A71" s="970" t="s">
        <v>396</v>
      </c>
      <c r="B71" s="971" t="s">
        <v>776</v>
      </c>
      <c r="C71" s="336">
        <f ca="1">ROUND(C68*10000/F71,0)</f>
        <v>6183</v>
      </c>
      <c r="D71" s="972" t="s">
        <v>777</v>
      </c>
      <c r="E71" s="973" t="s">
        <v>778</v>
      </c>
      <c r="F71" s="339">
        <f ca="1">F43</f>
        <v>1056.2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v>
      </c>
      <c r="D75" s="1383"/>
      <c r="E75" s="1383"/>
      <c r="F75" s="1383"/>
      <c r="K75" s="1401"/>
      <c r="L75" s="1383"/>
      <c r="O75" s="1417" t="s">
        <v>409</v>
      </c>
      <c r="P75" s="1418" t="s">
        <v>838</v>
      </c>
      <c r="Q75" s="1419">
        <f ca="1">Q65+Q66</f>
        <v>2801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2.7000000000000024E-2</v>
      </c>
    </row>
    <row r="83" spans="2:3">
      <c r="B83" s="273" t="s">
        <v>803</v>
      </c>
      <c r="C83" s="274">
        <f ca="1">ROUND(C13/C40,3)</f>
        <v>0.97299999999999998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K44" sqref="K4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3398</v>
      </c>
      <c r="D1" s="1361" t="s">
        <v>43</v>
      </c>
      <c r="E1" s="1362" t="s">
        <v>678</v>
      </c>
      <c r="F1" s="1061">
        <f ca="1">J53</f>
        <v>20.54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2833.2550999999999</v>
      </c>
      <c r="C2" s="1386" t="s">
        <v>879</v>
      </c>
      <c r="D2" s="1470">
        <f ca="1">C40+J29+L46</f>
        <v>28332551</v>
      </c>
      <c r="E2" s="1387" t="s">
        <v>880</v>
      </c>
      <c r="F2" s="1388"/>
      <c r="G2" s="2705"/>
      <c r="H2" s="2694"/>
      <c r="I2" s="2694"/>
      <c r="J2" s="2694"/>
      <c r="K2" s="2695"/>
      <c r="L2" s="2694"/>
      <c r="M2" s="2694"/>
    </row>
    <row r="3" spans="1:37" ht="18" customHeight="1" thickBot="1">
      <c r="A3" s="1389" t="s">
        <v>881</v>
      </c>
      <c r="B3" s="1390">
        <f ca="1">IF(ISERROR(D2/F43),0,ROUND(D2/F43,0))</f>
        <v>26825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1543980</v>
      </c>
      <c r="D5" s="1363" t="s">
        <v>889</v>
      </c>
      <c r="E5" s="1070"/>
      <c r="F5" s="1071"/>
      <c r="G5" s="1383"/>
      <c r="H5" s="299">
        <v>1</v>
      </c>
      <c r="I5" s="300" t="s">
        <v>888</v>
      </c>
      <c r="J5" s="1069">
        <f ca="1">J6+J10+J12</f>
        <v>2671605</v>
      </c>
      <c r="K5" s="1363" t="s">
        <v>889</v>
      </c>
      <c r="L5" s="1070"/>
      <c r="M5" s="1071"/>
    </row>
    <row r="6" spans="1:37" ht="18" customHeight="1">
      <c r="A6" s="1068" t="s">
        <v>398</v>
      </c>
      <c r="B6" s="3671" t="s">
        <v>694</v>
      </c>
      <c r="C6" s="1073">
        <f ca="1">ROUND(F6*F8*F7*(1-F9),0)</f>
        <v>1542052</v>
      </c>
      <c r="D6" s="155" t="s">
        <v>2106</v>
      </c>
      <c r="E6" s="302" t="s">
        <v>696</v>
      </c>
      <c r="F6" s="303">
        <f ca="1">INDIRECT("'数据-取费表'!u"&amp;$G$1)</f>
        <v>4</v>
      </c>
      <c r="G6" s="1383"/>
      <c r="H6" s="1068" t="s">
        <v>398</v>
      </c>
      <c r="I6" s="3671" t="s">
        <v>694</v>
      </c>
      <c r="J6" s="301">
        <f ca="1">ROUND(M6*M8*M7*(1-M9),0)</f>
        <v>2671605</v>
      </c>
      <c r="K6" s="1375" t="s">
        <v>2107</v>
      </c>
      <c r="L6" s="302" t="s">
        <v>696</v>
      </c>
      <c r="M6" s="303">
        <f ca="1">INDIRECT("'数据-取费表'!z"&amp;$G$1)</f>
        <v>7.7</v>
      </c>
    </row>
    <row r="7" spans="1:37" ht="18" customHeight="1">
      <c r="A7" s="1072"/>
      <c r="B7" s="3672"/>
      <c r="C7" s="1074"/>
      <c r="D7" s="307"/>
      <c r="E7" s="1075" t="s">
        <v>697</v>
      </c>
      <c r="F7" s="303">
        <f ca="1">IF(INDIRECT("'数据-取费表'!ah"&amp;$G$1)="",INDIRECT("'数据-取费表'!k"&amp;$G$1),INDIRECT("'数据-取费表'!ah"&amp;$G$1))</f>
        <v>1056.2</v>
      </c>
      <c r="G7" s="1383"/>
      <c r="H7" s="304"/>
      <c r="I7" s="3672"/>
      <c r="J7" s="306"/>
      <c r="K7" s="307"/>
      <c r="L7" s="302" t="s">
        <v>697</v>
      </c>
      <c r="M7" s="303">
        <f ca="1">F7</f>
        <v>1056.2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0.1</v>
      </c>
    </row>
    <row r="10" spans="1:37" ht="18" customHeight="1">
      <c r="A10" s="1068" t="s">
        <v>402</v>
      </c>
      <c r="B10" s="1364" t="s">
        <v>700</v>
      </c>
      <c r="C10" s="316">
        <f ca="1">ROUND(IF(F10="押一",C6/12*F11,IF(F10="押二",C6/12*2*F11,IF(F10="押三",C6/12*3*F11,C11*F11))),0)</f>
        <v>1928</v>
      </c>
      <c r="D10" s="1365" t="s">
        <v>2116</v>
      </c>
      <c r="E10" s="313" t="s">
        <v>701</v>
      </c>
      <c r="F10" s="1115" t="s">
        <v>3403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3986395</v>
      </c>
      <c r="D13" s="1080" t="s">
        <v>705</v>
      </c>
      <c r="E13" s="1080" t="s">
        <v>706</v>
      </c>
      <c r="F13" s="1081">
        <f ca="1">INDIRECT("'数据-取费表'!y"&amp;$G$1)</f>
        <v>0.7</v>
      </c>
      <c r="G13" s="1383"/>
      <c r="H13" s="1078">
        <v>2</v>
      </c>
      <c r="I13" s="1079" t="s">
        <v>704</v>
      </c>
      <c r="J13" s="1067">
        <f ca="1">ROUND(J14*J15,0)</f>
        <v>3587756</v>
      </c>
      <c r="K13" s="1086" t="s">
        <v>705</v>
      </c>
      <c r="L13" s="1391"/>
      <c r="M13" s="1392"/>
    </row>
    <row r="14" spans="1:37" ht="18" customHeight="1">
      <c r="A14" s="981" t="s">
        <v>397</v>
      </c>
      <c r="B14" s="302" t="s">
        <v>707</v>
      </c>
      <c r="C14" s="318">
        <f ca="1">ROUND(INDIRECT("'数据-取费表'!l"&amp;$G$1)*F43+'数据-取费表'!L14*INDIRECT("'数据-取费表'!S"&amp;$G$1),0)</f>
        <v>3696700</v>
      </c>
      <c r="D14" s="1344" t="s">
        <v>708</v>
      </c>
      <c r="E14" s="1341"/>
      <c r="F14" s="319"/>
      <c r="G14" s="1383"/>
      <c r="H14" s="981" t="s">
        <v>398</v>
      </c>
      <c r="I14" s="302" t="s">
        <v>709</v>
      </c>
      <c r="J14" s="21">
        <f ca="1">C29</f>
        <v>5694850</v>
      </c>
      <c r="K14" s="12"/>
      <c r="L14" s="806"/>
      <c r="M14" s="807"/>
    </row>
    <row r="15" spans="1:37" s="1396" customFormat="1" ht="18" customHeight="1" thickBot="1">
      <c r="A15" s="981" t="s">
        <v>399</v>
      </c>
      <c r="B15" s="302" t="s">
        <v>710</v>
      </c>
      <c r="C15" s="21">
        <f ca="1">ROUND(C14*F15,0)</f>
        <v>110901</v>
      </c>
      <c r="D15" s="320" t="s">
        <v>711</v>
      </c>
      <c r="E15" s="320" t="s">
        <v>712</v>
      </c>
      <c r="F15" s="321">
        <f>'数据-取费表'!B33</f>
        <v>0.03</v>
      </c>
      <c r="G15" s="1395"/>
      <c r="H15" s="1088" t="s">
        <v>402</v>
      </c>
      <c r="I15" s="1089" t="s">
        <v>706</v>
      </c>
      <c r="J15" s="1098">
        <f ca="1">INDIRECT("'数据-取费表'!ad"&amp;$G$1)</f>
        <v>0.63</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422847</v>
      </c>
      <c r="K16" s="1086" t="s">
        <v>715</v>
      </c>
      <c r="L16" s="1087"/>
      <c r="M16" s="1071"/>
    </row>
    <row r="17" spans="1:37" s="1396" customFormat="1" ht="18" customHeight="1">
      <c r="A17" s="981" t="s">
        <v>681</v>
      </c>
      <c r="B17" s="302" t="s">
        <v>716</v>
      </c>
      <c r="C17" s="21">
        <f ca="1">ROUND(F17*(F43+INDIRECT("'数据-取费表'!S"&amp;$G$1)),0)</f>
        <v>211240</v>
      </c>
      <c r="D17" s="302" t="s">
        <v>717</v>
      </c>
      <c r="E17" s="302" t="s">
        <v>718</v>
      </c>
      <c r="F17" s="23">
        <f>'数据-取费表'!B35</f>
        <v>200</v>
      </c>
      <c r="G17" s="1395"/>
      <c r="H17" s="981" t="s">
        <v>398</v>
      </c>
      <c r="I17" s="302" t="s">
        <v>719</v>
      </c>
      <c r="J17" s="2315">
        <f ca="1">ROUND(IF(AND(项目基本情况!B11="自然人",项目基本情况!B10="北京市"),J6*M17/(1+'数据-取费表'!C42),J18+J19+J20),0)</f>
        <v>305326</v>
      </c>
      <c r="K17" s="1344" t="s">
        <v>720</v>
      </c>
      <c r="L17" s="1343" t="s">
        <v>721</v>
      </c>
      <c r="M17" s="2314">
        <f ca="1">IF(项目基本情况!B11="企业","",IF('数据-取费表'!B10="住宅",IF(M6*M7*M8/12/(1+'数据-取费表'!F30)&gt;100000,4%,2.5%),IF(M6*M7*M8/12/(1+'数据-取费表'!F30)&gt;100000,12%,7%)))</f>
        <v>0.12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55451</v>
      </c>
      <c r="D18" s="302" t="s">
        <v>711</v>
      </c>
      <c r="E18" s="302" t="s">
        <v>712</v>
      </c>
      <c r="F18" s="322">
        <f>'数据-取费表'!B36</f>
        <v>1.4999999999999999E-2</v>
      </c>
      <c r="G18" s="1395"/>
      <c r="H18" s="981" t="s">
        <v>397</v>
      </c>
      <c r="I18" s="302" t="s">
        <v>723</v>
      </c>
      <c r="J18" s="21">
        <f ca="1">ROUND(J6*M18/(1+'数据-取费表'!C42),0)</f>
        <v>142486</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4074292</v>
      </c>
      <c r="D19" s="131" t="s">
        <v>726</v>
      </c>
      <c r="E19" s="1359"/>
      <c r="F19" s="23"/>
      <c r="G19" s="1383"/>
      <c r="H19" s="981" t="s">
        <v>399</v>
      </c>
      <c r="I19" s="302" t="s">
        <v>727</v>
      </c>
      <c r="J19" s="21">
        <f ca="1">IF(K19="按租金收入计税",ROUND(J6*M19/(1+'数据-取费表'!C42),0),ROUND(C29*M19*0.7,0))</f>
        <v>305326</v>
      </c>
      <c r="K19" s="1369" t="s">
        <v>3341</v>
      </c>
      <c r="L19" s="302" t="s">
        <v>712</v>
      </c>
      <c r="M19" s="322">
        <f>IF(K19="按租金收入计税",'数据-取费表'!B51,'数据-取费表'!B50)</f>
        <v>0.12</v>
      </c>
    </row>
    <row r="20" spans="1:37" s="1396" customFormat="1" ht="18" customHeight="1">
      <c r="A20" s="981" t="s">
        <v>402</v>
      </c>
      <c r="B20" s="302" t="s">
        <v>728</v>
      </c>
      <c r="C20" s="21">
        <f ca="1">ROUND(C19*F20,0)</f>
        <v>122229</v>
      </c>
      <c r="D20" s="323" t="s">
        <v>729</v>
      </c>
      <c r="E20" s="302" t="s">
        <v>712</v>
      </c>
      <c r="F20" s="322">
        <f>'数据-取费表'!B37</f>
        <v>0.03</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85423</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144780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5382</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26716</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2248758</v>
      </c>
      <c r="K25" s="1094" t="s">
        <v>753</v>
      </c>
      <c r="L25" s="1095"/>
      <c r="M25" s="1096"/>
    </row>
    <row r="26" spans="1:37" ht="18" customHeight="1">
      <c r="A26" s="981" t="s">
        <v>397</v>
      </c>
      <c r="B26" s="302" t="s">
        <v>754</v>
      </c>
      <c r="C26" s="21">
        <f ca="1">ROUND((C19+C20)*F26,0)</f>
        <v>839304</v>
      </c>
      <c r="D26" s="323" t="s">
        <v>755</v>
      </c>
      <c r="E26" s="313" t="s">
        <v>756</v>
      </c>
      <c r="F26" s="312">
        <f ca="1">INDIRECT("'数据-取费表'!q"&amp;$G$1)</f>
        <v>0.2</v>
      </c>
      <c r="G26" s="1383"/>
      <c r="H26" s="299" t="s">
        <v>395</v>
      </c>
      <c r="I26" s="300" t="s">
        <v>757</v>
      </c>
      <c r="J26" s="301">
        <f ca="1">IF(J5&lt;&gt;0,ROUND(J25*(1-((1+M28)/(1+M26))^M27)/(M26-M28),0),0)</f>
        <v>28925775</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16.901643835616436</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2.5000000000000001E-2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5694850</v>
      </c>
      <c r="D29" s="1091"/>
      <c r="E29" s="1089"/>
      <c r="F29" s="1092"/>
      <c r="G29" s="1395"/>
      <c r="H29" s="334" t="s">
        <v>396</v>
      </c>
      <c r="I29" s="335" t="s">
        <v>768</v>
      </c>
      <c r="J29" s="336">
        <f ca="1">ROUND(J26/(1+F40)^F41,0)</f>
        <v>23805882</v>
      </c>
      <c r="K29" s="337" t="s">
        <v>769</v>
      </c>
      <c r="L29" s="338"/>
      <c r="M29" s="339">
        <f ca="1">INDIRECT("'数据-取费表'!k"&amp;$G$1)</f>
        <v>1056.2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283078</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176235</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85423</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5980</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15440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1260902</v>
      </c>
      <c r="D39" s="1094" t="s">
        <v>773</v>
      </c>
      <c r="E39" s="1095"/>
      <c r="F39" s="1096"/>
      <c r="G39" s="1383"/>
      <c r="H39" s="2699"/>
      <c r="I39" s="1397"/>
      <c r="J39" s="1398"/>
      <c r="K39" s="2703"/>
      <c r="L39" s="2699"/>
      <c r="M39" s="2699"/>
    </row>
    <row r="40" spans="1:18" ht="18" customHeight="1">
      <c r="A40" s="299" t="s">
        <v>395</v>
      </c>
      <c r="B40" s="300" t="s">
        <v>774</v>
      </c>
      <c r="C40" s="301">
        <f ca="1">ROUND(C39*(1-((1+F42)/(1+F40))^F41)/(F40-F42),0)</f>
        <v>4057836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3.6383561643835618</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3842</v>
      </c>
      <c r="D43" s="337" t="s">
        <v>777</v>
      </c>
      <c r="E43" s="338" t="s">
        <v>778</v>
      </c>
      <c r="F43" s="339">
        <f ca="1">INDIRECT("'数据-取费表'!k"&amp;$G$1)</f>
        <v>1056.2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-435.19889999999998</v>
      </c>
      <c r="D45" s="3431" t="s">
        <v>3358</v>
      </c>
      <c r="E45" s="1399"/>
      <c r="F45" s="1399"/>
      <c r="O45" s="1402" t="s">
        <v>808</v>
      </c>
      <c r="P45" s="1460"/>
      <c r="Q45" s="1460"/>
      <c r="R45" s="1460"/>
    </row>
    <row r="46" spans="1:18" s="1383" customFormat="1" ht="13.5" thickBot="1">
      <c r="A46" s="1403" t="s">
        <v>809</v>
      </c>
      <c r="C46" s="1404">
        <f ca="1">ROUND(C45,0)</f>
        <v>-435</v>
      </c>
      <c r="D46" s="1405" t="str">
        <f>C2</f>
        <v>万元</v>
      </c>
      <c r="I46" s="1406" t="s">
        <v>810</v>
      </c>
      <c r="J46" s="1407"/>
      <c r="K46" s="1408"/>
      <c r="L46" s="1409">
        <f ca="1">IF(M47="住宅",0,IF(L48&gt;J51,L60,J60))</f>
        <v>468833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27863718</v>
      </c>
      <c r="R47" s="1419" t="s">
        <v>818</v>
      </c>
    </row>
    <row r="48" spans="1:18" s="1383" customFormat="1" ht="28.5" thickBot="1">
      <c r="A48" s="1109" t="s">
        <v>438</v>
      </c>
      <c r="B48" s="300" t="s">
        <v>692</v>
      </c>
      <c r="C48" s="1358">
        <f ca="1">C49+C53+C55</f>
        <v>0</v>
      </c>
      <c r="D48" s="1111"/>
      <c r="E48" s="1112"/>
      <c r="F48" s="961"/>
      <c r="G48" s="721"/>
      <c r="H48" s="722"/>
      <c r="I48" s="1420" t="s">
        <v>819</v>
      </c>
      <c r="J48" s="1421" t="s">
        <v>3405</v>
      </c>
      <c r="K48" s="1422" t="s">
        <v>820</v>
      </c>
      <c r="L48" s="1423">
        <f ca="1">INDIRECT("'数据-取费表'!f"&amp;$G$1)</f>
        <v>20.54</v>
      </c>
      <c r="O48" s="1417" t="s">
        <v>404</v>
      </c>
      <c r="P48" s="1418" t="s">
        <v>821</v>
      </c>
      <c r="Q48" s="1419">
        <f ca="1">J60</f>
        <v>468833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2005</v>
      </c>
      <c r="K49" s="1422" t="s">
        <v>824</v>
      </c>
      <c r="L49" s="1426"/>
      <c r="O49" s="1427" t="s">
        <v>405</v>
      </c>
      <c r="P49" s="1418" t="s">
        <v>825</v>
      </c>
      <c r="Q49" s="1419">
        <f ca="1">C29</f>
        <v>5694850</v>
      </c>
      <c r="R49" s="1419" t="s">
        <v>818</v>
      </c>
    </row>
    <row r="50" spans="1:18" s="1383" customFormat="1" ht="13.5" thickBot="1">
      <c r="A50" s="975"/>
      <c r="B50" s="978"/>
      <c r="C50" s="979"/>
      <c r="D50" s="952"/>
      <c r="E50" s="1055" t="s">
        <v>697</v>
      </c>
      <c r="F50" s="1056">
        <f ca="1">F7</f>
        <v>1056.2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16759773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f>'数据-取费表'!J6+0.5%</f>
        <v>0.08</v>
      </c>
      <c r="K52" s="1436" t="s">
        <v>833</v>
      </c>
      <c r="L52" s="1437"/>
      <c r="O52" s="1427" t="s">
        <v>408</v>
      </c>
      <c r="P52" s="1418" t="s">
        <v>834</v>
      </c>
      <c r="Q52" s="1419">
        <f ca="1">J53</f>
        <v>20.54</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20.54</v>
      </c>
      <c r="K53" s="3669" t="s">
        <v>837</v>
      </c>
      <c r="L53" s="3670"/>
      <c r="O53" s="1417" t="s">
        <v>409</v>
      </c>
      <c r="P53" s="1418" t="s">
        <v>838</v>
      </c>
      <c r="Q53" s="1419">
        <f ca="1">Q47+Q48</f>
        <v>28332551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0.35799999999999998</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3986395</v>
      </c>
      <c r="D56" s="1446"/>
      <c r="E56" s="1447"/>
      <c r="F56" s="1439"/>
      <c r="I56" s="1448" t="s">
        <v>842</v>
      </c>
      <c r="J56" s="1449" t="s">
        <v>3386</v>
      </c>
      <c r="K56" s="1420" t="s">
        <v>843</v>
      </c>
      <c r="L56" s="1423" t="str">
        <f ca="1">IF(L48&lt;J51,"——",L48-J51)</f>
        <v>——</v>
      </c>
      <c r="O56" s="1417" t="s">
        <v>403</v>
      </c>
      <c r="P56" s="1418" t="s">
        <v>817</v>
      </c>
      <c r="Q56" s="1419">
        <f ca="1">C40+J29</f>
        <v>27863718</v>
      </c>
      <c r="R56" s="1419" t="s">
        <v>818</v>
      </c>
    </row>
    <row r="57" spans="1:18" s="1383" customFormat="1" ht="24.75" thickBot="1">
      <c r="A57" s="1450"/>
      <c r="B57" s="949" t="s">
        <v>767</v>
      </c>
      <c r="C57" s="238">
        <f ca="1">C29</f>
        <v>5694850</v>
      </c>
      <c r="D57" s="1451"/>
      <c r="E57" s="1452"/>
      <c r="F57" s="1453"/>
      <c r="I57" s="1454" t="s">
        <v>844</v>
      </c>
      <c r="J57" s="1455">
        <f ca="1">IF(OR(M47="住宅",J51&lt;L48,J56="是"),"——",J51-L48)</f>
        <v>21.46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91403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2277940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468833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12</v>
      </c>
      <c r="I62" s="1461" t="s">
        <v>858</v>
      </c>
      <c r="J62" s="1462" t="s">
        <v>859</v>
      </c>
      <c r="K62" s="1462" t="s">
        <v>860</v>
      </c>
      <c r="L62" s="1462" t="s">
        <v>861</v>
      </c>
      <c r="M62" s="1463" t="s">
        <v>862</v>
      </c>
      <c r="O62" s="1417" t="s">
        <v>409</v>
      </c>
      <c r="P62" s="1418" t="s">
        <v>863</v>
      </c>
      <c r="Q62" s="1419">
        <f ca="1">Q56+Q57</f>
        <v>27863718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85423</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5980</v>
      </c>
      <c r="D65" s="963" t="s">
        <v>743</v>
      </c>
      <c r="E65" s="949" t="s">
        <v>744</v>
      </c>
      <c r="F65" s="330">
        <f t="shared" ca="1" si="0"/>
        <v>1.5E-3</v>
      </c>
      <c r="I65" s="1461" t="s">
        <v>867</v>
      </c>
      <c r="J65" s="1462">
        <v>40</v>
      </c>
      <c r="K65" s="1462">
        <v>30</v>
      </c>
      <c r="L65" s="1462">
        <v>50</v>
      </c>
      <c r="M65" s="1464">
        <v>0.02</v>
      </c>
      <c r="O65" s="1417" t="s">
        <v>403</v>
      </c>
      <c r="P65" s="1418" t="s">
        <v>868</v>
      </c>
      <c r="Q65" s="1419">
        <f ca="1">C40+J29</f>
        <v>27863718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-91403</v>
      </c>
      <c r="D67" s="962" t="s">
        <v>753</v>
      </c>
      <c r="E67" s="967"/>
      <c r="F67" s="968"/>
      <c r="O67" s="1427" t="s">
        <v>405</v>
      </c>
      <c r="P67" s="1418" t="s">
        <v>850</v>
      </c>
      <c r="Q67" s="1465">
        <f ca="1">L51</f>
        <v>16759773</v>
      </c>
      <c r="R67" s="1419" t="s">
        <v>870</v>
      </c>
    </row>
    <row r="68" spans="1:18" s="1383" customFormat="1" ht="16.5" thickBot="1">
      <c r="A68" s="946" t="s">
        <v>395</v>
      </c>
      <c r="B68" s="947" t="s">
        <v>774</v>
      </c>
      <c r="C68" s="301">
        <f ca="1">ROUND(C67*(1-((1+F70)/(1+F68))^F69)/(F68-F70),0)</f>
        <v>-294153</v>
      </c>
      <c r="D68" s="964" t="s">
        <v>758</v>
      </c>
      <c r="E68" s="949" t="s">
        <v>759</v>
      </c>
      <c r="F68" s="312">
        <f ca="1">F40</f>
        <v>5.5E-2</v>
      </c>
      <c r="O68" s="1427" t="s">
        <v>406</v>
      </c>
      <c r="P68" s="1466" t="s">
        <v>871</v>
      </c>
      <c r="Q68" s="1419">
        <f ca="1">ROUND(Q69-Q70*Q71,0)</f>
        <v>961922</v>
      </c>
      <c r="R68" s="1419" t="s">
        <v>414</v>
      </c>
    </row>
    <row r="69" spans="1:18" s="1383" customFormat="1" ht="13.5" thickBot="1">
      <c r="A69" s="950"/>
      <c r="B69" s="951"/>
      <c r="C69" s="306"/>
      <c r="D69" s="969" t="s">
        <v>762</v>
      </c>
      <c r="E69" s="949" t="s">
        <v>763</v>
      </c>
      <c r="F69" s="333">
        <f ca="1">F41</f>
        <v>3.6383561643835618</v>
      </c>
      <c r="O69" s="1427" t="s">
        <v>411</v>
      </c>
      <c r="P69" s="1466" t="s">
        <v>872</v>
      </c>
      <c r="Q69" s="1419">
        <f ca="1">C39</f>
        <v>1260902</v>
      </c>
      <c r="R69" s="1419" t="s">
        <v>818</v>
      </c>
    </row>
    <row r="70" spans="1:18" s="1383" customFormat="1" ht="13.5" thickBot="1">
      <c r="A70" s="953"/>
      <c r="B70" s="954"/>
      <c r="C70" s="310"/>
      <c r="D70" s="965"/>
      <c r="E70" s="949" t="s">
        <v>766</v>
      </c>
      <c r="F70" s="1053"/>
      <c r="O70" s="1427" t="s">
        <v>412</v>
      </c>
      <c r="P70" s="1466" t="s">
        <v>873</v>
      </c>
      <c r="Q70" s="1419">
        <f ca="1">C13</f>
        <v>3986395</v>
      </c>
      <c r="R70" s="1419" t="s">
        <v>818</v>
      </c>
    </row>
    <row r="71" spans="1:18" s="1383" customFormat="1" ht="13.5" thickBot="1">
      <c r="A71" s="970" t="s">
        <v>396</v>
      </c>
      <c r="B71" s="971" t="s">
        <v>776</v>
      </c>
      <c r="C71" s="336">
        <f ca="1">ROUND(C68/F71,0)</f>
        <v>-279</v>
      </c>
      <c r="D71" s="972" t="s">
        <v>777</v>
      </c>
      <c r="E71" s="973" t="s">
        <v>778</v>
      </c>
      <c r="F71" s="339">
        <f ca="1">F43</f>
        <v>1056.2</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298980</v>
      </c>
      <c r="D75" s="1383"/>
      <c r="E75" s="1383"/>
      <c r="F75" s="1383"/>
      <c r="K75" s="1401"/>
      <c r="L75" s="1383"/>
      <c r="O75" s="1417" t="s">
        <v>409</v>
      </c>
      <c r="P75" s="1418" t="s">
        <v>838</v>
      </c>
      <c r="Q75" s="1419">
        <f ca="1">Q65+Q66</f>
        <v>27863718</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1.8000000000000016E-2</v>
      </c>
    </row>
    <row r="83" spans="2:3">
      <c r="B83" s="273" t="s">
        <v>803</v>
      </c>
      <c r="C83" s="274">
        <f ca="1">ROUND(C13/C40,3)</f>
        <v>0.98199999999999998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3364</v>
      </c>
      <c r="E2" s="3443"/>
      <c r="F2" s="2845"/>
      <c r="G2" s="2846"/>
      <c r="H2" s="2847"/>
      <c r="I2" s="2848"/>
      <c r="J2" s="3680" t="s">
        <v>2321</v>
      </c>
      <c r="K2" s="368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2" t="s">
        <v>2331</v>
      </c>
      <c r="K3" s="368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2" t="s">
        <v>2333</v>
      </c>
      <c r="K4" s="368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88" t="s">
        <v>2337</v>
      </c>
      <c r="B6" s="3689"/>
      <c r="C6" s="3690"/>
      <c r="D6" s="2869"/>
      <c r="E6" s="2870"/>
      <c r="F6" s="2871"/>
      <c r="G6" s="2872"/>
      <c r="H6" s="2847"/>
      <c r="I6" s="2848"/>
      <c r="J6" s="3674">
        <v>1</v>
      </c>
      <c r="K6" s="367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4"/>
      <c r="K7" s="367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91" t="s">
        <v>2351</v>
      </c>
      <c r="C8" s="3692"/>
      <c r="D8" s="2888" t="s">
        <v>2352</v>
      </c>
      <c r="E8" s="2889" t="s">
        <v>2353</v>
      </c>
      <c r="F8" s="2890" t="s">
        <v>2354</v>
      </c>
      <c r="G8" s="2891"/>
      <c r="H8" s="2847"/>
      <c r="I8" s="2848"/>
      <c r="J8" s="3674"/>
      <c r="K8" s="367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91" t="s">
        <v>2357</v>
      </c>
      <c r="C9" s="3692"/>
      <c r="D9" s="2888">
        <f>ROUND(D6*E9,0)</f>
        <v>0</v>
      </c>
      <c r="E9" s="2892"/>
      <c r="F9" s="2893" t="s">
        <v>2358</v>
      </c>
      <c r="G9" s="2872"/>
      <c r="H9" s="2847"/>
      <c r="I9" s="2848"/>
      <c r="J9" s="3674"/>
      <c r="K9" s="3676"/>
      <c r="L9" s="2882" t="s">
        <v>2359</v>
      </c>
      <c r="M9" s="2883"/>
      <c r="N9" s="2859"/>
      <c r="O9" s="2884"/>
      <c r="P9" s="2884"/>
      <c r="Q9" s="2885">
        <v>365</v>
      </c>
      <c r="R9" s="2886">
        <f t="shared" si="0"/>
        <v>0</v>
      </c>
      <c r="S9" s="2840"/>
      <c r="T9" s="2840"/>
      <c r="U9" s="2840"/>
      <c r="V9" s="2848"/>
    </row>
    <row r="10" spans="1:22" s="2852" customFormat="1" ht="13.15" customHeight="1">
      <c r="A10" s="2887">
        <v>2</v>
      </c>
      <c r="B10" s="3691" t="s">
        <v>2360</v>
      </c>
      <c r="C10" s="3692"/>
      <c r="D10" s="2888">
        <f>ROUND(D6*E10,0)</f>
        <v>0</v>
      </c>
      <c r="E10" s="2892"/>
      <c r="F10" s="2893" t="s">
        <v>2361</v>
      </c>
      <c r="G10" s="2872"/>
      <c r="H10" s="2847"/>
      <c r="I10" s="2848"/>
      <c r="J10" s="3674"/>
      <c r="K10" s="3676"/>
      <c r="L10" s="2882" t="s">
        <v>2362</v>
      </c>
      <c r="M10" s="2883"/>
      <c r="N10" s="2859"/>
      <c r="O10" s="2884"/>
      <c r="P10" s="2884"/>
      <c r="Q10" s="2885">
        <v>365</v>
      </c>
      <c r="R10" s="2886">
        <f t="shared" si="0"/>
        <v>0</v>
      </c>
      <c r="S10" s="2840"/>
      <c r="T10" s="2840"/>
      <c r="U10" s="2840"/>
      <c r="V10" s="2848"/>
    </row>
    <row r="11" spans="1:22" s="2852" customFormat="1" ht="13.15" customHeight="1">
      <c r="A11" s="2887">
        <v>3</v>
      </c>
      <c r="B11" s="3691" t="s">
        <v>2363</v>
      </c>
      <c r="C11" s="3692"/>
      <c r="D11" s="2888">
        <f>D12+D14+D15+D16</f>
        <v>0</v>
      </c>
      <c r="E11" s="2894" t="e">
        <f>D11/D6</f>
        <v>#DIV/0!</v>
      </c>
      <c r="F11" s="2890"/>
      <c r="G11" s="2891"/>
      <c r="H11" s="2847"/>
      <c r="I11" s="2848"/>
      <c r="J11" s="3674"/>
      <c r="K11" s="367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4" t="s">
        <v>2366</v>
      </c>
      <c r="C12" s="3685"/>
      <c r="D12" s="2896">
        <f>ROUND(D13*1.2%*(1-30%),0)</f>
        <v>0</v>
      </c>
      <c r="E12" s="2897">
        <v>1.2E-2</v>
      </c>
      <c r="F12" s="2890" t="s">
        <v>2367</v>
      </c>
      <c r="G12" s="2891"/>
      <c r="H12" s="2847"/>
      <c r="I12" s="2848"/>
      <c r="J12" s="3674"/>
      <c r="K12" s="367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4"/>
      <c r="K13" s="367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4" t="s">
        <v>2372</v>
      </c>
      <c r="C14" s="3685"/>
      <c r="D14" s="2896">
        <f>ROUND(E14*B5/10000,0)</f>
        <v>0</v>
      </c>
      <c r="E14" s="2885"/>
      <c r="F14" s="2890" t="s">
        <v>2373</v>
      </c>
      <c r="G14" s="2891"/>
      <c r="H14" s="2847"/>
      <c r="I14" s="2848"/>
      <c r="J14" s="3674"/>
      <c r="K14" s="367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4" t="s">
        <v>2376</v>
      </c>
      <c r="C15" s="3685"/>
      <c r="D15" s="2896">
        <f>ROUND(D6*E15,0)</f>
        <v>0</v>
      </c>
      <c r="E15" s="2897">
        <v>5.5E-2</v>
      </c>
      <c r="F15" s="2890" t="s">
        <v>2377</v>
      </c>
      <c r="G15" s="2872"/>
      <c r="H15" s="2847"/>
      <c r="I15" s="2848"/>
      <c r="J15" s="3674">
        <v>2</v>
      </c>
      <c r="K15" s="367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4" t="s">
        <v>2385</v>
      </c>
      <c r="C16" s="3685"/>
      <c r="D16" s="2907">
        <f>D6*E16</f>
        <v>0</v>
      </c>
      <c r="E16" s="2908"/>
      <c r="F16" s="2893" t="s">
        <v>2386</v>
      </c>
      <c r="G16" s="2872"/>
      <c r="H16" s="2847"/>
      <c r="I16" s="2848"/>
      <c r="J16" s="3674"/>
      <c r="K16" s="367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86" t="s">
        <v>2388</v>
      </c>
      <c r="C17" s="3687"/>
      <c r="D17" s="2910">
        <f>ROUND(D6*E17,0)</f>
        <v>0</v>
      </c>
      <c r="E17" s="2911"/>
      <c r="F17" s="2912" t="s">
        <v>2389</v>
      </c>
      <c r="G17" s="2872"/>
      <c r="H17" s="2847"/>
      <c r="I17" s="2848"/>
      <c r="J17" s="3674"/>
      <c r="K17" s="367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4"/>
      <c r="K18" s="367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4"/>
      <c r="K19" s="367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4">
        <v>3</v>
      </c>
      <c r="K20" s="367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4"/>
      <c r="K21" s="367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4"/>
      <c r="K22" s="367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4"/>
      <c r="K23" s="367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4"/>
      <c r="K24" s="367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8">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80" t="s">
        <v>2321</v>
      </c>
      <c r="K32" s="368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2" t="s">
        <v>2331</v>
      </c>
      <c r="K33" s="368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2" t="s">
        <v>2333</v>
      </c>
      <c r="K34" s="368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4">
        <v>1</v>
      </c>
      <c r="K36" s="367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4"/>
      <c r="K37" s="367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4"/>
      <c r="K38" s="367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4"/>
      <c r="K39" s="367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4"/>
      <c r="K40" s="367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2833.2550999999999</v>
      </c>
      <c r="C2" s="1871" t="s">
        <v>1651</v>
      </c>
      <c r="D2" s="1872" t="s">
        <v>1652</v>
      </c>
      <c r="E2" s="2606">
        <f>SUM(E6:E13)</f>
        <v>1056.2</v>
      </c>
      <c r="F2" s="2706"/>
      <c r="G2" s="1488"/>
      <c r="H2" s="1488"/>
      <c r="I2" s="1488"/>
      <c r="J2" s="1488"/>
      <c r="K2" s="1488"/>
      <c r="L2" s="1488"/>
      <c r="M2" s="1488"/>
      <c r="N2" s="1488"/>
      <c r="O2" s="1488"/>
      <c r="P2" s="1488"/>
      <c r="Q2" s="1488"/>
      <c r="R2" s="1488"/>
      <c r="S2" s="1488"/>
    </row>
    <row r="3" spans="1:22" ht="15.75">
      <c r="A3" s="1869" t="s">
        <v>686</v>
      </c>
      <c r="B3" s="2600">
        <f ca="1">ROUND(B2*10000/E2,0)</f>
        <v>26825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3" t="s">
        <v>1654</v>
      </c>
      <c r="C5" s="369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2833.2550999999999</v>
      </c>
      <c r="C6" s="1871" t="s">
        <v>1651</v>
      </c>
      <c r="D6" s="2708"/>
      <c r="E6" s="2605">
        <f>IF(OR(A6=0,F6="否"),0,'数据-取费表'!K6+'数据-取费表'!S6)</f>
        <v>1056.2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1056.2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713" t="s">
        <v>1667</v>
      </c>
      <c r="D4" s="3714"/>
      <c r="E4" s="3715" t="s">
        <v>1668</v>
      </c>
      <c r="F4" s="3716"/>
      <c r="G4" s="3713" t="s">
        <v>1669</v>
      </c>
      <c r="H4" s="3714"/>
      <c r="I4" s="3713" t="s">
        <v>1670</v>
      </c>
      <c r="J4" s="3714"/>
      <c r="K4" s="1888" t="s">
        <v>1671</v>
      </c>
      <c r="L4" s="2714"/>
      <c r="M4" s="2715"/>
      <c r="N4" s="2715"/>
      <c r="O4" s="2715"/>
      <c r="P4" s="3717" t="s">
        <v>1672</v>
      </c>
      <c r="Q4" s="3718"/>
      <c r="R4" s="3723" t="s">
        <v>1668</v>
      </c>
      <c r="S4" s="3724"/>
      <c r="T4" s="3723" t="s">
        <v>1669</v>
      </c>
      <c r="U4" s="3724"/>
      <c r="V4" s="3729" t="s">
        <v>1670</v>
      </c>
      <c r="W4" s="3729"/>
      <c r="X4" s="1354"/>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8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188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34" t="s">
        <v>1680</v>
      </c>
      <c r="Q7" s="3736"/>
      <c r="R7" s="700" t="s">
        <v>20</v>
      </c>
      <c r="S7" s="701">
        <f t="shared" ref="S7:S15" si="0">F7</f>
        <v>0</v>
      </c>
      <c r="T7" s="700" t="s">
        <v>20</v>
      </c>
      <c r="U7" s="701">
        <f t="shared" ref="U7:U15" si="1">H7</f>
        <v>0</v>
      </c>
      <c r="V7" s="700" t="s">
        <v>20</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34" t="s">
        <v>1683</v>
      </c>
      <c r="Q8" s="3735"/>
      <c r="R8" s="700" t="s">
        <v>20</v>
      </c>
      <c r="S8" s="701">
        <f t="shared" si="0"/>
        <v>100</v>
      </c>
      <c r="T8" s="700" t="s">
        <v>20</v>
      </c>
      <c r="U8" s="701">
        <f t="shared" si="1"/>
        <v>100</v>
      </c>
      <c r="V8" s="700" t="s">
        <v>20</v>
      </c>
      <c r="W8" s="701">
        <f t="shared" si="2"/>
        <v>100</v>
      </c>
      <c r="X8" s="702"/>
      <c r="Y8" s="3734" t="s">
        <v>1683</v>
      </c>
      <c r="Z8" s="373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9"/>
      <c r="Q11" s="1342" t="str">
        <f t="shared" si="6"/>
        <v>容积率</v>
      </c>
      <c r="R11" s="700" t="s">
        <v>18</v>
      </c>
      <c r="S11" s="701" t="e">
        <f t="shared" si="0"/>
        <v>#N/A</v>
      </c>
      <c r="T11" s="700" t="s">
        <v>18</v>
      </c>
      <c r="U11" s="701" t="e">
        <f t="shared" si="1"/>
        <v>#N/A</v>
      </c>
      <c r="V11" s="700" t="s">
        <v>18</v>
      </c>
      <c r="W11" s="701" t="e">
        <f t="shared" si="2"/>
        <v>#N/A</v>
      </c>
      <c r="X11" s="702"/>
      <c r="Y11" s="355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9"/>
      <c r="Q12" s="1342">
        <f t="shared" si="6"/>
        <v>111</v>
      </c>
      <c r="R12" s="700" t="s">
        <v>18</v>
      </c>
      <c r="S12" s="701">
        <f t="shared" si="0"/>
        <v>100</v>
      </c>
      <c r="T12" s="700" t="s">
        <v>18</v>
      </c>
      <c r="U12" s="701">
        <f t="shared" si="1"/>
        <v>100</v>
      </c>
      <c r="V12" s="700" t="s">
        <v>18</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9"/>
      <c r="Q13" s="1342">
        <f t="shared" si="6"/>
        <v>111</v>
      </c>
      <c r="R13" s="700" t="s">
        <v>18</v>
      </c>
      <c r="S13" s="701">
        <f t="shared" si="0"/>
        <v>100</v>
      </c>
      <c r="T13" s="700" t="s">
        <v>18</v>
      </c>
      <c r="U13" s="701">
        <f t="shared" si="1"/>
        <v>100</v>
      </c>
      <c r="V13" s="700" t="s">
        <v>18</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9"/>
      <c r="Q14" s="1342">
        <f t="shared" si="6"/>
        <v>111</v>
      </c>
      <c r="R14" s="700" t="s">
        <v>18</v>
      </c>
      <c r="S14" s="701">
        <f t="shared" si="0"/>
        <v>100</v>
      </c>
      <c r="T14" s="700" t="s">
        <v>18</v>
      </c>
      <c r="U14" s="701">
        <f t="shared" si="1"/>
        <v>100</v>
      </c>
      <c r="V14" s="700" t="s">
        <v>18</v>
      </c>
      <c r="W14" s="701">
        <f t="shared" si="2"/>
        <v>100</v>
      </c>
      <c r="X14" s="702"/>
      <c r="Y14" s="355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7" t="s">
        <v>1691</v>
      </c>
      <c r="Q15" s="1351" t="str">
        <f t="shared" si="6"/>
        <v>居住社区成熟度</v>
      </c>
      <c r="R15" s="704" t="s">
        <v>18</v>
      </c>
      <c r="S15" s="705">
        <f t="shared" si="0"/>
        <v>100</v>
      </c>
      <c r="T15" s="704" t="s">
        <v>18</v>
      </c>
      <c r="U15" s="705">
        <f t="shared" si="1"/>
        <v>100</v>
      </c>
      <c r="V15" s="704" t="s">
        <v>18</v>
      </c>
      <c r="W15" s="705">
        <f t="shared" si="2"/>
        <v>100</v>
      </c>
      <c r="X15" s="1354"/>
      <c r="Y15" s="370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8"/>
      <c r="Q16" s="1351"/>
      <c r="R16" s="704"/>
      <c r="S16" s="705"/>
      <c r="T16" s="704"/>
      <c r="U16" s="705"/>
      <c r="V16" s="704"/>
      <c r="W16" s="705"/>
      <c r="X16" s="1354"/>
      <c r="Y16" s="370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8"/>
      <c r="Q17" s="1351" t="str">
        <f>B17</f>
        <v>交通便捷度</v>
      </c>
      <c r="R17" s="704" t="s">
        <v>18</v>
      </c>
      <c r="S17" s="705">
        <f>F17</f>
        <v>100</v>
      </c>
      <c r="T17" s="704" t="s">
        <v>18</v>
      </c>
      <c r="U17" s="705">
        <f>H17</f>
        <v>100</v>
      </c>
      <c r="V17" s="704" t="s">
        <v>18</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8"/>
      <c r="Q18" s="1351"/>
      <c r="R18" s="704"/>
      <c r="S18" s="705"/>
      <c r="T18" s="704"/>
      <c r="U18" s="705"/>
      <c r="V18" s="704"/>
      <c r="W18" s="705"/>
      <c r="X18" s="1354"/>
      <c r="Y18" s="370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8"/>
      <c r="Q19" s="1351" t="str">
        <f>B19</f>
        <v>公共配套设施</v>
      </c>
      <c r="R19" s="704" t="s">
        <v>18</v>
      </c>
      <c r="S19" s="705">
        <f>F19</f>
        <v>100</v>
      </c>
      <c r="T19" s="704" t="s">
        <v>18</v>
      </c>
      <c r="U19" s="705">
        <f>H19</f>
        <v>100</v>
      </c>
      <c r="V19" s="704" t="s">
        <v>18</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8"/>
      <c r="Q20" s="1351"/>
      <c r="R20" s="704"/>
      <c r="S20" s="705"/>
      <c r="T20" s="704"/>
      <c r="U20" s="705"/>
      <c r="V20" s="704"/>
      <c r="W20" s="705"/>
      <c r="X20" s="1354"/>
      <c r="Y20" s="370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8"/>
      <c r="Q22" s="1351"/>
      <c r="R22" s="704"/>
      <c r="S22" s="705"/>
      <c r="T22" s="704"/>
      <c r="U22" s="705"/>
      <c r="V22" s="704"/>
      <c r="W22" s="705"/>
      <c r="X22" s="1354"/>
      <c r="Y22" s="370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8"/>
      <c r="Q23" s="1351" t="str">
        <f>B23</f>
        <v>自然及人文环境</v>
      </c>
      <c r="R23" s="704" t="s">
        <v>18</v>
      </c>
      <c r="S23" s="705">
        <f>F23</f>
        <v>100</v>
      </c>
      <c r="T23" s="704" t="s">
        <v>18</v>
      </c>
      <c r="U23" s="705">
        <f>H23</f>
        <v>100</v>
      </c>
      <c r="V23" s="704" t="s">
        <v>18</v>
      </c>
      <c r="W23" s="705">
        <f>J23</f>
        <v>100</v>
      </c>
      <c r="X23" s="1354"/>
      <c r="Y23" s="370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8"/>
      <c r="Q24" s="1351"/>
      <c r="R24" s="704"/>
      <c r="S24" s="705"/>
      <c r="T24" s="704"/>
      <c r="U24" s="705"/>
      <c r="V24" s="704"/>
      <c r="W24" s="705"/>
      <c r="X24" s="1354"/>
      <c r="Y24" s="370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8"/>
      <c r="Q26" s="1351" t="str">
        <f t="shared" si="11"/>
        <v>朝向</v>
      </c>
      <c r="R26" s="704" t="s">
        <v>18</v>
      </c>
      <c r="S26" s="705">
        <f t="shared" si="12"/>
        <v>100</v>
      </c>
      <c r="T26" s="704" t="s">
        <v>18</v>
      </c>
      <c r="U26" s="705">
        <f t="shared" si="13"/>
        <v>100</v>
      </c>
      <c r="V26" s="704" t="s">
        <v>18</v>
      </c>
      <c r="W26" s="705">
        <f t="shared" si="14"/>
        <v>100</v>
      </c>
      <c r="X26" s="1354"/>
      <c r="Y26" s="370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8"/>
      <c r="Q27" s="1342">
        <f t="shared" si="11"/>
        <v>111</v>
      </c>
      <c r="R27" s="700" t="s">
        <v>18</v>
      </c>
      <c r="S27" s="701">
        <f t="shared" si="12"/>
        <v>100</v>
      </c>
      <c r="T27" s="700" t="s">
        <v>18</v>
      </c>
      <c r="U27" s="701">
        <f t="shared" si="13"/>
        <v>100</v>
      </c>
      <c r="V27" s="700" t="s">
        <v>18</v>
      </c>
      <c r="W27" s="701">
        <f t="shared" si="14"/>
        <v>100</v>
      </c>
      <c r="X27" s="702"/>
      <c r="Y27" s="370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8"/>
      <c r="Q28" s="1351">
        <f t="shared" si="11"/>
        <v>111</v>
      </c>
      <c r="R28" s="704" t="s">
        <v>18</v>
      </c>
      <c r="S28" s="705">
        <f t="shared" si="12"/>
        <v>100</v>
      </c>
      <c r="T28" s="704" t="s">
        <v>18</v>
      </c>
      <c r="U28" s="705">
        <f t="shared" si="13"/>
        <v>100</v>
      </c>
      <c r="V28" s="704" t="s">
        <v>18</v>
      </c>
      <c r="W28" s="705">
        <f t="shared" si="14"/>
        <v>100</v>
      </c>
      <c r="X28" s="1354"/>
      <c r="Y28" s="370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8"/>
      <c r="Q29" s="1351">
        <f t="shared" si="11"/>
        <v>111</v>
      </c>
      <c r="R29" s="704" t="s">
        <v>18</v>
      </c>
      <c r="S29" s="705">
        <f t="shared" si="12"/>
        <v>100</v>
      </c>
      <c r="T29" s="704" t="s">
        <v>18</v>
      </c>
      <c r="U29" s="705">
        <f t="shared" si="13"/>
        <v>100</v>
      </c>
      <c r="V29" s="704" t="s">
        <v>18</v>
      </c>
      <c r="W29" s="705">
        <f t="shared" si="14"/>
        <v>100</v>
      </c>
      <c r="X29" s="1354"/>
      <c r="Y29" s="370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8"/>
      <c r="Q30" s="1351">
        <f t="shared" si="11"/>
        <v>111</v>
      </c>
      <c r="R30" s="704" t="s">
        <v>18</v>
      </c>
      <c r="S30" s="705">
        <f t="shared" si="12"/>
        <v>100</v>
      </c>
      <c r="T30" s="704" t="s">
        <v>18</v>
      </c>
      <c r="U30" s="705">
        <f t="shared" si="13"/>
        <v>100</v>
      </c>
      <c r="V30" s="704" t="s">
        <v>18</v>
      </c>
      <c r="W30" s="705">
        <f t="shared" si="14"/>
        <v>100</v>
      </c>
      <c r="X30" s="1354"/>
      <c r="Y30" s="370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8"/>
      <c r="Q31" s="1351">
        <f t="shared" si="11"/>
        <v>111</v>
      </c>
      <c r="R31" s="704" t="s">
        <v>18</v>
      </c>
      <c r="S31" s="705">
        <f t="shared" si="12"/>
        <v>100</v>
      </c>
      <c r="T31" s="704" t="s">
        <v>18</v>
      </c>
      <c r="U31" s="705">
        <f t="shared" si="13"/>
        <v>100</v>
      </c>
      <c r="V31" s="704" t="s">
        <v>18</v>
      </c>
      <c r="W31" s="705">
        <f t="shared" si="14"/>
        <v>100</v>
      </c>
      <c r="X31" s="1354"/>
      <c r="Y31" s="370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2" t="s">
        <v>1696</v>
      </c>
      <c r="Q32" s="1351" t="str">
        <f t="shared" si="11"/>
        <v>建筑类型</v>
      </c>
      <c r="R32" s="704" t="s">
        <v>18</v>
      </c>
      <c r="S32" s="705">
        <f t="shared" si="12"/>
        <v>100</v>
      </c>
      <c r="T32" s="704" t="s">
        <v>18</v>
      </c>
      <c r="U32" s="705">
        <f t="shared" si="13"/>
        <v>100</v>
      </c>
      <c r="V32" s="704" t="s">
        <v>18</v>
      </c>
      <c r="W32" s="705">
        <f t="shared" si="14"/>
        <v>100</v>
      </c>
      <c r="X32" s="1354"/>
      <c r="Y32" s="370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3"/>
      <c r="Q33" s="706" t="str">
        <f t="shared" si="11"/>
        <v>项目建筑规模</v>
      </c>
      <c r="R33" s="707" t="s">
        <v>18</v>
      </c>
      <c r="S33" s="708" t="e">
        <f t="shared" si="12"/>
        <v>#N/A</v>
      </c>
      <c r="T33" s="707" t="s">
        <v>18</v>
      </c>
      <c r="U33" s="708" t="e">
        <f t="shared" si="13"/>
        <v>#N/A</v>
      </c>
      <c r="V33" s="707" t="s">
        <v>18</v>
      </c>
      <c r="W33" s="708" t="e">
        <f t="shared" si="14"/>
        <v>#N/A</v>
      </c>
      <c r="X33" s="709"/>
      <c r="Y33" s="370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3"/>
      <c r="Q34" s="1351" t="str">
        <f t="shared" si="11"/>
        <v>建筑结构</v>
      </c>
      <c r="R34" s="704" t="s">
        <v>18</v>
      </c>
      <c r="S34" s="705">
        <f t="shared" si="12"/>
        <v>100</v>
      </c>
      <c r="T34" s="704" t="s">
        <v>18</v>
      </c>
      <c r="U34" s="705">
        <f t="shared" si="13"/>
        <v>100</v>
      </c>
      <c r="V34" s="704" t="s">
        <v>18</v>
      </c>
      <c r="W34" s="705">
        <f t="shared" si="14"/>
        <v>100</v>
      </c>
      <c r="X34" s="1354"/>
      <c r="Y34" s="370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3"/>
      <c r="Q35" s="1351" t="str">
        <f t="shared" si="11"/>
        <v>建筑品质</v>
      </c>
      <c r="R35" s="704" t="s">
        <v>18</v>
      </c>
      <c r="S35" s="705">
        <f t="shared" si="12"/>
        <v>100</v>
      </c>
      <c r="T35" s="704" t="s">
        <v>18</v>
      </c>
      <c r="U35" s="705">
        <f t="shared" si="13"/>
        <v>100</v>
      </c>
      <c r="V35" s="704" t="s">
        <v>18</v>
      </c>
      <c r="W35" s="705">
        <f t="shared" si="14"/>
        <v>100</v>
      </c>
      <c r="X35" s="1354"/>
      <c r="Y35" s="370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3"/>
      <c r="Q36" s="1351" t="str">
        <f t="shared" si="11"/>
        <v>公共部分装修</v>
      </c>
      <c r="R36" s="704" t="s">
        <v>18</v>
      </c>
      <c r="S36" s="705">
        <f t="shared" si="12"/>
        <v>100</v>
      </c>
      <c r="T36" s="704" t="s">
        <v>18</v>
      </c>
      <c r="U36" s="705">
        <f t="shared" si="13"/>
        <v>100</v>
      </c>
      <c r="V36" s="704" t="s">
        <v>18</v>
      </c>
      <c r="W36" s="705">
        <f t="shared" si="14"/>
        <v>100</v>
      </c>
      <c r="X36" s="1354"/>
      <c r="Y36" s="370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2" t="str">
        <f t="shared" si="11"/>
        <v>成新度</v>
      </c>
      <c r="R37" s="700" t="s">
        <v>18</v>
      </c>
      <c r="S37" s="701" t="e">
        <f t="shared" si="12"/>
        <v>#N/A</v>
      </c>
      <c r="T37" s="700" t="s">
        <v>18</v>
      </c>
      <c r="U37" s="701" t="e">
        <f t="shared" si="13"/>
        <v>#N/A</v>
      </c>
      <c r="V37" s="700" t="s">
        <v>18</v>
      </c>
      <c r="W37" s="701" t="e">
        <f t="shared" si="14"/>
        <v>#N/A</v>
      </c>
      <c r="X37" s="702"/>
      <c r="Y37" s="370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3" t="s">
        <v>1696</v>
      </c>
      <c r="Q38" s="1351" t="str">
        <f t="shared" si="11"/>
        <v>物业管理</v>
      </c>
      <c r="R38" s="704" t="s">
        <v>18</v>
      </c>
      <c r="S38" s="705">
        <f t="shared" si="12"/>
        <v>100</v>
      </c>
      <c r="T38" s="704" t="s">
        <v>18</v>
      </c>
      <c r="U38" s="705">
        <f t="shared" si="13"/>
        <v>100</v>
      </c>
      <c r="V38" s="704" t="s">
        <v>18</v>
      </c>
      <c r="W38" s="705">
        <f t="shared" si="14"/>
        <v>100</v>
      </c>
      <c r="X38" s="1354"/>
      <c r="Y38" s="370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3"/>
      <c r="Q39" s="1351" t="str">
        <f t="shared" si="11"/>
        <v>市政基础设施</v>
      </c>
      <c r="R39" s="704" t="s">
        <v>18</v>
      </c>
      <c r="S39" s="705">
        <f t="shared" si="12"/>
        <v>100</v>
      </c>
      <c r="T39" s="704" t="s">
        <v>18</v>
      </c>
      <c r="U39" s="705">
        <f t="shared" si="13"/>
        <v>100</v>
      </c>
      <c r="V39" s="704" t="s">
        <v>18</v>
      </c>
      <c r="W39" s="705">
        <f t="shared" si="14"/>
        <v>100</v>
      </c>
      <c r="X39" s="1354"/>
      <c r="Y39" s="370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3"/>
      <c r="Q40" s="1351" t="str">
        <f t="shared" si="11"/>
        <v>房型</v>
      </c>
      <c r="R40" s="704" t="s">
        <v>18</v>
      </c>
      <c r="S40" s="705">
        <f t="shared" si="12"/>
        <v>100</v>
      </c>
      <c r="T40" s="704" t="s">
        <v>18</v>
      </c>
      <c r="U40" s="705">
        <f t="shared" si="13"/>
        <v>100</v>
      </c>
      <c r="V40" s="704" t="s">
        <v>18</v>
      </c>
      <c r="W40" s="705">
        <f t="shared" si="14"/>
        <v>100</v>
      </c>
      <c r="X40" s="1354"/>
      <c r="Y40" s="370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3"/>
      <c r="Q41" s="706" t="str">
        <f t="shared" si="11"/>
        <v>单套/主力户型建筑面积</v>
      </c>
      <c r="R41" s="707" t="s">
        <v>18</v>
      </c>
      <c r="S41" s="708">
        <f t="shared" si="12"/>
        <v>100</v>
      </c>
      <c r="T41" s="707" t="s">
        <v>18</v>
      </c>
      <c r="U41" s="708">
        <f t="shared" si="13"/>
        <v>100</v>
      </c>
      <c r="V41" s="707" t="s">
        <v>18</v>
      </c>
      <c r="W41" s="708">
        <f t="shared" si="14"/>
        <v>100</v>
      </c>
      <c r="X41" s="709"/>
      <c r="Y41" s="370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3"/>
      <c r="Q42" s="1351" t="str">
        <f t="shared" si="11"/>
        <v>内部装修</v>
      </c>
      <c r="R42" s="704" t="s">
        <v>18</v>
      </c>
      <c r="S42" s="705">
        <f t="shared" si="12"/>
        <v>100</v>
      </c>
      <c r="T42" s="704" t="s">
        <v>18</v>
      </c>
      <c r="U42" s="705">
        <f t="shared" si="13"/>
        <v>100</v>
      </c>
      <c r="V42" s="704" t="s">
        <v>18</v>
      </c>
      <c r="W42" s="705">
        <f t="shared" si="14"/>
        <v>100</v>
      </c>
      <c r="X42" s="1354"/>
      <c r="Y42" s="370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3"/>
      <c r="Q43" s="1351" t="str">
        <f t="shared" si="11"/>
        <v>内部装修维护情况</v>
      </c>
      <c r="R43" s="704" t="s">
        <v>18</v>
      </c>
      <c r="S43" s="705">
        <f t="shared" si="12"/>
        <v>100</v>
      </c>
      <c r="T43" s="704" t="s">
        <v>18</v>
      </c>
      <c r="U43" s="705">
        <f t="shared" si="13"/>
        <v>100</v>
      </c>
      <c r="V43" s="704" t="s">
        <v>18</v>
      </c>
      <c r="W43" s="705">
        <f t="shared" si="14"/>
        <v>100</v>
      </c>
      <c r="X43" s="1354"/>
      <c r="Y43" s="370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3"/>
      <c r="Q44" s="1342">
        <f t="shared" si="11"/>
        <v>111</v>
      </c>
      <c r="R44" s="700" t="s">
        <v>18</v>
      </c>
      <c r="S44" s="701">
        <f t="shared" si="12"/>
        <v>100</v>
      </c>
      <c r="T44" s="700" t="s">
        <v>18</v>
      </c>
      <c r="U44" s="701">
        <f t="shared" si="13"/>
        <v>100</v>
      </c>
      <c r="V44" s="700" t="s">
        <v>18</v>
      </c>
      <c r="W44" s="701">
        <f t="shared" si="14"/>
        <v>100</v>
      </c>
      <c r="X44" s="702"/>
      <c r="Y44" s="370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3"/>
      <c r="Q45" s="1351">
        <f t="shared" si="11"/>
        <v>111</v>
      </c>
      <c r="R45" s="704" t="s">
        <v>18</v>
      </c>
      <c r="S45" s="705">
        <f t="shared" si="12"/>
        <v>100</v>
      </c>
      <c r="T45" s="704" t="s">
        <v>18</v>
      </c>
      <c r="U45" s="705">
        <f t="shared" si="13"/>
        <v>100</v>
      </c>
      <c r="V45" s="704" t="s">
        <v>18</v>
      </c>
      <c r="W45" s="705">
        <f t="shared" si="14"/>
        <v>100</v>
      </c>
      <c r="X45" s="1354"/>
      <c r="Y45" s="370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4"/>
      <c r="Q46" s="1351">
        <f t="shared" si="11"/>
        <v>111</v>
      </c>
      <c r="R46" s="704" t="s">
        <v>17</v>
      </c>
      <c r="S46" s="705">
        <f t="shared" si="12"/>
        <v>100</v>
      </c>
      <c r="T46" s="704" t="s">
        <v>17</v>
      </c>
      <c r="U46" s="705">
        <f t="shared" si="13"/>
        <v>100</v>
      </c>
      <c r="V46" s="704" t="s">
        <v>17</v>
      </c>
      <c r="W46" s="705">
        <f t="shared" si="14"/>
        <v>100</v>
      </c>
      <c r="X46" s="1354"/>
      <c r="Y46" s="370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8" t="str">
        <f>A47</f>
        <v>成交单价（元/平方米）</v>
      </c>
      <c r="Q47" s="3698"/>
      <c r="R47" s="3699">
        <f>E47</f>
        <v>0</v>
      </c>
      <c r="S47" s="3699"/>
      <c r="T47" s="3699">
        <f>G47</f>
        <v>0</v>
      </c>
      <c r="U47" s="3699"/>
      <c r="V47" s="3699">
        <f>I47</f>
        <v>0</v>
      </c>
      <c r="W47" s="369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90" zoomScaleNormal="70" zoomScaleSheetLayoutView="90" workbookViewId="0">
      <selection activeCell="M52" sqref="M5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3398</v>
      </c>
      <c r="E1" s="3425" t="s">
        <v>3408</v>
      </c>
      <c r="F1" s="1878" t="s">
        <v>3409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9208</v>
      </c>
      <c r="C2" s="1880" t="s">
        <v>3495</v>
      </c>
      <c r="D2" s="1114">
        <f ca="1">IF(E1="项目模式",SUMIF(INDIRECT("'"&amp;F2&amp;"'"&amp;"!A:A"),"承租人权益价值",INDIRECT("'"&amp;F2&amp;"'"&amp;"!c:c")),SUMIF(INDIRECT("'"&amp;F2&amp;"'"&amp;"!A:A"),"承租人权益价值（单套）",INDIRECT("'"&amp;F2&amp;"'"&amp;"!c:c")))</f>
        <v>244</v>
      </c>
      <c r="E2" s="1881" t="s">
        <v>1463</v>
      </c>
      <c r="F2" s="1882" t="s">
        <v>3401</v>
      </c>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87180</v>
      </c>
      <c r="C3" s="354" t="s">
        <v>1768</v>
      </c>
      <c r="D3" s="353">
        <f>IF(D1="",'数据-汇总表'!E3,SUMIF('数据-汇总表'!$C19:$C33,D1,'数据-汇总表'!$E19:$E33))</f>
        <v>1056.2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29" t="s">
        <v>1772</v>
      </c>
      <c r="AC4" s="3710" t="s">
        <v>1773</v>
      </c>
    </row>
    <row r="5" spans="1:29" ht="15">
      <c r="A5" s="358"/>
      <c r="B5" s="359"/>
      <c r="C5" s="3732" t="s">
        <v>1673</v>
      </c>
      <c r="D5" s="3733"/>
      <c r="E5" s="3739" t="s">
        <v>3509</v>
      </c>
      <c r="F5" s="3740"/>
      <c r="G5" s="3732" t="s">
        <v>3498</v>
      </c>
      <c r="H5" s="3733"/>
      <c r="I5" s="3741" t="s">
        <v>3508</v>
      </c>
      <c r="J5" s="3733"/>
      <c r="K5" s="559"/>
      <c r="L5" s="2714"/>
      <c r="M5" s="2715"/>
      <c r="N5" s="2715"/>
      <c r="O5" s="2715"/>
      <c r="P5" s="3719"/>
      <c r="Q5" s="3720"/>
      <c r="R5" s="3725"/>
      <c r="S5" s="3726"/>
      <c r="T5" s="3725"/>
      <c r="U5" s="3726"/>
      <c r="V5" s="3729"/>
      <c r="W5" s="3729"/>
      <c r="X5" s="1354"/>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29"/>
      <c r="AC6" s="3712"/>
    </row>
    <row r="7" spans="1:29" s="108" customFormat="1" ht="15.75" thickBot="1">
      <c r="A7" s="362" t="s">
        <v>1679</v>
      </c>
      <c r="B7" s="363"/>
      <c r="C7" s="364">
        <f>'数据-取费表'!B2</f>
        <v>45163</v>
      </c>
      <c r="D7" s="365">
        <v>100</v>
      </c>
      <c r="E7" s="366">
        <f>C7</f>
        <v>45163</v>
      </c>
      <c r="F7" s="367">
        <f>SUMIF(58:58,YEAR(E7)&amp;"-"&amp;MONTH(E7),59:59)</f>
        <v>100</v>
      </c>
      <c r="G7" s="366">
        <f>C7</f>
        <v>45163</v>
      </c>
      <c r="H7" s="365">
        <f>SUMIF(58:58,YEAR(G7)&amp;"-"&amp;MONTH(G7),59:59)</f>
        <v>100</v>
      </c>
      <c r="I7" s="366">
        <f>C7</f>
        <v>45163</v>
      </c>
      <c r="J7" s="365">
        <f>SUMIF(58:58,YEAR(I7)&amp;"-"&amp;MONTH(I7),59:59)</f>
        <v>100</v>
      </c>
      <c r="K7" s="560"/>
      <c r="L7" s="2716"/>
      <c r="M7" s="2717"/>
      <c r="N7" s="2717"/>
      <c r="O7" s="2717"/>
      <c r="P7" s="3734" t="s">
        <v>1680</v>
      </c>
      <c r="Q7" s="3736"/>
      <c r="R7" s="700" t="s">
        <v>14</v>
      </c>
      <c r="S7" s="701">
        <f t="shared" ref="S7:S15" si="0">F7</f>
        <v>100</v>
      </c>
      <c r="T7" s="700" t="s">
        <v>14</v>
      </c>
      <c r="U7" s="701">
        <f t="shared" ref="U7:U15" si="1">H7</f>
        <v>100</v>
      </c>
      <c r="V7" s="700" t="s">
        <v>14</v>
      </c>
      <c r="W7" s="701">
        <f t="shared" ref="W7:W15" si="2">J7</f>
        <v>100</v>
      </c>
      <c r="X7" s="702"/>
      <c r="Y7" s="3734" t="s">
        <v>1680</v>
      </c>
      <c r="Z7" s="3735"/>
      <c r="AA7" s="703">
        <f>D7/F7</f>
        <v>1</v>
      </c>
      <c r="AB7" s="703">
        <f>D7/H7</f>
        <v>1</v>
      </c>
      <c r="AC7" s="703">
        <f>D7/J7</f>
        <v>1</v>
      </c>
    </row>
    <row r="8" spans="1:29" s="108" customFormat="1" ht="15.75" thickBot="1">
      <c r="A8" s="362" t="s">
        <v>1681</v>
      </c>
      <c r="B8" s="363"/>
      <c r="C8" s="368" t="s">
        <v>3451</v>
      </c>
      <c r="D8" s="365">
        <v>100</v>
      </c>
      <c r="E8" s="368" t="s">
        <v>3410</v>
      </c>
      <c r="F8" s="367">
        <f>SUMIF(61:61,E8,62:62)-SUMIF(61:61,C8,62:62)+100</f>
        <v>105</v>
      </c>
      <c r="G8" s="368" t="s">
        <v>3410</v>
      </c>
      <c r="H8" s="365">
        <f>SUMIF(61:61,G8,62:62)-SUMIF(61:61,C8,62:62)+100</f>
        <v>105</v>
      </c>
      <c r="I8" s="368" t="s">
        <v>3410</v>
      </c>
      <c r="J8" s="365">
        <f>SUMIF(61:61,I8,62:62)-SUMIF(61:61,C8,62:62)+100</f>
        <v>105</v>
      </c>
      <c r="K8" s="560"/>
      <c r="L8" s="2716"/>
      <c r="M8" s="2717"/>
      <c r="N8" s="2717"/>
      <c r="O8" s="2717"/>
      <c r="P8" s="3734" t="s">
        <v>1683</v>
      </c>
      <c r="Q8" s="3735"/>
      <c r="R8" s="700" t="s">
        <v>14</v>
      </c>
      <c r="S8" s="701">
        <f t="shared" si="0"/>
        <v>105</v>
      </c>
      <c r="T8" s="700" t="s">
        <v>14</v>
      </c>
      <c r="U8" s="701">
        <f t="shared" si="1"/>
        <v>105</v>
      </c>
      <c r="V8" s="700" t="s">
        <v>14</v>
      </c>
      <c r="W8" s="701">
        <f t="shared" si="2"/>
        <v>105</v>
      </c>
      <c r="X8" s="702"/>
      <c r="Y8" s="3734" t="s">
        <v>1683</v>
      </c>
      <c r="Z8" s="3735"/>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5" t="s">
        <v>3452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7" t="s">
        <v>1691</v>
      </c>
      <c r="Q15" s="1351" t="str">
        <f t="shared" si="6"/>
        <v>商业繁华度</v>
      </c>
      <c r="R15" s="704" t="s">
        <v>14</v>
      </c>
      <c r="S15" s="705">
        <f t="shared" si="0"/>
        <v>100</v>
      </c>
      <c r="T15" s="704" t="s">
        <v>14</v>
      </c>
      <c r="U15" s="705">
        <f t="shared" si="1"/>
        <v>100</v>
      </c>
      <c r="V15" s="704" t="s">
        <v>14</v>
      </c>
      <c r="W15" s="705">
        <f t="shared" si="2"/>
        <v>100</v>
      </c>
      <c r="X15" s="1354"/>
      <c r="Y15" s="370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8"/>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8"/>
      <c r="Q18" s="1351"/>
      <c r="R18" s="704"/>
      <c r="S18" s="705"/>
      <c r="T18" s="704"/>
      <c r="U18" s="705"/>
      <c r="V18" s="704"/>
      <c r="W18" s="705"/>
      <c r="X18" s="1354"/>
      <c r="Y18" s="370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8"/>
      <c r="Q20" s="1351"/>
      <c r="R20" s="704"/>
      <c r="S20" s="705"/>
      <c r="T20" s="704"/>
      <c r="U20" s="705"/>
      <c r="V20" s="704"/>
      <c r="W20" s="705"/>
      <c r="X20" s="1354"/>
      <c r="Y20" s="370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08"/>
      <c r="Q22" s="1351"/>
      <c r="R22" s="704"/>
      <c r="S22" s="705"/>
      <c r="T22" s="704"/>
      <c r="U22" s="705"/>
      <c r="V22" s="704"/>
      <c r="W22" s="705"/>
      <c r="X22" s="1354"/>
      <c r="Y22" s="370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8"/>
      <c r="Q23" s="1351" t="str">
        <f>B23</f>
        <v>自然及人文环境</v>
      </c>
      <c r="R23" s="704" t="s">
        <v>14</v>
      </c>
      <c r="S23" s="705">
        <f>F23</f>
        <v>100</v>
      </c>
      <c r="T23" s="704" t="s">
        <v>14</v>
      </c>
      <c r="U23" s="705">
        <f>H23</f>
        <v>100</v>
      </c>
      <c r="V23" s="704" t="s">
        <v>14</v>
      </c>
      <c r="W23" s="705">
        <f>J23</f>
        <v>100</v>
      </c>
      <c r="X23" s="1354"/>
      <c r="Y23" s="370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8"/>
      <c r="Q24" s="1351"/>
      <c r="R24" s="704"/>
      <c r="S24" s="705"/>
      <c r="T24" s="704"/>
      <c r="U24" s="705"/>
      <c r="V24" s="704"/>
      <c r="W24" s="705"/>
      <c r="X24" s="1354"/>
      <c r="Y24" s="3701"/>
      <c r="Z24" s="1355"/>
      <c r="AA24" s="1352">
        <v>1</v>
      </c>
      <c r="AB24" s="1352">
        <v>1</v>
      </c>
      <c r="AC24" s="1352">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c r="L25" s="2721"/>
      <c r="M25" s="2715"/>
      <c r="N25" s="2715"/>
      <c r="O25" s="2715"/>
      <c r="P25" s="3708"/>
      <c r="Q25" s="1351" t="str">
        <f t="shared" ref="Q25:Q46" si="11">B25</f>
        <v>临街状况</v>
      </c>
      <c r="R25" s="704" t="s">
        <v>14</v>
      </c>
      <c r="S25" s="705">
        <f>F25</f>
        <v>100</v>
      </c>
      <c r="T25" s="704" t="s">
        <v>14</v>
      </c>
      <c r="U25" s="705">
        <f>H25</f>
        <v>100</v>
      </c>
      <c r="V25" s="704" t="s">
        <v>14</v>
      </c>
      <c r="W25" s="705">
        <f>J25</f>
        <v>100</v>
      </c>
      <c r="X25" s="1354"/>
      <c r="Y25" s="3701"/>
      <c r="Z25" s="1355" t="str">
        <f>Q25</f>
        <v>临街状况</v>
      </c>
      <c r="AA25" s="1352">
        <f t="shared" si="3"/>
        <v>1</v>
      </c>
      <c r="AB25" s="1352">
        <f t="shared" si="4"/>
        <v>1</v>
      </c>
      <c r="AC25" s="1352">
        <f t="shared" si="5"/>
        <v>1</v>
      </c>
    </row>
    <row r="26" spans="1:29" ht="15">
      <c r="A26" s="379"/>
      <c r="B26" s="1132" t="s">
        <v>1781</v>
      </c>
      <c r="C26" s="3462" t="s">
        <v>3496</v>
      </c>
      <c r="D26" s="386">
        <v>100</v>
      </c>
      <c r="E26" s="3462" t="s">
        <v>3496</v>
      </c>
      <c r="F26" s="412">
        <f>SUMIF(88:88,E26,89:89)-SUMIF(88:88,C26,89:89)+100</f>
        <v>100</v>
      </c>
      <c r="G26" s="3462" t="s">
        <v>3496</v>
      </c>
      <c r="H26" s="386">
        <f>SUMIF(88:88,G26,89:89)-SUMIF(88:88,C26,89:89)+100</f>
        <v>100</v>
      </c>
      <c r="I26" s="3462" t="s">
        <v>3500</v>
      </c>
      <c r="J26" s="386">
        <f>SUMIF(88:88,I26,89:89)-SUMIF(88:88,C26,89:89)+100</f>
        <v>105</v>
      </c>
      <c r="K26" s="562"/>
      <c r="L26" s="2721"/>
      <c r="M26" s="2715"/>
      <c r="N26" s="2715"/>
      <c r="O26" s="2715"/>
      <c r="P26" s="3708"/>
      <c r="Q26" s="1351" t="str">
        <f t="shared" si="11"/>
        <v>平面位置/可视性</v>
      </c>
      <c r="R26" s="704" t="s">
        <v>14</v>
      </c>
      <c r="S26" s="705">
        <f>F26</f>
        <v>100</v>
      </c>
      <c r="T26" s="704" t="s">
        <v>14</v>
      </c>
      <c r="U26" s="705">
        <f>H26</f>
        <v>100</v>
      </c>
      <c r="V26" s="704" t="s">
        <v>14</v>
      </c>
      <c r="W26" s="705">
        <f>J26</f>
        <v>105</v>
      </c>
      <c r="X26" s="1354"/>
      <c r="Y26" s="3701"/>
      <c r="Z26" s="1355" t="str">
        <f>Q26</f>
        <v>平面位置/可视性</v>
      </c>
      <c r="AA26" s="1352">
        <f t="shared" si="3"/>
        <v>1</v>
      </c>
      <c r="AB26" s="1352">
        <f t="shared" si="4"/>
        <v>1</v>
      </c>
      <c r="AC26" s="1352">
        <f t="shared" si="5"/>
        <v>0.95238095238095233</v>
      </c>
    </row>
    <row r="27" spans="1:29" s="108" customFormat="1" ht="15">
      <c r="A27" s="382"/>
      <c r="B27" s="402" t="s">
        <v>1782</v>
      </c>
      <c r="C27" s="1955" t="s">
        <v>3427</v>
      </c>
      <c r="D27" s="413">
        <v>100</v>
      </c>
      <c r="E27" s="1955" t="s">
        <v>3422</v>
      </c>
      <c r="F27" s="415">
        <f>SUMIF(90:90,E27,91:91)-SUMIF(90:90,C27,91:91)+100</f>
        <v>105</v>
      </c>
      <c r="G27" s="1955" t="s">
        <v>3422</v>
      </c>
      <c r="H27" s="413">
        <f>SUMIF(90:90,G27,91:91)-SUMIF(90:90,C27,91:91)+100</f>
        <v>105</v>
      </c>
      <c r="I27" s="1955" t="s">
        <v>3422</v>
      </c>
      <c r="J27" s="413">
        <f>SUMIF(90:90,I27,91:91)-SUMIF(90:90,C27,91:91)+100</f>
        <v>105</v>
      </c>
      <c r="K27" s="561">
        <v>5</v>
      </c>
      <c r="L27" s="2716"/>
      <c r="M27" s="2717"/>
      <c r="N27" s="2717"/>
      <c r="O27" s="2717"/>
      <c r="P27" s="3708"/>
      <c r="Q27" s="1342" t="str">
        <f t="shared" si="11"/>
        <v>人流量</v>
      </c>
      <c r="R27" s="700" t="s">
        <v>14</v>
      </c>
      <c r="S27" s="701">
        <f>F27</f>
        <v>105</v>
      </c>
      <c r="T27" s="700" t="s">
        <v>14</v>
      </c>
      <c r="U27" s="701">
        <f>H27</f>
        <v>105</v>
      </c>
      <c r="V27" s="700" t="s">
        <v>14</v>
      </c>
      <c r="W27" s="701">
        <f>J27</f>
        <v>105</v>
      </c>
      <c r="X27" s="702"/>
      <c r="Y27" s="3701"/>
      <c r="Z27" s="52" t="str">
        <f>Q27</f>
        <v>人流量</v>
      </c>
      <c r="AA27" s="1352">
        <f>D27/F27</f>
        <v>0.95238095238095233</v>
      </c>
      <c r="AB27" s="1352">
        <f>D27/H27</f>
        <v>0.95238095238095233</v>
      </c>
      <c r="AC27" s="1352">
        <f>D27/J27</f>
        <v>0.95238095238095233</v>
      </c>
    </row>
    <row r="28" spans="1:29" ht="15">
      <c r="A28" s="379"/>
      <c r="B28" s="375" t="s">
        <v>1783</v>
      </c>
      <c r="C28" s="565" t="s">
        <v>3479</v>
      </c>
      <c r="D28" s="386">
        <v>100</v>
      </c>
      <c r="E28" s="565" t="s">
        <v>3479</v>
      </c>
      <c r="F28" s="412">
        <f>SUMIF(92:92,E28,93:93)-SUMIF(92:92,C28,93:93)+100</f>
        <v>100</v>
      </c>
      <c r="G28" s="565" t="s">
        <v>3479</v>
      </c>
      <c r="H28" s="386">
        <f>SUMIF(92:92,G28,93:93)-SUMIF(92:92,C28,93:93)+100</f>
        <v>100</v>
      </c>
      <c r="I28" s="565" t="s">
        <v>3489</v>
      </c>
      <c r="J28" s="386">
        <f>SUMIF(92:92,I28,93:93)-SUMIF(92:92,C28,93:93)+100</f>
        <v>88</v>
      </c>
      <c r="K28" s="562"/>
      <c r="L28" s="2721"/>
      <c r="M28" s="2715"/>
      <c r="N28" s="2715"/>
      <c r="O28" s="2715"/>
      <c r="P28" s="3708"/>
      <c r="Q28" s="1351" t="str">
        <f t="shared" si="11"/>
        <v>楼层</v>
      </c>
      <c r="R28" s="704" t="s">
        <v>14</v>
      </c>
      <c r="S28" s="705">
        <f t="shared" ref="S28:S46" si="12">F28</f>
        <v>100</v>
      </c>
      <c r="T28" s="704" t="s">
        <v>14</v>
      </c>
      <c r="U28" s="705">
        <f t="shared" ref="U28:U46" si="13">H28</f>
        <v>100</v>
      </c>
      <c r="V28" s="704" t="s">
        <v>14</v>
      </c>
      <c r="W28" s="705">
        <f t="shared" ref="W28:W46" si="14">J28</f>
        <v>88</v>
      </c>
      <c r="X28" s="1354"/>
      <c r="Y28" s="3701"/>
      <c r="Z28" s="1355" t="str">
        <f t="shared" ref="Z28:Z46" si="15">Q28</f>
        <v>楼层</v>
      </c>
      <c r="AA28" s="1352">
        <f t="shared" si="3"/>
        <v>1</v>
      </c>
      <c r="AB28" s="1352">
        <f t="shared" si="4"/>
        <v>1</v>
      </c>
      <c r="AC28" s="1352">
        <f t="shared" si="5"/>
        <v>1.1363636363636365</v>
      </c>
    </row>
    <row r="29" spans="1:29" ht="15">
      <c r="A29" s="379"/>
      <c r="B29" s="3463" t="s">
        <v>3504</v>
      </c>
      <c r="C29" s="3462" t="s">
        <v>3501</v>
      </c>
      <c r="D29" s="386">
        <v>100</v>
      </c>
      <c r="E29" s="3462" t="s">
        <v>3502</v>
      </c>
      <c r="F29" s="412">
        <f>SUMIF(94:94,E29,95:95)-SUMIF(94:94,C29,95:95)+100</f>
        <v>105</v>
      </c>
      <c r="G29" s="3462" t="s">
        <v>3502</v>
      </c>
      <c r="H29" s="386">
        <f>SUMIF(94:94,G29,95:95)-SUMIF(94:94,C29,95:95)+100</f>
        <v>105</v>
      </c>
      <c r="I29" s="3462" t="s">
        <v>3503</v>
      </c>
      <c r="J29" s="386">
        <f>SUMIF(94:94,I29,95:95)-SUMIF(94:94,C29,95:95)+100</f>
        <v>110</v>
      </c>
      <c r="K29" s="562"/>
      <c r="L29" s="2721"/>
      <c r="M29" s="2715"/>
      <c r="N29" s="2715"/>
      <c r="O29" s="2715"/>
      <c r="P29" s="3708"/>
      <c r="Q29" s="1351" t="str">
        <f t="shared" si="11"/>
        <v>临路状况</v>
      </c>
      <c r="R29" s="704" t="s">
        <v>14</v>
      </c>
      <c r="S29" s="705">
        <f t="shared" si="12"/>
        <v>105</v>
      </c>
      <c r="T29" s="704" t="s">
        <v>14</v>
      </c>
      <c r="U29" s="705">
        <f t="shared" si="13"/>
        <v>105</v>
      </c>
      <c r="V29" s="704" t="s">
        <v>14</v>
      </c>
      <c r="W29" s="705">
        <f t="shared" si="14"/>
        <v>110</v>
      </c>
      <c r="X29" s="1354"/>
      <c r="Y29" s="3701"/>
      <c r="Z29" s="1355" t="str">
        <f t="shared" si="15"/>
        <v>临路状况</v>
      </c>
      <c r="AA29" s="1352">
        <f t="shared" si="3"/>
        <v>0.95238095238095233</v>
      </c>
      <c r="AB29" s="1352">
        <f t="shared" si="4"/>
        <v>0.95238095238095233</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352">
        <f t="shared" si="5"/>
        <v>1</v>
      </c>
    </row>
    <row r="32" spans="1:29" ht="15">
      <c r="A32" s="391" t="s">
        <v>1694</v>
      </c>
      <c r="B32" s="63" t="s">
        <v>1784</v>
      </c>
      <c r="C32" s="1909" t="s">
        <v>3433</v>
      </c>
      <c r="D32" s="418">
        <v>100</v>
      </c>
      <c r="E32" s="1909" t="s">
        <v>3433</v>
      </c>
      <c r="F32" s="412">
        <f>SUMIF(100:100,E32,101:101)-SUMIF(100:100,C32,101:101)+100</f>
        <v>100</v>
      </c>
      <c r="G32" s="1909" t="s">
        <v>3433</v>
      </c>
      <c r="H32" s="386">
        <f>SUMIF(100:100,G32,101:101)-SUMIF(100:100,C32,101:101)+100</f>
        <v>100</v>
      </c>
      <c r="I32" s="1909" t="s">
        <v>3433</v>
      </c>
      <c r="J32" s="418">
        <f>SUMIF(100:100,I32,101:101)-SUMIF(100:100,C32,101:101)+100</f>
        <v>100</v>
      </c>
      <c r="K32" s="561">
        <v>5</v>
      </c>
      <c r="L32" s="2721"/>
      <c r="M32" s="2715"/>
      <c r="N32" s="2715"/>
      <c r="O32" s="2715"/>
      <c r="P32" s="3702" t="s">
        <v>1696</v>
      </c>
      <c r="Q32" s="1351" t="str">
        <f t="shared" si="11"/>
        <v>商业类型</v>
      </c>
      <c r="R32" s="704" t="s">
        <v>14</v>
      </c>
      <c r="S32" s="705">
        <f t="shared" si="12"/>
        <v>100</v>
      </c>
      <c r="T32" s="704" t="s">
        <v>14</v>
      </c>
      <c r="U32" s="705">
        <f t="shared" si="13"/>
        <v>100</v>
      </c>
      <c r="V32" s="704" t="s">
        <v>14</v>
      </c>
      <c r="W32" s="705">
        <f t="shared" si="14"/>
        <v>100</v>
      </c>
      <c r="X32" s="1354"/>
      <c r="Y32" s="3705" t="s">
        <v>1696</v>
      </c>
      <c r="Z32" s="1355" t="str">
        <f t="shared" si="15"/>
        <v>商业类型</v>
      </c>
      <c r="AA32" s="1352">
        <f t="shared" si="3"/>
        <v>1</v>
      </c>
      <c r="AB32" s="1352">
        <f t="shared" si="4"/>
        <v>1</v>
      </c>
      <c r="AC32" s="1352">
        <f t="shared" si="5"/>
        <v>1</v>
      </c>
    </row>
    <row r="33" spans="1:29" s="422" customFormat="1" ht="15">
      <c r="A33" s="419"/>
      <c r="B33" s="375" t="s">
        <v>1697</v>
      </c>
      <c r="C33" s="420">
        <f>'数据-汇总表'!E3</f>
        <v>1056.2</v>
      </c>
      <c r="D33" s="127">
        <v>100</v>
      </c>
      <c r="E33" s="420">
        <v>147.16</v>
      </c>
      <c r="F33" s="376">
        <f>LOOKUP(E33,103:103,104:104)-LOOKUP(C33,103:103,104:104)+100</f>
        <v>106</v>
      </c>
      <c r="G33" s="420">
        <v>111.46</v>
      </c>
      <c r="H33" s="127">
        <f>LOOKUP(G33,103:103,104:104)-LOOKUP(C33,103:103,104:104)+100</f>
        <v>106</v>
      </c>
      <c r="I33" s="420">
        <v>219</v>
      </c>
      <c r="J33" s="127">
        <f>LOOKUP(I33,103:103,104:104)-LOOKUP(C33,103:103,104:104)+100</f>
        <v>106</v>
      </c>
      <c r="K33" s="562"/>
      <c r="L33" s="2720"/>
      <c r="M33" s="2722"/>
      <c r="N33" s="2722"/>
      <c r="O33" s="2722"/>
      <c r="P33" s="3703"/>
      <c r="Q33" s="706" t="str">
        <f t="shared" si="11"/>
        <v>项目建筑规模</v>
      </c>
      <c r="R33" s="707" t="s">
        <v>14</v>
      </c>
      <c r="S33" s="708">
        <f t="shared" si="12"/>
        <v>106</v>
      </c>
      <c r="T33" s="707" t="s">
        <v>14</v>
      </c>
      <c r="U33" s="708">
        <f t="shared" si="13"/>
        <v>106</v>
      </c>
      <c r="V33" s="707" t="s">
        <v>14</v>
      </c>
      <c r="W33" s="708">
        <f t="shared" si="14"/>
        <v>106</v>
      </c>
      <c r="X33" s="709"/>
      <c r="Y33" s="3705"/>
      <c r="Z33" s="710" t="str">
        <f t="shared" si="15"/>
        <v>项目建筑规模</v>
      </c>
      <c r="AA33" s="1352">
        <f t="shared" si="3"/>
        <v>0.94339622641509435</v>
      </c>
      <c r="AB33" s="1352">
        <f t="shared" si="4"/>
        <v>0.94339622641509435</v>
      </c>
      <c r="AC33" s="1352">
        <f t="shared" si="5"/>
        <v>0.94339622641509435</v>
      </c>
    </row>
    <row r="34" spans="1:29" ht="15">
      <c r="A34" s="423"/>
      <c r="B34" s="375" t="s">
        <v>1698</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561">
        <v>1</v>
      </c>
      <c r="L34" s="2721"/>
      <c r="M34" s="2715"/>
      <c r="N34" s="2715"/>
      <c r="O34" s="2715"/>
      <c r="P34" s="3703"/>
      <c r="Q34" s="1351" t="str">
        <f t="shared" si="11"/>
        <v>建筑结构</v>
      </c>
      <c r="R34" s="704" t="s">
        <v>14</v>
      </c>
      <c r="S34" s="705">
        <f t="shared" si="12"/>
        <v>100</v>
      </c>
      <c r="T34" s="704" t="s">
        <v>14</v>
      </c>
      <c r="U34" s="705">
        <f t="shared" si="13"/>
        <v>100</v>
      </c>
      <c r="V34" s="704" t="s">
        <v>14</v>
      </c>
      <c r="W34" s="705">
        <f t="shared" si="14"/>
        <v>100</v>
      </c>
      <c r="X34" s="1354"/>
      <c r="Y34" s="3705"/>
      <c r="Z34" s="1355" t="str">
        <f t="shared" si="15"/>
        <v>建筑结构</v>
      </c>
      <c r="AA34" s="1352">
        <f t="shared" si="3"/>
        <v>1</v>
      </c>
      <c r="AB34" s="1352">
        <f t="shared" si="4"/>
        <v>1</v>
      </c>
      <c r="AC34" s="1352">
        <f t="shared" si="5"/>
        <v>1</v>
      </c>
    </row>
    <row r="35" spans="1:29" ht="15">
      <c r="A35" s="423"/>
      <c r="B35" s="375" t="s">
        <v>1785</v>
      </c>
      <c r="C35" s="1905" t="s">
        <v>3436</v>
      </c>
      <c r="D35" s="386">
        <v>100</v>
      </c>
      <c r="E35" s="1905" t="s">
        <v>3436</v>
      </c>
      <c r="F35" s="412">
        <f>SUMIF(107:107,E35,108:108)-SUMIF(107:107,C35,108:108)+100</f>
        <v>100</v>
      </c>
      <c r="G35" s="1905" t="s">
        <v>3436</v>
      </c>
      <c r="H35" s="386">
        <f>SUMIF(107:107,G35,108:108)-SUMIF(107:107,C35,108:108)+100</f>
        <v>100</v>
      </c>
      <c r="I35" s="1905" t="s">
        <v>3436</v>
      </c>
      <c r="J35" s="386">
        <f>SUMIF(107:107,I35,108:108)-SUMIF(107:107,C35,108:108)+100</f>
        <v>100</v>
      </c>
      <c r="K35" s="561">
        <v>2</v>
      </c>
      <c r="L35" s="2721"/>
      <c r="M35" s="2715"/>
      <c r="N35" s="2715"/>
      <c r="O35" s="2715"/>
      <c r="P35" s="3703"/>
      <c r="Q35" s="1351" t="str">
        <f t="shared" si="11"/>
        <v>公共部分装修</v>
      </c>
      <c r="R35" s="704" t="s">
        <v>14</v>
      </c>
      <c r="S35" s="705">
        <f t="shared" si="12"/>
        <v>100</v>
      </c>
      <c r="T35" s="704" t="s">
        <v>14</v>
      </c>
      <c r="U35" s="705">
        <f t="shared" si="13"/>
        <v>100</v>
      </c>
      <c r="V35" s="704" t="s">
        <v>14</v>
      </c>
      <c r="W35" s="705">
        <f t="shared" si="14"/>
        <v>100</v>
      </c>
      <c r="X35" s="1354"/>
      <c r="Y35" s="3705"/>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v>0.72</v>
      </c>
      <c r="F36" s="412">
        <f>LOOKUP(E36,110:110,111:111)-LOOKUP(C36,110:110,111:111)+100</f>
        <v>100</v>
      </c>
      <c r="G36" s="425">
        <v>0.72</v>
      </c>
      <c r="H36" s="412">
        <f>LOOKUP(G36,110:110,111:111)-LOOKUP(C36,110:110,111:111)+100</f>
        <v>100</v>
      </c>
      <c r="I36" s="425">
        <v>0.72</v>
      </c>
      <c r="J36" s="386">
        <f>LOOKUP(I36,110:110,111:111)-LOOKUP(C36,110:110,111:111)+100</f>
        <v>100</v>
      </c>
      <c r="K36" s="561">
        <v>1</v>
      </c>
      <c r="L36" s="2721"/>
      <c r="M36" s="2715"/>
      <c r="N36" s="2715"/>
      <c r="O36" s="2715"/>
      <c r="P36" s="3703"/>
      <c r="Q36" s="1351" t="str">
        <f t="shared" si="11"/>
        <v>成新度</v>
      </c>
      <c r="R36" s="704" t="s">
        <v>14</v>
      </c>
      <c r="S36" s="705">
        <f t="shared" si="12"/>
        <v>100</v>
      </c>
      <c r="T36" s="704" t="s">
        <v>14</v>
      </c>
      <c r="U36" s="705">
        <f t="shared" si="13"/>
        <v>100</v>
      </c>
      <c r="V36" s="704" t="s">
        <v>14</v>
      </c>
      <c r="W36" s="705">
        <f t="shared" si="14"/>
        <v>100</v>
      </c>
      <c r="X36" s="1354"/>
      <c r="Y36" s="3705"/>
      <c r="Z36" s="1355" t="str">
        <f t="shared" si="15"/>
        <v>成新度</v>
      </c>
      <c r="AA36" s="1352">
        <f t="shared" si="3"/>
        <v>1</v>
      </c>
      <c r="AB36" s="1352">
        <f t="shared" si="4"/>
        <v>1</v>
      </c>
      <c r="AC36" s="1352">
        <f t="shared" si="5"/>
        <v>1</v>
      </c>
    </row>
    <row r="37" spans="1:29" s="108" customFormat="1" ht="15">
      <c r="A37" s="424"/>
      <c r="B37" s="375" t="s">
        <v>1787</v>
      </c>
      <c r="C37" s="1905" t="s">
        <v>3445</v>
      </c>
      <c r="D37" s="127">
        <v>100</v>
      </c>
      <c r="E37" s="1905" t="s">
        <v>3445</v>
      </c>
      <c r="F37" s="412">
        <f>SUMIF(112:112,E37,113:113)-SUMIF(112:112,C37,113:113)+100</f>
        <v>100</v>
      </c>
      <c r="G37" s="1905" t="s">
        <v>3445</v>
      </c>
      <c r="H37" s="386">
        <f>SUMIF(112:112,G37,113:113)-SUMIF(112:112,C37,113:113)+100</f>
        <v>100</v>
      </c>
      <c r="I37" s="1905" t="s">
        <v>3445</v>
      </c>
      <c r="J37" s="386">
        <f>SUMIF(112:112,I37,113:113)-SUMIF(112:112,C37,113:113)+100</f>
        <v>100</v>
      </c>
      <c r="K37" s="561">
        <v>3</v>
      </c>
      <c r="L37" s="2716"/>
      <c r="M37" s="2717"/>
      <c r="N37" s="2717"/>
      <c r="O37" s="2717"/>
      <c r="P37" s="3703"/>
      <c r="Q37" s="1342" t="str">
        <f t="shared" si="11"/>
        <v>市政基础设施</v>
      </c>
      <c r="R37" s="700" t="s">
        <v>14</v>
      </c>
      <c r="S37" s="701">
        <f t="shared" si="12"/>
        <v>100</v>
      </c>
      <c r="T37" s="700" t="s">
        <v>14</v>
      </c>
      <c r="U37" s="701">
        <f t="shared" si="13"/>
        <v>100</v>
      </c>
      <c r="V37" s="700" t="s">
        <v>14</v>
      </c>
      <c r="W37" s="701">
        <f t="shared" si="14"/>
        <v>100</v>
      </c>
      <c r="X37" s="702"/>
      <c r="Y37" s="3705"/>
      <c r="Z37" s="52" t="str">
        <f t="shared" si="15"/>
        <v>市政基础设施</v>
      </c>
      <c r="AA37" s="703">
        <f t="shared" si="3"/>
        <v>1</v>
      </c>
      <c r="AB37" s="703">
        <f t="shared" si="4"/>
        <v>1</v>
      </c>
      <c r="AC37" s="703">
        <f t="shared" si="5"/>
        <v>1</v>
      </c>
    </row>
    <row r="38" spans="1:29" ht="15" hidden="1">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3" t="s">
        <v>1696</v>
      </c>
      <c r="Q38" s="1351" t="str">
        <f t="shared" si="11"/>
        <v>业态</v>
      </c>
      <c r="R38" s="704" t="s">
        <v>14</v>
      </c>
      <c r="S38" s="705">
        <f t="shared" si="12"/>
        <v>100</v>
      </c>
      <c r="T38" s="704" t="s">
        <v>14</v>
      </c>
      <c r="U38" s="705">
        <f t="shared" si="13"/>
        <v>100</v>
      </c>
      <c r="V38" s="704" t="s">
        <v>14</v>
      </c>
      <c r="W38" s="705">
        <f t="shared" si="14"/>
        <v>100</v>
      </c>
      <c r="X38" s="1354"/>
      <c r="Y38" s="3705" t="s">
        <v>1696</v>
      </c>
      <c r="Z38" s="1355" t="str">
        <f t="shared" si="15"/>
        <v>业态</v>
      </c>
      <c r="AA38" s="1352">
        <f t="shared" si="3"/>
        <v>1</v>
      </c>
      <c r="AB38" s="1352">
        <f t="shared" si="4"/>
        <v>1</v>
      </c>
      <c r="AC38" s="1352">
        <f t="shared" si="5"/>
        <v>1</v>
      </c>
    </row>
    <row r="39" spans="1:29" ht="15">
      <c r="A39" s="423"/>
      <c r="B39" s="375" t="s">
        <v>1789</v>
      </c>
      <c r="C39" s="1905" t="s">
        <v>3449</v>
      </c>
      <c r="D39" s="386">
        <v>100</v>
      </c>
      <c r="E39" s="1905" t="s">
        <v>3449</v>
      </c>
      <c r="F39" s="412">
        <f>SUMIF(116:116,E39,117:117)-SUMIF(116:116,C39,117:117)+100</f>
        <v>100</v>
      </c>
      <c r="G39" s="1905" t="s">
        <v>3449</v>
      </c>
      <c r="H39" s="386">
        <f>SUMIF(116:116,G39,117:117)-SUMIF(116:116,C39,117:117)+100</f>
        <v>100</v>
      </c>
      <c r="I39" s="1905" t="s">
        <v>3449</v>
      </c>
      <c r="J39" s="386">
        <f>SUMIF(116:116,I39,117:117)-SUMIF(116:116,C39,117:117)+100</f>
        <v>100</v>
      </c>
      <c r="K39" s="561">
        <v>1</v>
      </c>
      <c r="L39" s="2721"/>
      <c r="M39" s="2715"/>
      <c r="N39" s="2715"/>
      <c r="O39" s="2715"/>
      <c r="P39" s="3703"/>
      <c r="Q39" s="1351" t="str">
        <f t="shared" si="11"/>
        <v>层高</v>
      </c>
      <c r="R39" s="704" t="s">
        <v>14</v>
      </c>
      <c r="S39" s="705">
        <f t="shared" si="12"/>
        <v>100</v>
      </c>
      <c r="T39" s="704" t="s">
        <v>14</v>
      </c>
      <c r="U39" s="705">
        <f t="shared" si="13"/>
        <v>100</v>
      </c>
      <c r="V39" s="704" t="s">
        <v>14</v>
      </c>
      <c r="W39" s="705">
        <f t="shared" si="14"/>
        <v>100</v>
      </c>
      <c r="X39" s="1354"/>
      <c r="Y39" s="3705"/>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3"/>
      <c r="Q40" s="1351" t="str">
        <f t="shared" si="11"/>
        <v>单套建筑面积</v>
      </c>
      <c r="R40" s="704" t="s">
        <v>14</v>
      </c>
      <c r="S40" s="705">
        <f t="shared" si="12"/>
        <v>100</v>
      </c>
      <c r="T40" s="704" t="s">
        <v>14</v>
      </c>
      <c r="U40" s="705">
        <f t="shared" si="13"/>
        <v>100</v>
      </c>
      <c r="V40" s="704" t="s">
        <v>14</v>
      </c>
      <c r="W40" s="705">
        <f t="shared" si="14"/>
        <v>100</v>
      </c>
      <c r="X40" s="1354"/>
      <c r="Y40" s="3705"/>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6" t="str">
        <f t="shared" si="11"/>
        <v>进深比</v>
      </c>
      <c r="R41" s="707" t="s">
        <v>14</v>
      </c>
      <c r="S41" s="708">
        <f t="shared" si="12"/>
        <v>100</v>
      </c>
      <c r="T41" s="707" t="s">
        <v>14</v>
      </c>
      <c r="U41" s="708">
        <f t="shared" si="13"/>
        <v>100</v>
      </c>
      <c r="V41" s="707" t="s">
        <v>14</v>
      </c>
      <c r="W41" s="708">
        <f t="shared" si="14"/>
        <v>100</v>
      </c>
      <c r="X41" s="709"/>
      <c r="Y41" s="3705"/>
      <c r="Z41" s="710" t="str">
        <f t="shared" si="15"/>
        <v>进深比</v>
      </c>
      <c r="AA41" s="1352">
        <f t="shared" si="3"/>
        <v>1</v>
      </c>
      <c r="AB41" s="1352">
        <f t="shared" si="4"/>
        <v>1</v>
      </c>
      <c r="AC41" s="1352">
        <f t="shared" si="5"/>
        <v>1</v>
      </c>
    </row>
    <row r="42" spans="1:29" ht="15">
      <c r="A42" s="423"/>
      <c r="B42" s="375" t="s">
        <v>1792</v>
      </c>
      <c r="C42" s="1905" t="s">
        <v>3440</v>
      </c>
      <c r="D42" s="386">
        <v>100</v>
      </c>
      <c r="E42" s="1905" t="s">
        <v>3438</v>
      </c>
      <c r="F42" s="412">
        <f>SUMIF(122:122,E42,123:123)-SUMIF(122:122,C42,123:123)+100</f>
        <v>102</v>
      </c>
      <c r="G42" s="1905" t="s">
        <v>3436</v>
      </c>
      <c r="H42" s="386">
        <f>SUMIF(122:122,G42,123:123)-SUMIF(122:122,C42,123:123)+100</f>
        <v>104</v>
      </c>
      <c r="I42" s="1905" t="s">
        <v>3438</v>
      </c>
      <c r="J42" s="386">
        <f>SUMIF(122:122,I42,123:123)-SUMIF(122:122,C42,123:123)+100</f>
        <v>102</v>
      </c>
      <c r="K42" s="561">
        <v>2</v>
      </c>
      <c r="L42" s="2721"/>
      <c r="M42" s="2715"/>
      <c r="N42" s="2715"/>
      <c r="O42" s="2715"/>
      <c r="P42" s="3703"/>
      <c r="Q42" s="1351" t="str">
        <f t="shared" si="11"/>
        <v>内部装修</v>
      </c>
      <c r="R42" s="704" t="s">
        <v>14</v>
      </c>
      <c r="S42" s="705">
        <f t="shared" si="12"/>
        <v>102</v>
      </c>
      <c r="T42" s="704" t="s">
        <v>14</v>
      </c>
      <c r="U42" s="705">
        <f t="shared" si="13"/>
        <v>104</v>
      </c>
      <c r="V42" s="704" t="s">
        <v>14</v>
      </c>
      <c r="W42" s="705">
        <f t="shared" si="14"/>
        <v>102</v>
      </c>
      <c r="X42" s="1354"/>
      <c r="Y42" s="3705"/>
      <c r="Z42" s="1355" t="str">
        <f t="shared" si="15"/>
        <v>内部装修</v>
      </c>
      <c r="AA42" s="1352">
        <f t="shared" si="3"/>
        <v>0.98039215686274506</v>
      </c>
      <c r="AB42" s="1352">
        <f t="shared" si="4"/>
        <v>0.96153846153846156</v>
      </c>
      <c r="AC42" s="1352">
        <f t="shared" si="5"/>
        <v>0.98039215686274506</v>
      </c>
    </row>
    <row r="43" spans="1:29" ht="15">
      <c r="A43" s="423"/>
      <c r="B43" s="375" t="s">
        <v>1707</v>
      </c>
      <c r="C43" s="1905" t="s">
        <v>3421</v>
      </c>
      <c r="D43" s="386">
        <v>100</v>
      </c>
      <c r="E43" s="1905" t="s">
        <v>3421</v>
      </c>
      <c r="F43" s="412">
        <f>SUMIF(124:124,E43,125:125)-SUMIF(124:124,C43,125:125)+100</f>
        <v>100</v>
      </c>
      <c r="G43" s="1905" t="s">
        <v>3421</v>
      </c>
      <c r="H43" s="386">
        <f>SUMIF(124:124,G43,125:125)-SUMIF(124:124,C43,125:125)+100</f>
        <v>100</v>
      </c>
      <c r="I43" s="1905" t="s">
        <v>3421</v>
      </c>
      <c r="J43" s="386">
        <f>SUMIF(124:124,I43,125:125)-SUMIF(124:124,C43,125:125)+100</f>
        <v>100</v>
      </c>
      <c r="K43" s="561">
        <v>1</v>
      </c>
      <c r="L43" s="2721"/>
      <c r="M43" s="2715"/>
      <c r="N43" s="2715"/>
      <c r="O43" s="2715"/>
      <c r="P43" s="3703"/>
      <c r="Q43" s="1351" t="str">
        <f t="shared" si="11"/>
        <v>内部装修维护情况</v>
      </c>
      <c r="R43" s="704" t="s">
        <v>14</v>
      </c>
      <c r="S43" s="705">
        <f t="shared" si="12"/>
        <v>100</v>
      </c>
      <c r="T43" s="704" t="s">
        <v>14</v>
      </c>
      <c r="U43" s="705">
        <f t="shared" si="13"/>
        <v>100</v>
      </c>
      <c r="V43" s="704" t="s">
        <v>14</v>
      </c>
      <c r="W43" s="705">
        <f t="shared" si="14"/>
        <v>100</v>
      </c>
      <c r="X43" s="1354"/>
      <c r="Y43" s="3705"/>
      <c r="Z43" s="1355" t="str">
        <f t="shared" si="15"/>
        <v>内部装修维护情况</v>
      </c>
      <c r="AA43" s="1352">
        <f t="shared" si="3"/>
        <v>1</v>
      </c>
      <c r="AB43" s="1352">
        <f t="shared" si="4"/>
        <v>1</v>
      </c>
      <c r="AC43" s="1352">
        <f t="shared" si="5"/>
        <v>1</v>
      </c>
    </row>
    <row r="44" spans="1:29" s="108" customFormat="1" ht="15">
      <c r="A44" s="424"/>
      <c r="B44" s="1132">
        <v>111</v>
      </c>
      <c r="C44" s="420">
        <v>2005</v>
      </c>
      <c r="D44" s="127">
        <v>100</v>
      </c>
      <c r="E44" s="385">
        <v>2006</v>
      </c>
      <c r="F44" s="376">
        <f>SUMIF(126:126,E44,127:127)-SUMIF(126:126,C44,127:127)+100</f>
        <v>100</v>
      </c>
      <c r="G44" s="385">
        <v>2006</v>
      </c>
      <c r="H44" s="127">
        <f>SUMIF(126:126,G44,127:127)-SUMIF(126:126,C44,127:127)+100</f>
        <v>100</v>
      </c>
      <c r="I44" s="385">
        <v>2006</v>
      </c>
      <c r="J44" s="127">
        <f>SUMIF(126:126,I44,127:127)-SUMIF(126:126,C44,127:127)+100</f>
        <v>100</v>
      </c>
      <c r="K44" s="562"/>
      <c r="L44" s="2716"/>
      <c r="M44" s="2717"/>
      <c r="N44" s="2717"/>
      <c r="O44" s="2717"/>
      <c r="P44" s="3703"/>
      <c r="Q44" s="1342">
        <f t="shared" si="11"/>
        <v>111</v>
      </c>
      <c r="R44" s="700" t="s">
        <v>14</v>
      </c>
      <c r="S44" s="701">
        <f t="shared" si="12"/>
        <v>100</v>
      </c>
      <c r="T44" s="700" t="s">
        <v>14</v>
      </c>
      <c r="U44" s="701">
        <f t="shared" si="13"/>
        <v>100</v>
      </c>
      <c r="V44" s="700" t="s">
        <v>14</v>
      </c>
      <c r="W44" s="701">
        <f t="shared" si="14"/>
        <v>100</v>
      </c>
      <c r="X44" s="702"/>
      <c r="Y44" s="370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1">
        <f t="shared" si="11"/>
        <v>111</v>
      </c>
      <c r="R45" s="704" t="s">
        <v>14</v>
      </c>
      <c r="S45" s="705">
        <f t="shared" si="12"/>
        <v>100</v>
      </c>
      <c r="T45" s="704" t="s">
        <v>14</v>
      </c>
      <c r="U45" s="705">
        <f t="shared" si="13"/>
        <v>100</v>
      </c>
      <c r="V45" s="704" t="s">
        <v>14</v>
      </c>
      <c r="W45" s="705">
        <f t="shared" si="14"/>
        <v>100</v>
      </c>
      <c r="X45" s="1354"/>
      <c r="Y45" s="370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352">
        <f t="shared" si="5"/>
        <v>1</v>
      </c>
    </row>
    <row r="47" spans="1:29" ht="15">
      <c r="A47" s="430" t="s">
        <v>1708</v>
      </c>
      <c r="B47" s="431"/>
      <c r="C47" s="1153" t="s">
        <v>0</v>
      </c>
      <c r="D47" s="1154"/>
      <c r="E47" s="1155">
        <v>95135</v>
      </c>
      <c r="F47" s="1156"/>
      <c r="G47" s="1157">
        <v>115736</v>
      </c>
      <c r="H47" s="1158"/>
      <c r="I47" s="1155">
        <v>123287</v>
      </c>
      <c r="J47" s="1158"/>
      <c r="K47" s="713"/>
      <c r="L47" s="2723"/>
      <c r="M47" s="2724"/>
      <c r="N47" s="2715"/>
      <c r="O47" s="2724"/>
      <c r="P47" s="3698" t="str">
        <f>A47</f>
        <v>成交单价（元/平方米）</v>
      </c>
      <c r="Q47" s="3698"/>
      <c r="R47" s="3729">
        <f>E47</f>
        <v>95135</v>
      </c>
      <c r="S47" s="3729"/>
      <c r="T47" s="3729">
        <f>G47</f>
        <v>115736</v>
      </c>
      <c r="U47" s="3729"/>
      <c r="V47" s="3729">
        <f>I47</f>
        <v>123287</v>
      </c>
      <c r="W47" s="3729"/>
      <c r="X47" s="689"/>
      <c r="Y47" s="711"/>
      <c r="Z47" s="689"/>
      <c r="AA47" s="689"/>
      <c r="AB47" s="689"/>
      <c r="AC47" s="689"/>
    </row>
    <row r="48" spans="1:29" ht="15.75" thickBot="1">
      <c r="A48" s="437" t="s">
        <v>1793</v>
      </c>
      <c r="B48" s="438"/>
      <c r="C48" s="1159">
        <f>R49</f>
        <v>89486</v>
      </c>
      <c r="D48" s="2316" t="s">
        <v>2138</v>
      </c>
      <c r="E48" s="1160">
        <f>R48</f>
        <v>76009</v>
      </c>
      <c r="F48" s="2317"/>
      <c r="G48" s="1159">
        <f>T48</f>
        <v>90690</v>
      </c>
      <c r="H48" s="2317"/>
      <c r="I48" s="1160">
        <f>V48</f>
        <v>101758</v>
      </c>
      <c r="J48" s="2317"/>
      <c r="K48" s="2319">
        <f>F48+H48+J48</f>
        <v>0</v>
      </c>
      <c r="L48" s="2723"/>
      <c r="M48" s="2724"/>
      <c r="N48" s="2715"/>
      <c r="O48" s="2724"/>
      <c r="P48" s="3698" t="str">
        <f>A48</f>
        <v>比较价值（元/平方米）</v>
      </c>
      <c r="Q48" s="3698"/>
      <c r="R48" s="3699">
        <f>IF(F1="售价",ROUND(PRODUCT(R47,AA7:AA46),0),ROUND(PRODUCT(R47,AA7:AA46),1))</f>
        <v>76009</v>
      </c>
      <c r="S48" s="3699"/>
      <c r="T48" s="3699">
        <f>IF(F1="售价",ROUND(PRODUCT(T47,AB7:AB46),0),ROUND(PRODUCT(T47,AB7:AB46),1))</f>
        <v>90690</v>
      </c>
      <c r="U48" s="3699"/>
      <c r="V48" s="3699">
        <f>IF(F1="售价",ROUND(PRODUCT(V47,AC7:AC46),0),ROUND(PRODUCT(V47,AC7:AC46),1))</f>
        <v>101758</v>
      </c>
      <c r="W48" s="3699"/>
      <c r="X48" s="689"/>
      <c r="Y48" s="689"/>
      <c r="Z48" s="689"/>
      <c r="AA48" s="689"/>
      <c r="AB48" s="689"/>
      <c r="AC48" s="689"/>
    </row>
    <row r="49" spans="1:29" ht="15.75" thickBot="1">
      <c r="A49" s="441" t="s">
        <v>1794</v>
      </c>
      <c r="B49" s="442"/>
      <c r="C49" s="1162">
        <f>R49</f>
        <v>89486</v>
      </c>
      <c r="D49" s="1162"/>
      <c r="E49" s="1162"/>
      <c r="F49" s="1162"/>
      <c r="G49" s="1162"/>
      <c r="H49" s="1162"/>
      <c r="I49" s="1162"/>
      <c r="J49" s="1162"/>
      <c r="K49" s="714"/>
      <c r="L49" s="2723"/>
      <c r="M49" s="2724"/>
      <c r="N49" s="2715"/>
      <c r="O49" s="2724"/>
      <c r="P49" s="3695" t="str">
        <f>A49</f>
        <v>估价对象XX用房的比较价值（楼面单价，元/平方米）</v>
      </c>
      <c r="Q49" s="3696"/>
      <c r="R49" s="3697">
        <f>IF(F1="售价",ROUND(IF(D48="简单平均",AVERAGE(R48:V48),R48*F48+T48*H48+V48*J48),0),ROUND(IF(D48="简单平均",AVERAGE(R48:V48),R48*F48+T48*H48+V48*J48),1))</f>
        <v>89486</v>
      </c>
      <c r="S49" s="3697"/>
      <c r="T49" s="3697"/>
      <c r="U49" s="3697"/>
      <c r="V49" s="3697"/>
      <c r="W49" s="369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0.25162809667276242</v>
      </c>
      <c r="F52" s="449" t="str">
        <f>IF(OR(E52&gt;=0.3,E52&lt;=-0.3),"超过30%","")</f>
        <v/>
      </c>
      <c r="G52" s="448">
        <f>IF(G47&lt;G48,G48/G47-1,G47/G48-1)</f>
        <v>0.27617157349211596</v>
      </c>
      <c r="H52" s="449" t="str">
        <f>IF(OR(G52&gt;=0.3,G52&lt;=-0.3),"超过30%","")</f>
        <v/>
      </c>
      <c r="I52" s="448">
        <f>IF(I47&lt;I48,I48/I47-1,I47/I48-1)</f>
        <v>0.21157058904459602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0.19314817982081078</v>
      </c>
      <c r="F53" s="449" t="str">
        <f>IF(OR(E53&gt;=0.2,E53&lt;=-0.2),"超过20%","")</f>
        <v/>
      </c>
      <c r="G53" s="448">
        <f>IF(G48&lt;I48,I48/G48-1,G48/I48-1)</f>
        <v>0.12204212151284599</v>
      </c>
      <c r="H53" s="449" t="str">
        <f>IF(OR(G53&gt;=0.2,G53&lt;=-0.2),"超过20%","")</f>
        <v/>
      </c>
      <c r="I53" s="448">
        <f>IF(I48&lt;E48,E48/I48-1,I48/E48-1)</f>
        <v>0.33876251496533305</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0.2165449098649288</v>
      </c>
      <c r="F54" s="449" t="str">
        <f>IF(OR(E54&gt;=0.3,E54&lt;=-0.3),"超过30%","")</f>
        <v/>
      </c>
      <c r="G54" s="448">
        <f>IF(G47&lt;I47,I47/G47-1,G47/I47-1)</f>
        <v>6.5243312366074502E-2</v>
      </c>
      <c r="H54" s="449" t="str">
        <f>IF(OR(G54&gt;=0.3,G54&lt;=-0.3),"超过30%","")</f>
        <v/>
      </c>
      <c r="I54" s="448">
        <f>IF(I47&lt;E47,E47/I47-1,I47/E47-1)</f>
        <v>0.29591632942660429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99</v>
      </c>
      <c r="E59" s="461">
        <v>98</v>
      </c>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v>1</v>
      </c>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49" t="s">
        <v>3411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3412</v>
      </c>
      <c r="D65" s="532" t="s">
        <v>3413</v>
      </c>
      <c r="E65" s="532" t="s">
        <v>3414</v>
      </c>
      <c r="F65" s="532" t="s">
        <v>3415</v>
      </c>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C66-2</f>
        <v>98</v>
      </c>
      <c r="E66" s="485">
        <f>D66-2</f>
        <v>96</v>
      </c>
      <c r="F66" s="485">
        <f>E66-2</f>
        <v>94</v>
      </c>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3416</v>
      </c>
      <c r="D86" s="3450" t="s">
        <v>3417</v>
      </c>
      <c r="E86" s="3450" t="s">
        <v>3418</v>
      </c>
      <c r="F86" s="3450" t="s">
        <v>3419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0" t="s">
        <v>3420</v>
      </c>
      <c r="D88" s="3450" t="s">
        <v>3421</v>
      </c>
      <c r="E88" s="3450" t="s">
        <v>3422</v>
      </c>
      <c r="F88" s="3451" t="s">
        <v>3423</v>
      </c>
      <c r="G88" s="3450" t="s">
        <v>3424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3425</v>
      </c>
      <c r="D90" s="3450" t="s">
        <v>3426</v>
      </c>
      <c r="E90" s="3450" t="s">
        <v>3422</v>
      </c>
      <c r="F90" s="3450" t="s">
        <v>3427</v>
      </c>
      <c r="G90" s="3450" t="s">
        <v>3428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3429</v>
      </c>
      <c r="E92" s="503" t="s">
        <v>3431</v>
      </c>
      <c r="F92" s="503" t="s">
        <v>3432</v>
      </c>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f>ROUND((C93+E93)/2,0)</f>
        <v>88</v>
      </c>
      <c r="E93" s="485">
        <v>75</v>
      </c>
      <c r="F93" s="485">
        <v>60</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临路状况</v>
      </c>
      <c r="C94" s="3453" t="s">
        <v>3505</v>
      </c>
      <c r="D94" s="3453" t="s">
        <v>3506</v>
      </c>
      <c r="E94" s="3453" t="s">
        <v>3503</v>
      </c>
      <c r="F94" s="3453" t="s">
        <v>3502</v>
      </c>
      <c r="G94" s="3454" t="s">
        <v>3507</v>
      </c>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v>100</v>
      </c>
      <c r="D95" s="485">
        <f>C95-5</f>
        <v>95</v>
      </c>
      <c r="E95" s="485">
        <f>D95-5</f>
        <v>90</v>
      </c>
      <c r="F95" s="485">
        <f>E95-5</f>
        <v>85</v>
      </c>
      <c r="G95" s="485">
        <f>F95-5</f>
        <v>80</v>
      </c>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t="s">
        <v>3434</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4">D103&amp;"(含)"&amp;"-"&amp;E103</f>
        <v>50(含)-100</v>
      </c>
      <c r="E102" s="527" t="str">
        <f t="shared" si="24"/>
        <v>100(含)-300</v>
      </c>
      <c r="F102" s="527" t="str">
        <f t="shared" si="24"/>
        <v>300(含)-500</v>
      </c>
      <c r="G102" s="527" t="str">
        <f t="shared" si="24"/>
        <v>500(含)-800</v>
      </c>
      <c r="H102" s="527" t="str">
        <f t="shared" si="24"/>
        <v>800(含)-1500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800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C104-5</f>
        <v>95</v>
      </c>
      <c r="E104" s="485">
        <f>D104-5</f>
        <v>90</v>
      </c>
      <c r="F104" s="485">
        <f t="shared" ref="F104:I104" si="25">E104-2</f>
        <v>88</v>
      </c>
      <c r="G104" s="485">
        <f t="shared" si="25"/>
        <v>86</v>
      </c>
      <c r="H104" s="485">
        <f t="shared" si="25"/>
        <v>84</v>
      </c>
      <c r="I104" s="485">
        <f t="shared" si="25"/>
        <v>82</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3" t="s">
        <v>3435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3" t="s">
        <v>3437</v>
      </c>
      <c r="D107" s="3453" t="s">
        <v>3439</v>
      </c>
      <c r="E107" s="3453" t="s">
        <v>3441</v>
      </c>
      <c r="F107" s="3454" t="s">
        <v>3442</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3" t="s">
        <v>3443</v>
      </c>
      <c r="D112" s="3453" t="s">
        <v>3444</v>
      </c>
      <c r="E112" s="3453" t="s">
        <v>3446</v>
      </c>
      <c r="F112" s="3453" t="s">
        <v>3447</v>
      </c>
      <c r="G112" s="3453" t="s">
        <v>3448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97</v>
      </c>
      <c r="E113" s="493">
        <f t="shared" ref="E113:M113" si="29">D113-$K37</f>
        <v>94</v>
      </c>
      <c r="F113" s="493">
        <f t="shared" si="29"/>
        <v>91</v>
      </c>
      <c r="G113" s="493">
        <f t="shared" si="29"/>
        <v>88</v>
      </c>
      <c r="H113" s="493">
        <f t="shared" si="29"/>
        <v>85</v>
      </c>
      <c r="I113" s="493">
        <f t="shared" si="29"/>
        <v>82</v>
      </c>
      <c r="J113" s="493">
        <f t="shared" si="29"/>
        <v>79</v>
      </c>
      <c r="K113" s="493">
        <f t="shared" si="29"/>
        <v>76</v>
      </c>
      <c r="L113" s="493">
        <f t="shared" si="29"/>
        <v>73</v>
      </c>
      <c r="M113" s="493">
        <f t="shared" si="29"/>
        <v>70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3" t="s">
        <v>3450</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3" t="s">
        <v>3437</v>
      </c>
      <c r="D122" s="3453" t="s">
        <v>3439</v>
      </c>
      <c r="E122" s="3453" t="s">
        <v>3441</v>
      </c>
      <c r="F122" s="3454" t="s">
        <v>3442</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1056.2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48" t="s">
        <v>1775</v>
      </c>
      <c r="Q4" s="3749"/>
      <c r="R4" s="3752" t="s">
        <v>1771</v>
      </c>
      <c r="S4" s="3753"/>
      <c r="T4" s="3752" t="s">
        <v>1772</v>
      </c>
      <c r="U4" s="3753"/>
      <c r="V4" s="3754" t="s">
        <v>1773</v>
      </c>
      <c r="W4" s="3754"/>
      <c r="X4" s="1957"/>
      <c r="Y4" s="3752" t="s">
        <v>1775</v>
      </c>
      <c r="Z4" s="3753"/>
      <c r="AA4" s="3756" t="s">
        <v>1771</v>
      </c>
      <c r="AB4" s="3756" t="s">
        <v>1772</v>
      </c>
      <c r="AC4" s="3745" t="s">
        <v>1773</v>
      </c>
    </row>
    <row r="5" spans="1:29" ht="15">
      <c r="A5" s="358"/>
      <c r="B5" s="359"/>
      <c r="C5" s="3732" t="s">
        <v>1673</v>
      </c>
      <c r="D5" s="3733"/>
      <c r="E5" s="3739" t="s">
        <v>1674</v>
      </c>
      <c r="F5" s="3740"/>
      <c r="G5" s="3732" t="s">
        <v>1675</v>
      </c>
      <c r="H5" s="3733"/>
      <c r="I5" s="3732" t="s">
        <v>1676</v>
      </c>
      <c r="J5" s="3733"/>
      <c r="K5" s="559"/>
      <c r="L5" s="2714"/>
      <c r="M5" s="2715"/>
      <c r="N5" s="2715"/>
      <c r="O5" s="2715"/>
      <c r="P5" s="3750"/>
      <c r="Q5" s="3720"/>
      <c r="R5" s="3725"/>
      <c r="S5" s="3726"/>
      <c r="T5" s="3725"/>
      <c r="U5" s="3726"/>
      <c r="V5" s="3729"/>
      <c r="W5" s="3729"/>
      <c r="X5" s="1354"/>
      <c r="Y5" s="3725"/>
      <c r="Z5" s="3726"/>
      <c r="AA5" s="3711"/>
      <c r="AB5" s="3711"/>
      <c r="AC5" s="3746"/>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51"/>
      <c r="Q6" s="3722"/>
      <c r="R6" s="3725"/>
      <c r="S6" s="3726"/>
      <c r="T6" s="3727"/>
      <c r="U6" s="3728"/>
      <c r="V6" s="3729"/>
      <c r="W6" s="3729"/>
      <c r="X6" s="1354"/>
      <c r="Y6" s="3727"/>
      <c r="Z6" s="3728"/>
      <c r="AA6" s="3712"/>
      <c r="AB6" s="3712"/>
      <c r="AC6" s="3747"/>
    </row>
    <row r="7" spans="1:29" s="108" customFormat="1" ht="15.75" thickBot="1">
      <c r="A7" s="362" t="s">
        <v>1679</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735"/>
      <c r="R8" s="700" t="s">
        <v>14</v>
      </c>
      <c r="S8" s="701">
        <f t="shared" si="0"/>
        <v>100</v>
      </c>
      <c r="T8" s="700" t="s">
        <v>14</v>
      </c>
      <c r="U8" s="701">
        <f t="shared" si="1"/>
        <v>100</v>
      </c>
      <c r="V8" s="700" t="s">
        <v>14</v>
      </c>
      <c r="W8" s="701">
        <f t="shared" si="2"/>
        <v>100</v>
      </c>
      <c r="X8" s="702"/>
      <c r="Y8" s="3734" t="s">
        <v>1683</v>
      </c>
      <c r="Z8" s="373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9"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9"/>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9"/>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9"/>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9"/>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9"/>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7" t="s">
        <v>1691</v>
      </c>
      <c r="Q15" s="1351" t="str">
        <f t="shared" si="6"/>
        <v>办公集聚程度</v>
      </c>
      <c r="R15" s="704" t="s">
        <v>14</v>
      </c>
      <c r="S15" s="705">
        <f t="shared" si="0"/>
        <v>100</v>
      </c>
      <c r="T15" s="704" t="s">
        <v>14</v>
      </c>
      <c r="U15" s="705">
        <f t="shared" si="1"/>
        <v>100</v>
      </c>
      <c r="V15" s="704" t="s">
        <v>14</v>
      </c>
      <c r="W15" s="705">
        <f t="shared" si="2"/>
        <v>100</v>
      </c>
      <c r="X15" s="1354"/>
      <c r="Y15" s="370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8"/>
      <c r="Q16" s="1351"/>
      <c r="R16" s="704"/>
      <c r="S16" s="705"/>
      <c r="T16" s="704"/>
      <c r="U16" s="705"/>
      <c r="V16" s="704"/>
      <c r="W16" s="705"/>
      <c r="X16" s="1354"/>
      <c r="Y16" s="3701"/>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8"/>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8"/>
      <c r="Q18" s="1351"/>
      <c r="R18" s="704"/>
      <c r="S18" s="705"/>
      <c r="T18" s="704"/>
      <c r="U18" s="705"/>
      <c r="V18" s="704"/>
      <c r="W18" s="705"/>
      <c r="X18" s="1354"/>
      <c r="Y18" s="3701"/>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8"/>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8"/>
      <c r="Q20" s="1351"/>
      <c r="R20" s="704"/>
      <c r="S20" s="705"/>
      <c r="T20" s="704"/>
      <c r="U20" s="705"/>
      <c r="V20" s="704"/>
      <c r="W20" s="705"/>
      <c r="X20" s="1354"/>
      <c r="Y20" s="370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8"/>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8"/>
      <c r="Q22" s="1351"/>
      <c r="R22" s="704"/>
      <c r="S22" s="705"/>
      <c r="T22" s="704"/>
      <c r="U22" s="705"/>
      <c r="V22" s="704"/>
      <c r="W22" s="705"/>
      <c r="X22" s="1354"/>
      <c r="Y22" s="3701"/>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8"/>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8"/>
      <c r="Q24" s="1351"/>
      <c r="R24" s="704"/>
      <c r="S24" s="705"/>
      <c r="T24" s="704"/>
      <c r="U24" s="705"/>
      <c r="V24" s="704"/>
      <c r="W24" s="705"/>
      <c r="X24" s="1354"/>
      <c r="Y24" s="370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8"/>
      <c r="Q25" s="1351" t="str">
        <f>B25</f>
        <v>毗邻道路的类型与等级</v>
      </c>
      <c r="R25" s="704" t="s">
        <v>14</v>
      </c>
      <c r="S25" s="705">
        <f>F25</f>
        <v>100</v>
      </c>
      <c r="T25" s="704" t="s">
        <v>14</v>
      </c>
      <c r="U25" s="705">
        <f>H25</f>
        <v>100</v>
      </c>
      <c r="V25" s="704" t="s">
        <v>14</v>
      </c>
      <c r="W25" s="705">
        <f>J25</f>
        <v>100</v>
      </c>
      <c r="X25" s="1354"/>
      <c r="Y25" s="370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8"/>
      <c r="Q26" s="1351"/>
      <c r="R26" s="704"/>
      <c r="S26" s="705"/>
      <c r="T26" s="704"/>
      <c r="U26" s="705"/>
      <c r="V26" s="704"/>
      <c r="W26" s="705"/>
      <c r="X26" s="1354"/>
      <c r="Y26" s="370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8"/>
      <c r="Q27" s="1351" t="str">
        <f t="shared" ref="Q27:Q47" si="11">B27</f>
        <v>楼层</v>
      </c>
      <c r="R27" s="704" t="s">
        <v>14</v>
      </c>
      <c r="S27" s="705">
        <f>F27</f>
        <v>100</v>
      </c>
      <c r="T27" s="704" t="s">
        <v>14</v>
      </c>
      <c r="U27" s="705">
        <f>H27</f>
        <v>100</v>
      </c>
      <c r="V27" s="704" t="s">
        <v>14</v>
      </c>
      <c r="W27" s="705">
        <f>J27</f>
        <v>100</v>
      </c>
      <c r="X27" s="1354"/>
      <c r="Y27" s="370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8"/>
      <c r="Q28" s="1342" t="str">
        <f t="shared" si="11"/>
        <v>朝向</v>
      </c>
      <c r="R28" s="700" t="s">
        <v>14</v>
      </c>
      <c r="S28" s="701">
        <f>F28</f>
        <v>100</v>
      </c>
      <c r="T28" s="700" t="s">
        <v>14</v>
      </c>
      <c r="U28" s="701">
        <f>H28</f>
        <v>100</v>
      </c>
      <c r="V28" s="700" t="s">
        <v>14</v>
      </c>
      <c r="W28" s="701">
        <f>J28</f>
        <v>100</v>
      </c>
      <c r="X28" s="702"/>
      <c r="Y28" s="370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8"/>
      <c r="Q29" s="1351">
        <f t="shared" si="11"/>
        <v>111</v>
      </c>
      <c r="R29" s="704" t="s">
        <v>14</v>
      </c>
      <c r="S29" s="705">
        <f t="shared" ref="S29:S47" si="12">F29</f>
        <v>100</v>
      </c>
      <c r="T29" s="704" t="s">
        <v>14</v>
      </c>
      <c r="U29" s="705">
        <f t="shared" ref="U29:U47" si="13">H29</f>
        <v>100</v>
      </c>
      <c r="V29" s="704" t="s">
        <v>14</v>
      </c>
      <c r="W29" s="705">
        <f t="shared" ref="W29:W47" si="14">J29</f>
        <v>100</v>
      </c>
      <c r="X29" s="1354"/>
      <c r="Y29" s="370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8"/>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8"/>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8"/>
      <c r="Q32" s="1351">
        <f t="shared" si="11"/>
        <v>111</v>
      </c>
      <c r="R32" s="704" t="s">
        <v>14</v>
      </c>
      <c r="S32" s="705">
        <f t="shared" si="12"/>
        <v>100</v>
      </c>
      <c r="T32" s="704" t="s">
        <v>14</v>
      </c>
      <c r="U32" s="705">
        <f t="shared" si="13"/>
        <v>100</v>
      </c>
      <c r="V32" s="704" t="s">
        <v>14</v>
      </c>
      <c r="W32" s="705">
        <f t="shared" si="14"/>
        <v>100</v>
      </c>
      <c r="X32" s="1354"/>
      <c r="Y32" s="370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2" t="s">
        <v>1696</v>
      </c>
      <c r="Q33" s="1351" t="str">
        <f t="shared" si="11"/>
        <v>建筑类型</v>
      </c>
      <c r="R33" s="704" t="s">
        <v>14</v>
      </c>
      <c r="S33" s="705">
        <f t="shared" si="12"/>
        <v>100</v>
      </c>
      <c r="T33" s="704" t="s">
        <v>14</v>
      </c>
      <c r="U33" s="705">
        <f t="shared" si="13"/>
        <v>100</v>
      </c>
      <c r="V33" s="704" t="s">
        <v>14</v>
      </c>
      <c r="W33" s="705">
        <f t="shared" si="14"/>
        <v>100</v>
      </c>
      <c r="X33" s="1354"/>
      <c r="Y33" s="370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3"/>
      <c r="Q34" s="706" t="str">
        <f t="shared" si="11"/>
        <v>项目建筑规模</v>
      </c>
      <c r="R34" s="707" t="s">
        <v>14</v>
      </c>
      <c r="S34" s="708" t="e">
        <f t="shared" si="12"/>
        <v>#N/A</v>
      </c>
      <c r="T34" s="707" t="s">
        <v>14</v>
      </c>
      <c r="U34" s="708" t="e">
        <f t="shared" si="13"/>
        <v>#N/A</v>
      </c>
      <c r="V34" s="707" t="s">
        <v>14</v>
      </c>
      <c r="W34" s="708" t="e">
        <f t="shared" si="14"/>
        <v>#N/A</v>
      </c>
      <c r="X34" s="709"/>
      <c r="Y34" s="370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3"/>
      <c r="Q35" s="1351" t="str">
        <f t="shared" si="11"/>
        <v>建筑结构</v>
      </c>
      <c r="R35" s="704" t="s">
        <v>14</v>
      </c>
      <c r="S35" s="705">
        <f t="shared" si="12"/>
        <v>100</v>
      </c>
      <c r="T35" s="704" t="s">
        <v>14</v>
      </c>
      <c r="U35" s="705">
        <f t="shared" si="13"/>
        <v>100</v>
      </c>
      <c r="V35" s="704" t="s">
        <v>14</v>
      </c>
      <c r="W35" s="705">
        <f t="shared" si="14"/>
        <v>100</v>
      </c>
      <c r="X35" s="1354"/>
      <c r="Y35" s="370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3"/>
      <c r="Q36" s="1351" t="str">
        <f t="shared" si="11"/>
        <v>公共部分装修</v>
      </c>
      <c r="R36" s="704" t="s">
        <v>14</v>
      </c>
      <c r="S36" s="705">
        <f t="shared" si="12"/>
        <v>100</v>
      </c>
      <c r="T36" s="704" t="s">
        <v>14</v>
      </c>
      <c r="U36" s="705">
        <f t="shared" si="13"/>
        <v>100</v>
      </c>
      <c r="V36" s="704" t="s">
        <v>14</v>
      </c>
      <c r="W36" s="705">
        <f t="shared" si="14"/>
        <v>100</v>
      </c>
      <c r="X36" s="1354"/>
      <c r="Y36" s="370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3"/>
      <c r="Q37" s="1351" t="str">
        <f t="shared" si="11"/>
        <v>成新度</v>
      </c>
      <c r="R37" s="704" t="s">
        <v>14</v>
      </c>
      <c r="S37" s="705" t="e">
        <f t="shared" si="12"/>
        <v>#N/A</v>
      </c>
      <c r="T37" s="704" t="s">
        <v>14</v>
      </c>
      <c r="U37" s="705" t="e">
        <f t="shared" si="13"/>
        <v>#N/A</v>
      </c>
      <c r="V37" s="704" t="s">
        <v>14</v>
      </c>
      <c r="W37" s="705" t="e">
        <f t="shared" si="14"/>
        <v>#N/A</v>
      </c>
      <c r="X37" s="1354"/>
      <c r="Y37" s="370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3"/>
      <c r="Q38" s="1342" t="str">
        <f t="shared" si="11"/>
        <v>写字楼等级</v>
      </c>
      <c r="R38" s="700" t="s">
        <v>14</v>
      </c>
      <c r="S38" s="701">
        <f t="shared" si="12"/>
        <v>100</v>
      </c>
      <c r="T38" s="700" t="s">
        <v>14</v>
      </c>
      <c r="U38" s="701">
        <f t="shared" si="13"/>
        <v>100</v>
      </c>
      <c r="V38" s="700" t="s">
        <v>14</v>
      </c>
      <c r="W38" s="701">
        <f t="shared" si="14"/>
        <v>100</v>
      </c>
      <c r="X38" s="702"/>
      <c r="Y38" s="370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3" t="s">
        <v>1696</v>
      </c>
      <c r="Q39" s="1351" t="str">
        <f t="shared" si="11"/>
        <v>物业管理</v>
      </c>
      <c r="R39" s="704" t="s">
        <v>14</v>
      </c>
      <c r="S39" s="705">
        <f t="shared" si="12"/>
        <v>100</v>
      </c>
      <c r="T39" s="704" t="s">
        <v>14</v>
      </c>
      <c r="U39" s="705">
        <f t="shared" si="13"/>
        <v>100</v>
      </c>
      <c r="V39" s="704" t="s">
        <v>14</v>
      </c>
      <c r="W39" s="705">
        <f t="shared" si="14"/>
        <v>100</v>
      </c>
      <c r="X39" s="1354"/>
      <c r="Y39" s="370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3"/>
      <c r="Q40" s="1351" t="str">
        <f t="shared" si="11"/>
        <v>市政基础设施</v>
      </c>
      <c r="R40" s="704" t="s">
        <v>14</v>
      </c>
      <c r="S40" s="705">
        <f t="shared" si="12"/>
        <v>100</v>
      </c>
      <c r="T40" s="704" t="s">
        <v>14</v>
      </c>
      <c r="U40" s="705">
        <f t="shared" si="13"/>
        <v>100</v>
      </c>
      <c r="V40" s="704" t="s">
        <v>14</v>
      </c>
      <c r="W40" s="705">
        <f t="shared" si="14"/>
        <v>100</v>
      </c>
      <c r="X40" s="1354"/>
      <c r="Y40" s="370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1" t="str">
        <f t="shared" si="11"/>
        <v>层高</v>
      </c>
      <c r="R41" s="704" t="s">
        <v>14</v>
      </c>
      <c r="S41" s="705">
        <f t="shared" si="12"/>
        <v>100</v>
      </c>
      <c r="T41" s="704" t="s">
        <v>14</v>
      </c>
      <c r="U41" s="705">
        <f t="shared" si="13"/>
        <v>100</v>
      </c>
      <c r="V41" s="704" t="s">
        <v>14</v>
      </c>
      <c r="W41" s="705">
        <f t="shared" si="14"/>
        <v>100</v>
      </c>
      <c r="X41" s="1354"/>
      <c r="Y41" s="370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3"/>
      <c r="Q43" s="1351" t="str">
        <f t="shared" si="11"/>
        <v>内部装修</v>
      </c>
      <c r="R43" s="704" t="s">
        <v>14</v>
      </c>
      <c r="S43" s="705">
        <f t="shared" si="12"/>
        <v>100</v>
      </c>
      <c r="T43" s="704" t="s">
        <v>14</v>
      </c>
      <c r="U43" s="705">
        <f t="shared" si="13"/>
        <v>100</v>
      </c>
      <c r="V43" s="704" t="s">
        <v>14</v>
      </c>
      <c r="W43" s="705">
        <f t="shared" si="14"/>
        <v>100</v>
      </c>
      <c r="X43" s="1354"/>
      <c r="Y43" s="370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3"/>
      <c r="Q44" s="1351" t="str">
        <f t="shared" si="11"/>
        <v>内部装修维护情况</v>
      </c>
      <c r="R44" s="704" t="s">
        <v>14</v>
      </c>
      <c r="S44" s="705">
        <f t="shared" si="12"/>
        <v>100</v>
      </c>
      <c r="T44" s="704" t="s">
        <v>14</v>
      </c>
      <c r="U44" s="705">
        <f t="shared" si="13"/>
        <v>100</v>
      </c>
      <c r="V44" s="704" t="s">
        <v>14</v>
      </c>
      <c r="W44" s="705">
        <f t="shared" si="14"/>
        <v>100</v>
      </c>
      <c r="X44" s="1354"/>
      <c r="Y44" s="370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2">
        <f t="shared" si="11"/>
        <v>111</v>
      </c>
      <c r="R45" s="700" t="s">
        <v>14</v>
      </c>
      <c r="S45" s="701">
        <f t="shared" si="12"/>
        <v>100</v>
      </c>
      <c r="T45" s="700" t="s">
        <v>14</v>
      </c>
      <c r="U45" s="701">
        <f t="shared" si="13"/>
        <v>100</v>
      </c>
      <c r="V45" s="700" t="s">
        <v>14</v>
      </c>
      <c r="W45" s="701">
        <f t="shared" si="14"/>
        <v>100</v>
      </c>
      <c r="X45" s="702"/>
      <c r="Y45" s="370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1">
        <f t="shared" si="11"/>
        <v>111</v>
      </c>
      <c r="R47" s="704" t="s">
        <v>14</v>
      </c>
      <c r="S47" s="705">
        <f t="shared" si="12"/>
        <v>100</v>
      </c>
      <c r="T47" s="704" t="s">
        <v>14</v>
      </c>
      <c r="U47" s="705">
        <f t="shared" si="13"/>
        <v>100</v>
      </c>
      <c r="V47" s="704" t="s">
        <v>14</v>
      </c>
      <c r="W47" s="705">
        <f t="shared" si="14"/>
        <v>100</v>
      </c>
      <c r="X47" s="1354"/>
      <c r="Y47" s="370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709" t="str">
        <f>A48</f>
        <v>成交单价（元/平方米）</v>
      </c>
      <c r="Q48" s="3698"/>
      <c r="R48" s="3699">
        <f>E48</f>
        <v>0</v>
      </c>
      <c r="S48" s="3699"/>
      <c r="T48" s="3699">
        <f>G48</f>
        <v>0</v>
      </c>
      <c r="U48" s="3699"/>
      <c r="V48" s="3699">
        <f>I48</f>
        <v>0</v>
      </c>
      <c r="W48" s="369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受贵公司委托，我公司对北京市朝阳区双花园南里二区9号楼1层12商业用房房地产抵押价值进行了预评估。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估价对象为北京市朝阳区双花园南里二区9号楼1层12商业用房房地产，为所有。根据《国有土地使用证》[]，估价对象（分摊）出让国有建设用地使用权面积为0平方米，建筑面积为1056.2平方米。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花园南里二区9号楼1层12商业用房房地产,属开发建设的居住项目，该项目尚在开发建设中。根据《国有土地使用证》[]，估价对象（分摊）出让国有建设用地使用权面积为0平方米，规划建筑面积为1056.2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1056.2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912"/>
      <c r="M4" s="913"/>
      <c r="N4" s="913"/>
      <c r="O4" s="913"/>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2"/>
      <c r="M5" s="913"/>
      <c r="N5" s="913"/>
      <c r="O5" s="913"/>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2"/>
      <c r="M6" s="913"/>
      <c r="N6" s="913"/>
      <c r="O6" s="913"/>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4" t="s">
        <v>1683</v>
      </c>
      <c r="Q8" s="3735"/>
      <c r="R8" s="700" t="s">
        <v>14</v>
      </c>
      <c r="S8" s="701">
        <f t="shared" si="0"/>
        <v>100</v>
      </c>
      <c r="T8" s="700" t="s">
        <v>14</v>
      </c>
      <c r="U8" s="701">
        <f t="shared" si="1"/>
        <v>100</v>
      </c>
      <c r="V8" s="700" t="s">
        <v>14</v>
      </c>
      <c r="W8" s="701">
        <f t="shared" si="2"/>
        <v>100</v>
      </c>
      <c r="X8" s="702"/>
      <c r="Y8" s="3734" t="s">
        <v>1683</v>
      </c>
      <c r="Z8" s="373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8"/>
      <c r="Q11" s="1342" t="str">
        <f t="shared" si="6"/>
        <v>容积率</v>
      </c>
      <c r="R11" s="700" t="s">
        <v>14</v>
      </c>
      <c r="S11" s="701">
        <f t="shared" si="0"/>
        <v>100</v>
      </c>
      <c r="T11" s="700" t="s">
        <v>14</v>
      </c>
      <c r="U11" s="701">
        <f t="shared" si="1"/>
        <v>100</v>
      </c>
      <c r="V11" s="700" t="s">
        <v>14</v>
      </c>
      <c r="W11" s="701">
        <f t="shared" si="2"/>
        <v>100</v>
      </c>
      <c r="X11" s="702"/>
      <c r="Y11" s="355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1"/>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1"/>
      <c r="Q18" s="1351"/>
      <c r="R18" s="704"/>
      <c r="S18" s="705"/>
      <c r="T18" s="704"/>
      <c r="U18" s="705"/>
      <c r="V18" s="704"/>
      <c r="W18" s="705"/>
      <c r="X18" s="1354"/>
      <c r="Y18" s="370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1"/>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1"/>
      <c r="Q20" s="1351"/>
      <c r="R20" s="704"/>
      <c r="S20" s="705"/>
      <c r="T20" s="704"/>
      <c r="U20" s="705"/>
      <c r="V20" s="704"/>
      <c r="W20" s="705"/>
      <c r="X20" s="1354"/>
      <c r="Y20" s="370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1"/>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1"/>
      <c r="Q22" s="1351"/>
      <c r="R22" s="704"/>
      <c r="S22" s="705"/>
      <c r="T22" s="704"/>
      <c r="U22" s="705"/>
      <c r="V22" s="704"/>
      <c r="W22" s="705"/>
      <c r="X22" s="1354"/>
      <c r="Y22" s="370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1"/>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1"/>
      <c r="Q24" s="1351"/>
      <c r="R24" s="704"/>
      <c r="S24" s="705"/>
      <c r="T24" s="704"/>
      <c r="U24" s="705"/>
      <c r="V24" s="704"/>
      <c r="W24" s="705"/>
      <c r="X24" s="1354"/>
      <c r="Y24" s="370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1"/>
      <c r="Q25" s="1351">
        <f>B25</f>
        <v>111</v>
      </c>
      <c r="R25" s="704" t="s">
        <v>14</v>
      </c>
      <c r="S25" s="705">
        <f>F25</f>
        <v>100</v>
      </c>
      <c r="T25" s="704" t="s">
        <v>14</v>
      </c>
      <c r="U25" s="705">
        <f>H25</f>
        <v>100</v>
      </c>
      <c r="V25" s="704" t="s">
        <v>14</v>
      </c>
      <c r="W25" s="705">
        <f>J25</f>
        <v>100</v>
      </c>
      <c r="X25" s="1354"/>
      <c r="Y25" s="370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1"/>
      <c r="Q26" s="1351">
        <f t="shared" ref="Q26:Q40" si="11">B26</f>
        <v>111</v>
      </c>
      <c r="R26" s="704" t="s">
        <v>14</v>
      </c>
      <c r="S26" s="705">
        <f>F26</f>
        <v>100</v>
      </c>
      <c r="T26" s="704" t="s">
        <v>14</v>
      </c>
      <c r="U26" s="705">
        <f>H26</f>
        <v>100</v>
      </c>
      <c r="V26" s="704" t="s">
        <v>14</v>
      </c>
      <c r="W26" s="705">
        <f>J26</f>
        <v>100</v>
      </c>
      <c r="X26" s="1354"/>
      <c r="Y26" s="370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1"/>
      <c r="Q27" s="1342">
        <f t="shared" si="11"/>
        <v>111</v>
      </c>
      <c r="R27" s="700" t="s">
        <v>14</v>
      </c>
      <c r="S27" s="701">
        <f>F27</f>
        <v>100</v>
      </c>
      <c r="T27" s="700" t="s">
        <v>14</v>
      </c>
      <c r="U27" s="701">
        <f>H27</f>
        <v>100</v>
      </c>
      <c r="V27" s="700" t="s">
        <v>14</v>
      </c>
      <c r="W27" s="701">
        <f>J27</f>
        <v>100</v>
      </c>
      <c r="X27" s="702"/>
      <c r="Y27" s="370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1"/>
      <c r="Q28" s="1351">
        <f t="shared" si="11"/>
        <v>111</v>
      </c>
      <c r="R28" s="704" t="s">
        <v>14</v>
      </c>
      <c r="S28" s="705">
        <f t="shared" ref="S28:S40" si="12">F28</f>
        <v>100</v>
      </c>
      <c r="T28" s="704" t="s">
        <v>14</v>
      </c>
      <c r="U28" s="705">
        <f t="shared" ref="U28:U40" si="13">H28</f>
        <v>100</v>
      </c>
      <c r="V28" s="704" t="s">
        <v>14</v>
      </c>
      <c r="W28" s="705">
        <f t="shared" ref="W28:W40" si="14">J28</f>
        <v>100</v>
      </c>
      <c r="X28" s="1354"/>
      <c r="Y28" s="370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7" t="s">
        <v>1696</v>
      </c>
      <c r="Q29" s="1351" t="str">
        <f t="shared" si="11"/>
        <v>建筑类型</v>
      </c>
      <c r="R29" s="704" t="s">
        <v>14</v>
      </c>
      <c r="S29" s="705">
        <f t="shared" si="12"/>
        <v>100</v>
      </c>
      <c r="T29" s="704" t="s">
        <v>14</v>
      </c>
      <c r="U29" s="705">
        <f t="shared" si="13"/>
        <v>100</v>
      </c>
      <c r="V29" s="704" t="s">
        <v>14</v>
      </c>
      <c r="W29" s="705">
        <f t="shared" si="14"/>
        <v>100</v>
      </c>
      <c r="X29" s="1354"/>
      <c r="Y29" s="370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5"/>
      <c r="Q30" s="706" t="str">
        <f t="shared" si="11"/>
        <v>项目建筑规模</v>
      </c>
      <c r="R30" s="707" t="s">
        <v>14</v>
      </c>
      <c r="S30" s="708" t="e">
        <f t="shared" si="12"/>
        <v>#N/A</v>
      </c>
      <c r="T30" s="707" t="s">
        <v>14</v>
      </c>
      <c r="U30" s="708" t="e">
        <f t="shared" si="13"/>
        <v>#N/A</v>
      </c>
      <c r="V30" s="707" t="s">
        <v>14</v>
      </c>
      <c r="W30" s="708" t="e">
        <f t="shared" si="14"/>
        <v>#N/A</v>
      </c>
      <c r="X30" s="709"/>
      <c r="Y30" s="370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5"/>
      <c r="Q31" s="1351" t="str">
        <f t="shared" si="11"/>
        <v>建筑结构</v>
      </c>
      <c r="R31" s="704" t="s">
        <v>14</v>
      </c>
      <c r="S31" s="705">
        <f t="shared" si="12"/>
        <v>100</v>
      </c>
      <c r="T31" s="704" t="s">
        <v>14</v>
      </c>
      <c r="U31" s="705">
        <f t="shared" si="13"/>
        <v>100</v>
      </c>
      <c r="V31" s="704" t="s">
        <v>14</v>
      </c>
      <c r="W31" s="705">
        <f t="shared" si="14"/>
        <v>100</v>
      </c>
      <c r="X31" s="1354"/>
      <c r="Y31" s="370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5"/>
      <c r="Q32" s="1351" t="str">
        <f t="shared" si="11"/>
        <v>公共部分装修</v>
      </c>
      <c r="R32" s="704" t="s">
        <v>14</v>
      </c>
      <c r="S32" s="705">
        <f t="shared" si="12"/>
        <v>100</v>
      </c>
      <c r="T32" s="704" t="s">
        <v>14</v>
      </c>
      <c r="U32" s="705">
        <f t="shared" si="13"/>
        <v>100</v>
      </c>
      <c r="V32" s="704" t="s">
        <v>14</v>
      </c>
      <c r="W32" s="705">
        <f t="shared" si="14"/>
        <v>100</v>
      </c>
      <c r="X32" s="1354"/>
      <c r="Y32" s="370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5"/>
      <c r="Q33" s="1351" t="str">
        <f t="shared" si="11"/>
        <v>成新度</v>
      </c>
      <c r="R33" s="704" t="s">
        <v>14</v>
      </c>
      <c r="S33" s="705" t="e">
        <f t="shared" si="12"/>
        <v>#N/A</v>
      </c>
      <c r="T33" s="704" t="s">
        <v>14</v>
      </c>
      <c r="U33" s="705" t="e">
        <f t="shared" si="13"/>
        <v>#N/A</v>
      </c>
      <c r="V33" s="704" t="s">
        <v>14</v>
      </c>
      <c r="W33" s="705" t="e">
        <f t="shared" si="14"/>
        <v>#N/A</v>
      </c>
      <c r="X33" s="1354"/>
      <c r="Y33" s="370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5"/>
      <c r="Q34" s="1342" t="str">
        <f t="shared" si="11"/>
        <v>物业管理</v>
      </c>
      <c r="R34" s="700" t="s">
        <v>14</v>
      </c>
      <c r="S34" s="701">
        <f t="shared" si="12"/>
        <v>100</v>
      </c>
      <c r="T34" s="700" t="s">
        <v>14</v>
      </c>
      <c r="U34" s="701">
        <f t="shared" si="13"/>
        <v>100</v>
      </c>
      <c r="V34" s="700" t="s">
        <v>14</v>
      </c>
      <c r="W34" s="701">
        <f t="shared" si="14"/>
        <v>100</v>
      </c>
      <c r="X34" s="702"/>
      <c r="Y34" s="370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5" t="s">
        <v>1696</v>
      </c>
      <c r="Q35" s="1351" t="str">
        <f t="shared" si="11"/>
        <v>市政基础设施</v>
      </c>
      <c r="R35" s="704" t="s">
        <v>14</v>
      </c>
      <c r="S35" s="705">
        <f t="shared" si="12"/>
        <v>100</v>
      </c>
      <c r="T35" s="704" t="s">
        <v>14</v>
      </c>
      <c r="U35" s="705">
        <f t="shared" si="13"/>
        <v>100</v>
      </c>
      <c r="V35" s="704" t="s">
        <v>14</v>
      </c>
      <c r="W35" s="705">
        <f t="shared" si="14"/>
        <v>100</v>
      </c>
      <c r="X35" s="1354"/>
      <c r="Y35" s="370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5"/>
      <c r="Q36" s="1351" t="str">
        <f t="shared" si="11"/>
        <v>内部装修</v>
      </c>
      <c r="R36" s="704" t="s">
        <v>14</v>
      </c>
      <c r="S36" s="705">
        <f t="shared" si="12"/>
        <v>100</v>
      </c>
      <c r="T36" s="704" t="s">
        <v>14</v>
      </c>
      <c r="U36" s="705">
        <f t="shared" si="13"/>
        <v>100</v>
      </c>
      <c r="V36" s="704" t="s">
        <v>14</v>
      </c>
      <c r="W36" s="705">
        <f t="shared" si="14"/>
        <v>100</v>
      </c>
      <c r="X36" s="1354"/>
      <c r="Y36" s="370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5"/>
      <c r="Q37" s="1351" t="str">
        <f t="shared" si="11"/>
        <v>内部装修状况</v>
      </c>
      <c r="R37" s="704" t="s">
        <v>14</v>
      </c>
      <c r="S37" s="705">
        <f t="shared" si="12"/>
        <v>100</v>
      </c>
      <c r="T37" s="704" t="s">
        <v>14</v>
      </c>
      <c r="U37" s="705">
        <f t="shared" si="13"/>
        <v>100</v>
      </c>
      <c r="V37" s="704" t="s">
        <v>14</v>
      </c>
      <c r="W37" s="705">
        <f t="shared" si="14"/>
        <v>100</v>
      </c>
      <c r="X37" s="1354"/>
      <c r="Y37" s="370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5"/>
      <c r="Q38" s="706">
        <f t="shared" si="11"/>
        <v>111</v>
      </c>
      <c r="R38" s="707" t="s">
        <v>14</v>
      </c>
      <c r="S38" s="708">
        <f t="shared" si="12"/>
        <v>100</v>
      </c>
      <c r="T38" s="707" t="s">
        <v>14</v>
      </c>
      <c r="U38" s="708">
        <f t="shared" si="13"/>
        <v>100</v>
      </c>
      <c r="V38" s="707" t="s">
        <v>14</v>
      </c>
      <c r="W38" s="708">
        <f t="shared" si="14"/>
        <v>100</v>
      </c>
      <c r="X38" s="709"/>
      <c r="Y38" s="370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5"/>
      <c r="Q39" s="1351">
        <f t="shared" si="11"/>
        <v>111</v>
      </c>
      <c r="R39" s="704" t="s">
        <v>14</v>
      </c>
      <c r="S39" s="705">
        <f t="shared" si="12"/>
        <v>100</v>
      </c>
      <c r="T39" s="704" t="s">
        <v>14</v>
      </c>
      <c r="U39" s="705">
        <f t="shared" si="13"/>
        <v>100</v>
      </c>
      <c r="V39" s="704" t="s">
        <v>14</v>
      </c>
      <c r="W39" s="705">
        <f t="shared" si="14"/>
        <v>100</v>
      </c>
      <c r="X39" s="1354"/>
      <c r="Y39" s="370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6"/>
      <c r="Q40" s="1351">
        <f t="shared" si="11"/>
        <v>111</v>
      </c>
      <c r="R40" s="704" t="s">
        <v>14</v>
      </c>
      <c r="S40" s="705">
        <f t="shared" si="12"/>
        <v>100</v>
      </c>
      <c r="T40" s="704" t="s">
        <v>14</v>
      </c>
      <c r="U40" s="705">
        <f t="shared" si="13"/>
        <v>100</v>
      </c>
      <c r="V40" s="704" t="s">
        <v>14</v>
      </c>
      <c r="W40" s="705">
        <f t="shared" si="14"/>
        <v>100</v>
      </c>
      <c r="X40" s="1354"/>
      <c r="Y40" s="370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8" t="str">
        <f>A41</f>
        <v>成交单价（元/平方米）</v>
      </c>
      <c r="Q41" s="3698"/>
      <c r="R41" s="3699">
        <f>E41</f>
        <v>0</v>
      </c>
      <c r="S41" s="3699"/>
      <c r="T41" s="3699">
        <f>G41</f>
        <v>0</v>
      </c>
      <c r="U41" s="3699"/>
      <c r="V41" s="3699">
        <f>I41</f>
        <v>0</v>
      </c>
      <c r="W41" s="369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4" t="s">
        <v>1680</v>
      </c>
      <c r="Q7" s="3736"/>
      <c r="R7" s="700" t="s">
        <v>14</v>
      </c>
      <c r="S7" s="701">
        <f t="shared" ref="S7:S14" si="0">F7</f>
        <v>0</v>
      </c>
      <c r="T7" s="700" t="s">
        <v>14</v>
      </c>
      <c r="U7" s="701">
        <f t="shared" ref="U7:U14" si="1">H7</f>
        <v>0</v>
      </c>
      <c r="V7" s="700" t="s">
        <v>14</v>
      </c>
      <c r="W7" s="701">
        <f t="shared" ref="W7:W14"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4" t="s">
        <v>1683</v>
      </c>
      <c r="Q8" s="3735"/>
      <c r="R8" s="700" t="s">
        <v>14</v>
      </c>
      <c r="S8" s="701">
        <f t="shared" si="0"/>
        <v>100</v>
      </c>
      <c r="T8" s="700" t="s">
        <v>14</v>
      </c>
      <c r="U8" s="701">
        <f t="shared" si="1"/>
        <v>100</v>
      </c>
      <c r="V8" s="700" t="s">
        <v>14</v>
      </c>
      <c r="W8" s="701">
        <f t="shared" si="2"/>
        <v>100</v>
      </c>
      <c r="X8" s="702"/>
      <c r="Y8" s="3734" t="s">
        <v>1683</v>
      </c>
      <c r="Z8" s="373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1"/>
      <c r="Q15" s="1351"/>
      <c r="R15" s="704"/>
      <c r="S15" s="705"/>
      <c r="T15" s="704"/>
      <c r="U15" s="705"/>
      <c r="V15" s="704"/>
      <c r="W15" s="705"/>
      <c r="X15" s="1354"/>
      <c r="Y15" s="3701"/>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1"/>
      <c r="Q17" s="1351"/>
      <c r="R17" s="704"/>
      <c r="S17" s="705"/>
      <c r="T17" s="704"/>
      <c r="U17" s="705"/>
      <c r="V17" s="704"/>
      <c r="W17" s="705"/>
      <c r="X17" s="1354"/>
      <c r="Y17" s="370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1"/>
      <c r="Q19" s="1351"/>
      <c r="R19" s="704"/>
      <c r="S19" s="705"/>
      <c r="T19" s="704"/>
      <c r="U19" s="705"/>
      <c r="V19" s="704"/>
      <c r="W19" s="705"/>
      <c r="X19" s="1354"/>
      <c r="Y19" s="3701"/>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1"/>
      <c r="Q21" s="1351"/>
      <c r="R21" s="704"/>
      <c r="S21" s="705"/>
      <c r="T21" s="704"/>
      <c r="U21" s="705"/>
      <c r="V21" s="704"/>
      <c r="W21" s="705"/>
      <c r="X21" s="1354"/>
      <c r="Y21" s="370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1">
        <f t="shared" ref="Q24:Q36"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5"/>
      <c r="Q27" s="706" t="str">
        <f t="shared" si="11"/>
        <v>项目停车位配比</v>
      </c>
      <c r="R27" s="707" t="s">
        <v>14</v>
      </c>
      <c r="S27" s="708">
        <f t="shared" si="12"/>
        <v>100</v>
      </c>
      <c r="T27" s="707" t="s">
        <v>14</v>
      </c>
      <c r="U27" s="708">
        <f t="shared" si="13"/>
        <v>100</v>
      </c>
      <c r="V27" s="707" t="s">
        <v>14</v>
      </c>
      <c r="W27" s="708">
        <f t="shared" si="14"/>
        <v>100</v>
      </c>
      <c r="X27" s="709"/>
      <c r="Y27" s="370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1" t="str">
        <f t="shared" si="11"/>
        <v>公共部分装修</v>
      </c>
      <c r="R28" s="704" t="s">
        <v>14</v>
      </c>
      <c r="S28" s="705">
        <f t="shared" si="12"/>
        <v>100</v>
      </c>
      <c r="T28" s="704" t="s">
        <v>14</v>
      </c>
      <c r="U28" s="705">
        <f t="shared" si="13"/>
        <v>100</v>
      </c>
      <c r="V28" s="704" t="s">
        <v>14</v>
      </c>
      <c r="W28" s="705">
        <f t="shared" si="14"/>
        <v>100</v>
      </c>
      <c r="X28" s="1354"/>
      <c r="Y28" s="370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1" t="str">
        <f t="shared" si="11"/>
        <v>成新率</v>
      </c>
      <c r="R29" s="704" t="s">
        <v>14</v>
      </c>
      <c r="S29" s="705" t="e">
        <f t="shared" si="12"/>
        <v>#N/A</v>
      </c>
      <c r="T29" s="704" t="s">
        <v>14</v>
      </c>
      <c r="U29" s="705" t="e">
        <f t="shared" si="13"/>
        <v>#N/A</v>
      </c>
      <c r="V29" s="704" t="s">
        <v>14</v>
      </c>
      <c r="W29" s="705" t="e">
        <f t="shared" si="14"/>
        <v>#N/A</v>
      </c>
      <c r="X29" s="1354"/>
      <c r="Y29" s="370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5"/>
      <c r="Q30" s="1351" t="str">
        <f t="shared" si="11"/>
        <v>物业等级</v>
      </c>
      <c r="R30" s="704" t="s">
        <v>14</v>
      </c>
      <c r="S30" s="705">
        <f t="shared" si="12"/>
        <v>100</v>
      </c>
      <c r="T30" s="704" t="s">
        <v>14</v>
      </c>
      <c r="U30" s="705">
        <f t="shared" si="13"/>
        <v>100</v>
      </c>
      <c r="V30" s="704" t="s">
        <v>14</v>
      </c>
      <c r="W30" s="705">
        <f t="shared" si="14"/>
        <v>100</v>
      </c>
      <c r="X30" s="1354"/>
      <c r="Y30" s="370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2" t="str">
        <f t="shared" si="11"/>
        <v>停车位面积</v>
      </c>
      <c r="R31" s="700" t="s">
        <v>14</v>
      </c>
      <c r="S31" s="701" t="e">
        <f t="shared" si="12"/>
        <v>#N/A</v>
      </c>
      <c r="T31" s="700" t="s">
        <v>14</v>
      </c>
      <c r="U31" s="701" t="e">
        <f t="shared" si="13"/>
        <v>#N/A</v>
      </c>
      <c r="V31" s="700" t="s">
        <v>14</v>
      </c>
      <c r="W31" s="701" t="e">
        <f t="shared" si="14"/>
        <v>#N/A</v>
      </c>
      <c r="X31" s="702"/>
      <c r="Y31" s="370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1" t="str">
        <f t="shared" si="11"/>
        <v>车位类型</v>
      </c>
      <c r="R32" s="704" t="s">
        <v>14</v>
      </c>
      <c r="S32" s="705">
        <f t="shared" si="12"/>
        <v>100</v>
      </c>
      <c r="T32" s="704" t="s">
        <v>14</v>
      </c>
      <c r="U32" s="705">
        <f t="shared" si="13"/>
        <v>100</v>
      </c>
      <c r="V32" s="704" t="s">
        <v>14</v>
      </c>
      <c r="W32" s="705">
        <f t="shared" si="14"/>
        <v>100</v>
      </c>
      <c r="X32" s="1354"/>
      <c r="Y32" s="370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1" t="str">
        <f t="shared" si="11"/>
        <v>是否直接入户</v>
      </c>
      <c r="R33" s="704" t="s">
        <v>14</v>
      </c>
      <c r="S33" s="705">
        <f t="shared" si="12"/>
        <v>100</v>
      </c>
      <c r="T33" s="704" t="s">
        <v>14</v>
      </c>
      <c r="U33" s="705">
        <f t="shared" si="13"/>
        <v>100</v>
      </c>
      <c r="V33" s="704" t="s">
        <v>14</v>
      </c>
      <c r="W33" s="705">
        <f t="shared" si="14"/>
        <v>100</v>
      </c>
      <c r="X33" s="1354"/>
      <c r="Y33" s="370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6">
        <f t="shared" si="11"/>
        <v>111</v>
      </c>
      <c r="R35" s="707" t="s">
        <v>14</v>
      </c>
      <c r="S35" s="708">
        <f t="shared" si="12"/>
        <v>100</v>
      </c>
      <c r="T35" s="707" t="s">
        <v>14</v>
      </c>
      <c r="U35" s="708">
        <f t="shared" si="13"/>
        <v>100</v>
      </c>
      <c r="V35" s="707" t="s">
        <v>14</v>
      </c>
      <c r="W35" s="708">
        <f t="shared" si="14"/>
        <v>100</v>
      </c>
      <c r="X35" s="709"/>
      <c r="Y35" s="370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1">
        <f t="shared" si="11"/>
        <v>111</v>
      </c>
      <c r="R36" s="704" t="s">
        <v>14</v>
      </c>
      <c r="S36" s="705">
        <f t="shared" si="12"/>
        <v>100</v>
      </c>
      <c r="T36" s="704" t="s">
        <v>14</v>
      </c>
      <c r="U36" s="705">
        <f t="shared" si="13"/>
        <v>100</v>
      </c>
      <c r="V36" s="704" t="s">
        <v>14</v>
      </c>
      <c r="W36" s="705">
        <f t="shared" si="14"/>
        <v>100</v>
      </c>
      <c r="X36" s="1354"/>
      <c r="Y36" s="3705"/>
      <c r="Z36" s="1355">
        <f t="shared" si="15"/>
        <v>111</v>
      </c>
      <c r="AA36" s="1352">
        <f t="shared" si="3"/>
        <v>1</v>
      </c>
      <c r="AB36" s="1352">
        <f t="shared" si="4"/>
        <v>1</v>
      </c>
      <c r="AC36" s="1352">
        <f t="shared" si="5"/>
        <v>1</v>
      </c>
    </row>
    <row r="37" spans="1:29" ht="15">
      <c r="A37" s="430" t="s">
        <v>1844</v>
      </c>
      <c r="B37" s="1972" t="s">
        <v>3359</v>
      </c>
      <c r="C37" s="1153" t="s">
        <v>0</v>
      </c>
      <c r="D37" s="1154"/>
      <c r="E37" s="1155"/>
      <c r="F37" s="1156"/>
      <c r="G37" s="1157"/>
      <c r="H37" s="1158"/>
      <c r="I37" s="1155"/>
      <c r="J37" s="1158"/>
      <c r="K37" s="567"/>
      <c r="L37" s="2723"/>
      <c r="M37" s="2724"/>
      <c r="N37" s="2715"/>
      <c r="O37" s="2724"/>
      <c r="P37" s="3698" t="str">
        <f>A37</f>
        <v>成交单价</v>
      </c>
      <c r="Q37" s="3698"/>
      <c r="R37" s="3699">
        <f>E37</f>
        <v>0</v>
      </c>
      <c r="S37" s="3699"/>
      <c r="T37" s="3699">
        <f>G37</f>
        <v>0</v>
      </c>
      <c r="U37" s="3699"/>
      <c r="V37" s="3699">
        <f>I37</f>
        <v>0</v>
      </c>
      <c r="W37" s="369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5" t="str">
        <f>A39</f>
        <v>估价对象XX用房的比较价值（楼面单价，元/平方米）</v>
      </c>
      <c r="Q39" s="3696"/>
      <c r="R39" s="3758" t="e">
        <f>IF(F1="售价",ROUND(IF(D38="简单平均",AVERAGE(R38:W38),R38*F38+T38*H38+V38*J38),0),ROUND(IF(D38="简单平均",AVERAGE(R38:V38),R38*F38+T38*H38+V38*J38),1))</f>
        <v>#DIV/0!</v>
      </c>
      <c r="S39" s="3758"/>
      <c r="T39" s="3758"/>
      <c r="U39" s="3758"/>
      <c r="V39" s="3758"/>
      <c r="W39" s="375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34" t="s">
        <v>1680</v>
      </c>
      <c r="Q7" s="3736"/>
      <c r="R7" s="700" t="s">
        <v>14</v>
      </c>
      <c r="S7" s="701">
        <f t="shared" ref="S7:S14" si="0">F7</f>
        <v>0</v>
      </c>
      <c r="T7" s="700" t="s">
        <v>14</v>
      </c>
      <c r="U7" s="701">
        <f t="shared" ref="U7:U14" si="1">H7</f>
        <v>0</v>
      </c>
      <c r="V7" s="700" t="s">
        <v>14</v>
      </c>
      <c r="W7" s="701">
        <f t="shared" ref="W7:W14" si="2">J7</f>
        <v>0</v>
      </c>
      <c r="X7" s="702"/>
      <c r="Y7" s="3734" t="s">
        <v>1680</v>
      </c>
      <c r="Z7" s="373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4" t="s">
        <v>1683</v>
      </c>
      <c r="Q8" s="3735"/>
      <c r="R8" s="700" t="s">
        <v>14</v>
      </c>
      <c r="S8" s="701">
        <f t="shared" si="0"/>
        <v>100</v>
      </c>
      <c r="T8" s="700" t="s">
        <v>14</v>
      </c>
      <c r="U8" s="701">
        <f t="shared" si="1"/>
        <v>100</v>
      </c>
      <c r="V8" s="700" t="s">
        <v>14</v>
      </c>
      <c r="W8" s="701">
        <f t="shared" si="2"/>
        <v>100</v>
      </c>
      <c r="X8" s="702"/>
      <c r="Y8" s="3734" t="s">
        <v>1683</v>
      </c>
      <c r="Z8" s="373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2" t="str">
        <f t="shared" ref="Q9:Q14" si="6">B9</f>
        <v>用途</v>
      </c>
      <c r="R9" s="700" t="s">
        <v>14</v>
      </c>
      <c r="S9" s="701">
        <f t="shared" si="0"/>
        <v>100</v>
      </c>
      <c r="T9" s="700" t="s">
        <v>14</v>
      </c>
      <c r="U9" s="701">
        <f t="shared" si="1"/>
        <v>100</v>
      </c>
      <c r="V9" s="700" t="s">
        <v>14</v>
      </c>
      <c r="W9" s="701">
        <f t="shared" si="2"/>
        <v>100</v>
      </c>
      <c r="X9" s="702"/>
      <c r="Y9" s="3554"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2" t="str">
        <f t="shared" si="6"/>
        <v>土地使用年限（年）</v>
      </c>
      <c r="R10" s="700" t="s">
        <v>14</v>
      </c>
      <c r="S10" s="701">
        <f t="shared" si="0"/>
        <v>100</v>
      </c>
      <c r="T10" s="700" t="s">
        <v>14</v>
      </c>
      <c r="U10" s="701">
        <f t="shared" si="1"/>
        <v>100</v>
      </c>
      <c r="V10" s="700" t="s">
        <v>14</v>
      </c>
      <c r="W10" s="701">
        <f t="shared" si="2"/>
        <v>100</v>
      </c>
      <c r="X10" s="702"/>
      <c r="Y10" s="355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2">
        <f t="shared" si="6"/>
        <v>111</v>
      </c>
      <c r="R11" s="700" t="s">
        <v>14</v>
      </c>
      <c r="S11" s="701">
        <f t="shared" si="0"/>
        <v>100</v>
      </c>
      <c r="T11" s="700" t="s">
        <v>14</v>
      </c>
      <c r="U11" s="701">
        <f t="shared" si="1"/>
        <v>100</v>
      </c>
      <c r="V11" s="700" t="s">
        <v>14</v>
      </c>
      <c r="W11" s="701">
        <f t="shared" si="2"/>
        <v>100</v>
      </c>
      <c r="X11" s="702"/>
      <c r="Y11" s="355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1"/>
      <c r="Q15" s="1351"/>
      <c r="R15" s="704"/>
      <c r="S15" s="705"/>
      <c r="T15" s="704"/>
      <c r="U15" s="705"/>
      <c r="V15" s="704"/>
      <c r="W15" s="705"/>
      <c r="X15" s="1354"/>
      <c r="Y15" s="370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1"/>
      <c r="Q17" s="1351"/>
      <c r="R17" s="704"/>
      <c r="S17" s="705"/>
      <c r="T17" s="704"/>
      <c r="U17" s="705"/>
      <c r="V17" s="704"/>
      <c r="W17" s="705"/>
      <c r="X17" s="1354"/>
      <c r="Y17" s="370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1"/>
      <c r="Q19" s="1351"/>
      <c r="R19" s="704"/>
      <c r="S19" s="705"/>
      <c r="T19" s="704"/>
      <c r="U19" s="705"/>
      <c r="V19" s="704"/>
      <c r="W19" s="705"/>
      <c r="X19" s="1354"/>
      <c r="Y19" s="370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1"/>
      <c r="Q21" s="1351"/>
      <c r="R21" s="704"/>
      <c r="S21" s="705"/>
      <c r="T21" s="704"/>
      <c r="U21" s="705"/>
      <c r="V21" s="704"/>
      <c r="W21" s="705"/>
      <c r="X21" s="1354"/>
      <c r="Y21" s="370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1">
        <f t="shared" ref="Q24:Q34"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6" t="str">
        <f t="shared" si="11"/>
        <v>成新率</v>
      </c>
      <c r="R27" s="707" t="s">
        <v>14</v>
      </c>
      <c r="S27" s="708" t="e">
        <f t="shared" si="12"/>
        <v>#N/A</v>
      </c>
      <c r="T27" s="707" t="s">
        <v>14</v>
      </c>
      <c r="U27" s="708" t="e">
        <f t="shared" si="13"/>
        <v>#N/A</v>
      </c>
      <c r="V27" s="707" t="s">
        <v>14</v>
      </c>
      <c r="W27" s="708" t="e">
        <f t="shared" si="14"/>
        <v>#N/A</v>
      </c>
      <c r="X27" s="709"/>
      <c r="Y27" s="370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1" t="str">
        <f t="shared" si="11"/>
        <v>物业等级</v>
      </c>
      <c r="R28" s="704" t="s">
        <v>14</v>
      </c>
      <c r="S28" s="705">
        <f t="shared" si="12"/>
        <v>100</v>
      </c>
      <c r="T28" s="704" t="s">
        <v>14</v>
      </c>
      <c r="U28" s="705">
        <f t="shared" si="13"/>
        <v>100</v>
      </c>
      <c r="V28" s="704" t="s">
        <v>14</v>
      </c>
      <c r="W28" s="705">
        <f t="shared" si="14"/>
        <v>100</v>
      </c>
      <c r="X28" s="1354"/>
      <c r="Y28" s="370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5"/>
      <c r="Q29" s="1351" t="str">
        <f t="shared" si="11"/>
        <v>有无电梯</v>
      </c>
      <c r="R29" s="704" t="s">
        <v>14</v>
      </c>
      <c r="S29" s="705">
        <f t="shared" si="12"/>
        <v>100</v>
      </c>
      <c r="T29" s="704" t="s">
        <v>14</v>
      </c>
      <c r="U29" s="705">
        <f t="shared" si="13"/>
        <v>100</v>
      </c>
      <c r="V29" s="704" t="s">
        <v>14</v>
      </c>
      <c r="W29" s="705">
        <f t="shared" si="14"/>
        <v>100</v>
      </c>
      <c r="X29" s="1354"/>
      <c r="Y29" s="370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1" t="str">
        <f t="shared" si="11"/>
        <v>建筑面积</v>
      </c>
      <c r="R30" s="704" t="s">
        <v>14</v>
      </c>
      <c r="S30" s="705" t="e">
        <f t="shared" si="12"/>
        <v>#N/A</v>
      </c>
      <c r="T30" s="704" t="s">
        <v>14</v>
      </c>
      <c r="U30" s="705" t="e">
        <f t="shared" si="13"/>
        <v>#N/A</v>
      </c>
      <c r="V30" s="704" t="s">
        <v>14</v>
      </c>
      <c r="W30" s="705" t="e">
        <f t="shared" si="14"/>
        <v>#N/A</v>
      </c>
      <c r="X30" s="1354"/>
      <c r="Y30" s="370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5"/>
      <c r="Q31" s="1342" t="str">
        <f t="shared" si="11"/>
        <v>是否封闭</v>
      </c>
      <c r="R31" s="700" t="s">
        <v>14</v>
      </c>
      <c r="S31" s="701">
        <f t="shared" si="12"/>
        <v>100</v>
      </c>
      <c r="T31" s="700" t="s">
        <v>14</v>
      </c>
      <c r="U31" s="701">
        <f t="shared" si="13"/>
        <v>100</v>
      </c>
      <c r="V31" s="700" t="s">
        <v>14</v>
      </c>
      <c r="W31" s="701">
        <f t="shared" si="14"/>
        <v>100</v>
      </c>
      <c r="X31" s="702"/>
      <c r="Y31" s="370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1">
        <f t="shared" si="11"/>
        <v>111</v>
      </c>
      <c r="R32" s="704" t="s">
        <v>14</v>
      </c>
      <c r="S32" s="705">
        <f t="shared" si="12"/>
        <v>100</v>
      </c>
      <c r="T32" s="704" t="s">
        <v>14</v>
      </c>
      <c r="U32" s="705">
        <f t="shared" si="13"/>
        <v>100</v>
      </c>
      <c r="V32" s="704" t="s">
        <v>14</v>
      </c>
      <c r="W32" s="705">
        <f t="shared" si="14"/>
        <v>100</v>
      </c>
      <c r="X32" s="1354"/>
      <c r="Y32" s="370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1">
        <f t="shared" si="11"/>
        <v>111</v>
      </c>
      <c r="R33" s="704" t="s">
        <v>14</v>
      </c>
      <c r="S33" s="705">
        <f t="shared" si="12"/>
        <v>100</v>
      </c>
      <c r="T33" s="704" t="s">
        <v>14</v>
      </c>
      <c r="U33" s="705">
        <f t="shared" si="13"/>
        <v>100</v>
      </c>
      <c r="V33" s="704" t="s">
        <v>14</v>
      </c>
      <c r="W33" s="705">
        <f t="shared" si="14"/>
        <v>100</v>
      </c>
      <c r="X33" s="1354"/>
      <c r="Y33" s="370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8" t="str">
        <f>A35</f>
        <v>成交单价（元/平方米）</v>
      </c>
      <c r="Q35" s="3698"/>
      <c r="R35" s="3699">
        <f>E35</f>
        <v>0</v>
      </c>
      <c r="S35" s="3699"/>
      <c r="T35" s="3699">
        <f>G35</f>
        <v>0</v>
      </c>
      <c r="U35" s="3699"/>
      <c r="V35" s="3699">
        <f>I35</f>
        <v>0</v>
      </c>
      <c r="W35" s="369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5" t="str">
        <f>A37</f>
        <v>估价对象XX用房的比较价值（楼面单价，元/平方米）</v>
      </c>
      <c r="Q37" s="3696"/>
      <c r="R37" s="3758" t="e">
        <f>IF(F1="售价",ROUND(IF(D36="简单平均",AVERAGE(R36:W36),R36*F36+T36*H36+V36*J36),0),ROUND(IF(D36="简单平均",AVERAGE(R36:V36),R36*F36+T36*H36+V36*J36),1))</f>
        <v>#DIV/0!</v>
      </c>
      <c r="S37" s="3758"/>
      <c r="T37" s="3758"/>
      <c r="U37" s="3758"/>
      <c r="V37" s="3758"/>
      <c r="W37" s="375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4"/>
      <c r="M6" s="2715"/>
      <c r="N6" s="2715"/>
      <c r="O6" s="2715"/>
      <c r="P6" s="3721"/>
      <c r="Q6" s="3722"/>
      <c r="R6" s="3725"/>
      <c r="S6" s="3726"/>
      <c r="T6" s="3727"/>
      <c r="U6" s="3728"/>
      <c r="V6" s="3729"/>
      <c r="W6" s="3729"/>
      <c r="X6" s="1354"/>
      <c r="Y6" s="3727"/>
      <c r="Z6" s="3728"/>
      <c r="AA6" s="3712"/>
      <c r="AB6" s="3712"/>
      <c r="AC6" s="3712"/>
    </row>
    <row r="7" spans="1:30" s="108" customFormat="1" ht="15.75" thickBot="1">
      <c r="A7" s="362" t="s">
        <v>1679</v>
      </c>
      <c r="B7" s="363"/>
      <c r="C7" s="364">
        <f>'数据-取费表'!B2</f>
        <v>45163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4" t="s">
        <v>1683</v>
      </c>
      <c r="Q8" s="3735"/>
      <c r="R8" s="700" t="s">
        <v>14</v>
      </c>
      <c r="S8" s="701">
        <f t="shared" si="0"/>
        <v>0</v>
      </c>
      <c r="T8" s="700" t="s">
        <v>14</v>
      </c>
      <c r="U8" s="701">
        <f t="shared" si="1"/>
        <v>0</v>
      </c>
      <c r="V8" s="700" t="s">
        <v>14</v>
      </c>
      <c r="W8" s="701">
        <f t="shared" si="2"/>
        <v>0</v>
      </c>
      <c r="X8" s="702"/>
      <c r="Y8" s="3734" t="s">
        <v>1683</v>
      </c>
      <c r="Z8" s="373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136</v>
      </c>
      <c r="G10" s="414"/>
      <c r="H10" s="127">
        <f>ROUND(100/'数据-取费表'!G16,0)</f>
        <v>136</v>
      </c>
      <c r="I10" s="414"/>
      <c r="J10" s="127">
        <f>ROUND(100/'数据-取费表'!G16,0)</f>
        <v>136</v>
      </c>
      <c r="K10" s="619"/>
      <c r="L10" s="2718"/>
      <c r="M10" s="2719"/>
      <c r="N10" s="2719"/>
      <c r="O10" s="2772"/>
      <c r="P10" s="3698"/>
      <c r="Q10" s="1342" t="str">
        <f t="shared" si="6"/>
        <v>土地使用年限（年）</v>
      </c>
      <c r="R10" s="700" t="s">
        <v>14</v>
      </c>
      <c r="S10" s="701">
        <f t="shared" si="0"/>
        <v>136</v>
      </c>
      <c r="T10" s="700" t="s">
        <v>14</v>
      </c>
      <c r="U10" s="701">
        <f t="shared" si="1"/>
        <v>136</v>
      </c>
      <c r="V10" s="700" t="s">
        <v>14</v>
      </c>
      <c r="W10" s="701">
        <f t="shared" si="2"/>
        <v>136</v>
      </c>
      <c r="X10" s="702"/>
      <c r="Y10" s="3554"/>
      <c r="Z10" s="52" t="str">
        <f t="shared" si="7"/>
        <v>土地使用年限（年）</v>
      </c>
      <c r="AA10" s="703">
        <f t="shared" si="3"/>
        <v>0.73529411764705888</v>
      </c>
      <c r="AB10" s="703">
        <f t="shared" si="4"/>
        <v>0.73529411764705888</v>
      </c>
      <c r="AC10" s="703">
        <f t="shared" si="5"/>
        <v>0.73529411764705888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8"/>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8"/>
      <c r="Q12" s="1342" t="str">
        <f t="shared" si="6"/>
        <v>配建</v>
      </c>
      <c r="R12" s="700" t="s">
        <v>14</v>
      </c>
      <c r="S12" s="701">
        <f t="shared" si="0"/>
        <v>100</v>
      </c>
      <c r="T12" s="700" t="s">
        <v>14</v>
      </c>
      <c r="U12" s="701">
        <f t="shared" si="1"/>
        <v>100</v>
      </c>
      <c r="V12" s="700" t="s">
        <v>14</v>
      </c>
      <c r="W12" s="701">
        <f t="shared" si="2"/>
        <v>100</v>
      </c>
      <c r="X12" s="702"/>
      <c r="Y12" s="355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0" t="s">
        <v>1691</v>
      </c>
      <c r="Q15" s="1351" t="str">
        <f t="shared" si="6"/>
        <v>居住社区成熟度</v>
      </c>
      <c r="R15" s="704" t="s">
        <v>14</v>
      </c>
      <c r="S15" s="705">
        <f t="shared" si="0"/>
        <v>100</v>
      </c>
      <c r="T15" s="704" t="s">
        <v>14</v>
      </c>
      <c r="U15" s="705">
        <f t="shared" si="1"/>
        <v>100</v>
      </c>
      <c r="V15" s="704" t="s">
        <v>14</v>
      </c>
      <c r="W15" s="705">
        <f t="shared" si="2"/>
        <v>100</v>
      </c>
      <c r="X15" s="1354"/>
      <c r="Y15" s="370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1"/>
      <c r="Q16" s="1351"/>
      <c r="R16" s="704"/>
      <c r="S16" s="705"/>
      <c r="T16" s="704"/>
      <c r="U16" s="705"/>
      <c r="V16" s="704"/>
      <c r="W16" s="705"/>
      <c r="X16" s="1354"/>
      <c r="Y16" s="370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1"/>
      <c r="Q17" s="1351" t="str">
        <f>B17</f>
        <v>商业繁华度</v>
      </c>
      <c r="R17" s="704" t="s">
        <v>14</v>
      </c>
      <c r="S17" s="705">
        <f>F17</f>
        <v>100</v>
      </c>
      <c r="T17" s="704" t="s">
        <v>14</v>
      </c>
      <c r="U17" s="705">
        <f>H17</f>
        <v>100</v>
      </c>
      <c r="V17" s="704" t="s">
        <v>14</v>
      </c>
      <c r="W17" s="705">
        <f>J17</f>
        <v>100</v>
      </c>
      <c r="X17" s="1354"/>
      <c r="Y17" s="370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1"/>
      <c r="Q18" s="1351"/>
      <c r="R18" s="704"/>
      <c r="S18" s="705"/>
      <c r="T18" s="704"/>
      <c r="U18" s="705"/>
      <c r="V18" s="704"/>
      <c r="W18" s="705"/>
      <c r="X18" s="1354"/>
      <c r="Y18" s="370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1"/>
      <c r="Q19" s="1351" t="str">
        <f>B19</f>
        <v>办公集聚程度</v>
      </c>
      <c r="R19" s="704" t="s">
        <v>14</v>
      </c>
      <c r="S19" s="705">
        <f>F19</f>
        <v>100</v>
      </c>
      <c r="T19" s="704" t="s">
        <v>14</v>
      </c>
      <c r="U19" s="705">
        <f>H19</f>
        <v>100</v>
      </c>
      <c r="V19" s="704" t="s">
        <v>14</v>
      </c>
      <c r="W19" s="705">
        <f>J19</f>
        <v>100</v>
      </c>
      <c r="X19" s="1354"/>
      <c r="Y19" s="370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1"/>
      <c r="Q20" s="1351"/>
      <c r="R20" s="704"/>
      <c r="S20" s="705"/>
      <c r="T20" s="704"/>
      <c r="U20" s="705"/>
      <c r="V20" s="704"/>
      <c r="W20" s="705"/>
      <c r="X20" s="1354"/>
      <c r="Y20" s="370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1"/>
      <c r="Q21" s="1351" t="str">
        <f>B21</f>
        <v>交通便捷度</v>
      </c>
      <c r="R21" s="704" t="s">
        <v>14</v>
      </c>
      <c r="S21" s="705">
        <f>F21</f>
        <v>100</v>
      </c>
      <c r="T21" s="704" t="s">
        <v>14</v>
      </c>
      <c r="U21" s="705">
        <f>H21</f>
        <v>100</v>
      </c>
      <c r="V21" s="704" t="s">
        <v>14</v>
      </c>
      <c r="W21" s="705">
        <f>J21</f>
        <v>100</v>
      </c>
      <c r="X21" s="1354"/>
      <c r="Y21" s="370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1"/>
      <c r="Q22" s="1351"/>
      <c r="R22" s="704"/>
      <c r="S22" s="705"/>
      <c r="T22" s="704"/>
      <c r="U22" s="705"/>
      <c r="V22" s="704"/>
      <c r="W22" s="705"/>
      <c r="X22" s="1354"/>
      <c r="Y22" s="370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1"/>
      <c r="Q23" s="1351" t="str">
        <f t="shared" ref="Q23:Q37" si="8">B23</f>
        <v>区域土地利用方向</v>
      </c>
      <c r="R23" s="704" t="s">
        <v>14</v>
      </c>
      <c r="S23" s="705">
        <f>F23</f>
        <v>100</v>
      </c>
      <c r="T23" s="704" t="s">
        <v>14</v>
      </c>
      <c r="U23" s="705">
        <f>H23</f>
        <v>100</v>
      </c>
      <c r="V23" s="704" t="s">
        <v>14</v>
      </c>
      <c r="W23" s="705">
        <f>J23</f>
        <v>100</v>
      </c>
      <c r="X23" s="1354"/>
      <c r="Y23" s="370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1"/>
      <c r="Q24" s="1351"/>
      <c r="R24" s="704"/>
      <c r="S24" s="705"/>
      <c r="T24" s="704"/>
      <c r="U24" s="705"/>
      <c r="V24" s="704"/>
      <c r="W24" s="705"/>
      <c r="X24" s="1354"/>
      <c r="Y24" s="370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1"/>
      <c r="Q25" s="1351" t="str">
        <f t="shared" si="8"/>
        <v>自然及人文环境状况</v>
      </c>
      <c r="R25" s="704" t="s">
        <v>14</v>
      </c>
      <c r="S25" s="705">
        <f>F25</f>
        <v>100</v>
      </c>
      <c r="T25" s="704" t="s">
        <v>14</v>
      </c>
      <c r="U25" s="705">
        <f>H25</f>
        <v>100</v>
      </c>
      <c r="V25" s="704" t="s">
        <v>14</v>
      </c>
      <c r="W25" s="705">
        <f>J25</f>
        <v>100</v>
      </c>
      <c r="X25" s="1354"/>
      <c r="Y25" s="370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1"/>
      <c r="Q26" s="1351"/>
      <c r="R26" s="704"/>
      <c r="S26" s="705"/>
      <c r="T26" s="704"/>
      <c r="U26" s="705"/>
      <c r="V26" s="704"/>
      <c r="W26" s="705"/>
      <c r="X26" s="1354"/>
      <c r="Y26" s="3701"/>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1"/>
      <c r="Q27" s="1342" t="str">
        <f t="shared" si="8"/>
        <v>公共配套设施</v>
      </c>
      <c r="R27" s="700" t="s">
        <v>14</v>
      </c>
      <c r="S27" s="701">
        <f>F27</f>
        <v>100</v>
      </c>
      <c r="T27" s="700" t="s">
        <v>14</v>
      </c>
      <c r="U27" s="701">
        <f>H27</f>
        <v>100</v>
      </c>
      <c r="V27" s="700" t="s">
        <v>14</v>
      </c>
      <c r="W27" s="701">
        <f>J27</f>
        <v>100</v>
      </c>
      <c r="X27" s="702"/>
      <c r="Y27" s="370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1"/>
      <c r="Q28" s="1342"/>
      <c r="R28" s="700"/>
      <c r="S28" s="701"/>
      <c r="T28" s="700"/>
      <c r="U28" s="701"/>
      <c r="V28" s="700"/>
      <c r="W28" s="701"/>
      <c r="X28" s="702"/>
      <c r="Y28" s="370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1"/>
      <c r="Q29" s="1342" t="str">
        <f t="shared" ref="Q29" si="9">B29</f>
        <v>基础设施水平</v>
      </c>
      <c r="R29" s="700" t="s">
        <v>14</v>
      </c>
      <c r="S29" s="701">
        <f>F29</f>
        <v>100</v>
      </c>
      <c r="T29" s="700" t="s">
        <v>14</v>
      </c>
      <c r="U29" s="701">
        <f>H29</f>
        <v>100</v>
      </c>
      <c r="V29" s="700" t="s">
        <v>14</v>
      </c>
      <c r="W29" s="701">
        <f>J29</f>
        <v>100</v>
      </c>
      <c r="X29" s="702"/>
      <c r="Y29" s="370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1"/>
      <c r="Q30" s="1342"/>
      <c r="R30" s="700"/>
      <c r="S30" s="701"/>
      <c r="T30" s="700"/>
      <c r="U30" s="701"/>
      <c r="V30" s="700"/>
      <c r="W30" s="701"/>
      <c r="X30" s="702"/>
      <c r="Y30" s="370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1"/>
      <c r="Q32" s="1351" t="str">
        <f t="shared" si="8"/>
        <v>毗邻道路的类型与等级</v>
      </c>
      <c r="R32" s="704" t="s">
        <v>14</v>
      </c>
      <c r="S32" s="705">
        <f t="shared" si="10"/>
        <v>100</v>
      </c>
      <c r="T32" s="704" t="s">
        <v>14</v>
      </c>
      <c r="U32" s="705">
        <f t="shared" si="11"/>
        <v>100</v>
      </c>
      <c r="V32" s="704" t="s">
        <v>14</v>
      </c>
      <c r="W32" s="705">
        <f t="shared" si="12"/>
        <v>100</v>
      </c>
      <c r="X32" s="1354"/>
      <c r="Y32" s="370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1"/>
      <c r="Q33" s="1351"/>
      <c r="R33" s="704"/>
      <c r="S33" s="705"/>
      <c r="T33" s="704"/>
      <c r="U33" s="705"/>
      <c r="V33" s="704"/>
      <c r="W33" s="705"/>
      <c r="X33" s="1354"/>
      <c r="Y33" s="370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1"/>
      <c r="Q34" s="1351" t="str">
        <f t="shared" si="8"/>
        <v>土地级别</v>
      </c>
      <c r="R34" s="704" t="s">
        <v>14</v>
      </c>
      <c r="S34" s="705">
        <f t="shared" si="10"/>
        <v>100</v>
      </c>
      <c r="T34" s="704" t="s">
        <v>14</v>
      </c>
      <c r="U34" s="705">
        <f t="shared" si="11"/>
        <v>100</v>
      </c>
      <c r="V34" s="704" t="s">
        <v>14</v>
      </c>
      <c r="W34" s="705">
        <f t="shared" si="12"/>
        <v>100</v>
      </c>
      <c r="X34" s="1354"/>
      <c r="Y34" s="370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1"/>
      <c r="Q35" s="1351">
        <f t="shared" si="8"/>
        <v>111</v>
      </c>
      <c r="R35" s="704" t="s">
        <v>14</v>
      </c>
      <c r="S35" s="705">
        <f t="shared" si="10"/>
        <v>100</v>
      </c>
      <c r="T35" s="704" t="s">
        <v>14</v>
      </c>
      <c r="U35" s="705">
        <f t="shared" si="11"/>
        <v>100</v>
      </c>
      <c r="V35" s="704" t="s">
        <v>14</v>
      </c>
      <c r="W35" s="705">
        <f t="shared" si="12"/>
        <v>100</v>
      </c>
      <c r="X35" s="1354"/>
      <c r="Y35" s="370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7" t="s">
        <v>1696</v>
      </c>
      <c r="Q36" s="1351">
        <f t="shared" si="8"/>
        <v>111</v>
      </c>
      <c r="R36" s="704" t="s">
        <v>14</v>
      </c>
      <c r="S36" s="705">
        <f t="shared" si="10"/>
        <v>100</v>
      </c>
      <c r="T36" s="704" t="s">
        <v>14</v>
      </c>
      <c r="U36" s="705">
        <f t="shared" si="11"/>
        <v>100</v>
      </c>
      <c r="V36" s="704" t="s">
        <v>14</v>
      </c>
      <c r="W36" s="705">
        <f t="shared" si="12"/>
        <v>100</v>
      </c>
      <c r="X36" s="1354"/>
      <c r="Y36" s="370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5"/>
      <c r="Q37" s="1351">
        <f t="shared" si="8"/>
        <v>111</v>
      </c>
      <c r="R37" s="707" t="s">
        <v>14</v>
      </c>
      <c r="S37" s="708">
        <f t="shared" si="10"/>
        <v>100</v>
      </c>
      <c r="T37" s="707" t="s">
        <v>14</v>
      </c>
      <c r="U37" s="708">
        <f t="shared" si="11"/>
        <v>100</v>
      </c>
      <c r="V37" s="707" t="s">
        <v>14</v>
      </c>
      <c r="W37" s="708">
        <f t="shared" si="12"/>
        <v>100</v>
      </c>
      <c r="X37" s="709"/>
      <c r="Y37" s="370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5"/>
      <c r="Q38" s="1351" t="str">
        <f>B38</f>
        <v>宗地面积</v>
      </c>
      <c r="R38" s="704" t="s">
        <v>14</v>
      </c>
      <c r="S38" s="705" t="e">
        <f t="shared" si="10"/>
        <v>#N/A</v>
      </c>
      <c r="T38" s="704" t="s">
        <v>14</v>
      </c>
      <c r="U38" s="705" t="e">
        <f t="shared" si="11"/>
        <v>#N/A</v>
      </c>
      <c r="V38" s="704" t="s">
        <v>14</v>
      </c>
      <c r="W38" s="705" t="e">
        <f t="shared" si="12"/>
        <v>#N/A</v>
      </c>
      <c r="X38" s="1354"/>
      <c r="Y38" s="370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5"/>
      <c r="Q39" s="1351" t="str">
        <f t="shared" ref="Q39:Q45" si="14">B39</f>
        <v>宗地形状</v>
      </c>
      <c r="R39" s="704" t="s">
        <v>14</v>
      </c>
      <c r="S39" s="705">
        <f t="shared" si="10"/>
        <v>100</v>
      </c>
      <c r="T39" s="704" t="s">
        <v>14</v>
      </c>
      <c r="U39" s="705">
        <f t="shared" si="11"/>
        <v>100</v>
      </c>
      <c r="V39" s="704" t="s">
        <v>14</v>
      </c>
      <c r="W39" s="705">
        <f t="shared" si="12"/>
        <v>100</v>
      </c>
      <c r="X39" s="1354"/>
      <c r="Y39" s="370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5"/>
      <c r="Q40" s="1351" t="str">
        <f t="shared" si="14"/>
        <v>临街宽度及深度</v>
      </c>
      <c r="R40" s="704" t="s">
        <v>14</v>
      </c>
      <c r="S40" s="705">
        <f t="shared" si="10"/>
        <v>100</v>
      </c>
      <c r="T40" s="704" t="s">
        <v>14</v>
      </c>
      <c r="U40" s="705">
        <f t="shared" si="11"/>
        <v>100</v>
      </c>
      <c r="V40" s="704" t="s">
        <v>14</v>
      </c>
      <c r="W40" s="705">
        <f t="shared" si="12"/>
        <v>100</v>
      </c>
      <c r="X40" s="1354"/>
      <c r="Y40" s="370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5"/>
      <c r="Q41" s="1351" t="str">
        <f t="shared" si="14"/>
        <v>宗地开发程度</v>
      </c>
      <c r="R41" s="700" t="s">
        <v>14</v>
      </c>
      <c r="S41" s="701">
        <f t="shared" si="10"/>
        <v>100</v>
      </c>
      <c r="T41" s="700" t="s">
        <v>14</v>
      </c>
      <c r="U41" s="701">
        <f t="shared" si="11"/>
        <v>100</v>
      </c>
      <c r="V41" s="700" t="s">
        <v>14</v>
      </c>
      <c r="W41" s="701">
        <f t="shared" si="12"/>
        <v>100</v>
      </c>
      <c r="X41" s="702"/>
      <c r="Y41" s="370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5" t="s">
        <v>1696</v>
      </c>
      <c r="Q42" s="1351" t="str">
        <f t="shared" si="14"/>
        <v>工程地质条件</v>
      </c>
      <c r="R42" s="704" t="s">
        <v>14</v>
      </c>
      <c r="S42" s="705">
        <f t="shared" si="10"/>
        <v>100</v>
      </c>
      <c r="T42" s="704" t="s">
        <v>14</v>
      </c>
      <c r="U42" s="705">
        <f t="shared" si="11"/>
        <v>100</v>
      </c>
      <c r="V42" s="704" t="s">
        <v>14</v>
      </c>
      <c r="W42" s="705">
        <f t="shared" si="12"/>
        <v>100</v>
      </c>
      <c r="X42" s="1354"/>
      <c r="Y42" s="370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5"/>
      <c r="Q43" s="1351">
        <f t="shared" si="14"/>
        <v>111</v>
      </c>
      <c r="R43" s="704" t="s">
        <v>14</v>
      </c>
      <c r="S43" s="705">
        <f t="shared" si="10"/>
        <v>100</v>
      </c>
      <c r="T43" s="704" t="s">
        <v>14</v>
      </c>
      <c r="U43" s="705">
        <f t="shared" si="11"/>
        <v>100</v>
      </c>
      <c r="V43" s="704" t="s">
        <v>14</v>
      </c>
      <c r="W43" s="705">
        <f t="shared" si="12"/>
        <v>100</v>
      </c>
      <c r="X43" s="1354"/>
      <c r="Y43" s="370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5"/>
      <c r="Q44" s="1351">
        <f t="shared" si="14"/>
        <v>111</v>
      </c>
      <c r="R44" s="704" t="s">
        <v>14</v>
      </c>
      <c r="S44" s="705">
        <f t="shared" si="10"/>
        <v>100</v>
      </c>
      <c r="T44" s="704" t="s">
        <v>14</v>
      </c>
      <c r="U44" s="705">
        <f t="shared" si="11"/>
        <v>100</v>
      </c>
      <c r="V44" s="704" t="s">
        <v>14</v>
      </c>
      <c r="W44" s="705">
        <f t="shared" si="12"/>
        <v>100</v>
      </c>
      <c r="X44" s="1354"/>
      <c r="Y44" s="370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5"/>
      <c r="Q45" s="1351">
        <f t="shared" si="14"/>
        <v>111</v>
      </c>
      <c r="R45" s="707" t="s">
        <v>14</v>
      </c>
      <c r="S45" s="708">
        <f t="shared" si="10"/>
        <v>100</v>
      </c>
      <c r="T45" s="707" t="s">
        <v>14</v>
      </c>
      <c r="U45" s="708">
        <f t="shared" si="11"/>
        <v>100</v>
      </c>
      <c r="V45" s="707" t="s">
        <v>14</v>
      </c>
      <c r="W45" s="708">
        <f t="shared" si="12"/>
        <v>100</v>
      </c>
      <c r="X45" s="709"/>
      <c r="Y45" s="370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8" t="str">
        <f>A46</f>
        <v>成交单价</v>
      </c>
      <c r="Q46" s="3698"/>
      <c r="R46" s="3729">
        <f>E46</f>
        <v>0</v>
      </c>
      <c r="S46" s="3729"/>
      <c r="T46" s="3729">
        <f>G46</f>
        <v>0</v>
      </c>
      <c r="U46" s="3729"/>
      <c r="V46" s="3729">
        <f>I46</f>
        <v>0</v>
      </c>
      <c r="W46" s="3729"/>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8" t="str">
        <f>A47</f>
        <v>比较价值（元/平方米）</v>
      </c>
      <c r="Q47" s="3698"/>
      <c r="R47" s="3759" t="e">
        <f>ROUND(PRODUCT(R46,AA7:AA45),0)</f>
        <v>#DIV/0!</v>
      </c>
      <c r="S47" s="3759"/>
      <c r="T47" s="3759" t="e">
        <f>ROUND(PRODUCT(T46,AB7:AB45),0)</f>
        <v>#DIV/0!</v>
      </c>
      <c r="U47" s="3759"/>
      <c r="V47" s="3759" t="e">
        <f>ROUND(PRODUCT(V46,AC7:AC45),0)</f>
        <v>#DIV/0!</v>
      </c>
      <c r="W47" s="375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5" t="str">
        <f>A48</f>
        <v>估价对象XX用房的比较价值（楼面单价，元/平方米）</v>
      </c>
      <c r="Q48" s="3696"/>
      <c r="R48" s="3760" t="e">
        <f>ROUND(IF(D47="简单平均",AVERAGE(R47:W47),R47*F47+T47*H47+V47*J47),0)</f>
        <v>#DIV/0!</v>
      </c>
      <c r="S48" s="3760"/>
      <c r="T48" s="3760"/>
      <c r="U48" s="3760"/>
      <c r="V48" s="3760"/>
      <c r="W48" s="376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3" t="s">
        <v>1887</v>
      </c>
      <c r="H55" s="376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1056.2</v>
      </c>
      <c r="F56" s="885" t="e">
        <f t="shared" ref="F56:F64" si="15">ROUND(B56*E56/10000,0)</f>
        <v>#DIV/0!</v>
      </c>
      <c r="G56" s="3709"/>
      <c r="H56" s="369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1056.2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4"/>
      <c r="M4" s="2715"/>
      <c r="N4" s="2715"/>
      <c r="O4" s="2715"/>
      <c r="P4" s="3717" t="s">
        <v>1775</v>
      </c>
      <c r="Q4" s="3718"/>
      <c r="R4" s="3723" t="s">
        <v>1771</v>
      </c>
      <c r="S4" s="3724"/>
      <c r="T4" s="3723" t="s">
        <v>1772</v>
      </c>
      <c r="U4" s="3724"/>
      <c r="V4" s="3729" t="s">
        <v>1773</v>
      </c>
      <c r="W4" s="3729"/>
      <c r="X4" s="1354"/>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4"/>
      <c r="M5" s="2715"/>
      <c r="N5" s="2715"/>
      <c r="O5" s="2715"/>
      <c r="P5" s="3719"/>
      <c r="Q5" s="3720"/>
      <c r="R5" s="3725"/>
      <c r="S5" s="3726"/>
      <c r="T5" s="3725"/>
      <c r="U5" s="3726"/>
      <c r="V5" s="3729"/>
      <c r="W5" s="3729"/>
      <c r="X5" s="1354"/>
      <c r="Y5" s="3725"/>
      <c r="Z5" s="3726"/>
      <c r="AA5" s="3711"/>
      <c r="AB5" s="3711"/>
      <c r="AC5" s="3711"/>
    </row>
    <row r="6" spans="1:29" ht="15.75" thickBot="1">
      <c r="A6" s="360"/>
      <c r="B6" s="361"/>
      <c r="C6" s="3762" t="s">
        <v>1919</v>
      </c>
      <c r="D6" s="3763"/>
      <c r="E6" s="3764" t="s">
        <v>1919</v>
      </c>
      <c r="F6" s="3765"/>
      <c r="G6" s="3762" t="s">
        <v>1919</v>
      </c>
      <c r="H6" s="3763"/>
      <c r="I6" s="3762" t="s">
        <v>1919</v>
      </c>
      <c r="J6" s="3763"/>
      <c r="K6" s="559" t="s">
        <v>1678</v>
      </c>
      <c r="L6" s="2714"/>
      <c r="M6" s="2715"/>
      <c r="N6" s="2715"/>
      <c r="O6" s="2715"/>
      <c r="P6" s="3721"/>
      <c r="Q6" s="3722"/>
      <c r="R6" s="3725"/>
      <c r="S6" s="3726"/>
      <c r="T6" s="3727"/>
      <c r="U6" s="3728"/>
      <c r="V6" s="3729"/>
      <c r="W6" s="3729"/>
      <c r="X6" s="1354"/>
      <c r="Y6" s="3727"/>
      <c r="Z6" s="3728"/>
      <c r="AA6" s="3712"/>
      <c r="AB6" s="3712"/>
      <c r="AC6" s="3712"/>
    </row>
    <row r="7" spans="1:29" s="108" customFormat="1" ht="15.75" thickBot="1">
      <c r="A7" s="362" t="s">
        <v>1679</v>
      </c>
      <c r="B7" s="363"/>
      <c r="C7" s="364">
        <f>'数据-取费表'!B2</f>
        <v>45163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34" t="s">
        <v>1680</v>
      </c>
      <c r="Q7" s="3736"/>
      <c r="R7" s="700" t="s">
        <v>14</v>
      </c>
      <c r="S7" s="701">
        <f t="shared" ref="S7:S15" si="0">F7</f>
        <v>0</v>
      </c>
      <c r="T7" s="700" t="s">
        <v>14</v>
      </c>
      <c r="U7" s="701">
        <f t="shared" ref="U7:U15" si="1">H7</f>
        <v>0</v>
      </c>
      <c r="V7" s="700" t="s">
        <v>14</v>
      </c>
      <c r="W7" s="701">
        <f t="shared" ref="W7:W15" si="2">J7</f>
        <v>0</v>
      </c>
      <c r="X7" s="702"/>
      <c r="Y7" s="3734" t="s">
        <v>1680</v>
      </c>
      <c r="Z7" s="373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4" t="s">
        <v>1683</v>
      </c>
      <c r="Q8" s="3735"/>
      <c r="R8" s="700" t="s">
        <v>14</v>
      </c>
      <c r="S8" s="701">
        <f t="shared" si="0"/>
        <v>0</v>
      </c>
      <c r="T8" s="700" t="s">
        <v>14</v>
      </c>
      <c r="U8" s="701">
        <f t="shared" si="1"/>
        <v>0</v>
      </c>
      <c r="V8" s="700" t="s">
        <v>14</v>
      </c>
      <c r="W8" s="701">
        <f t="shared" si="2"/>
        <v>0</v>
      </c>
      <c r="X8" s="702"/>
      <c r="Y8" s="3734" t="s">
        <v>1683</v>
      </c>
      <c r="Z8" s="373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8" t="s">
        <v>1686</v>
      </c>
      <c r="Q9" s="1342" t="str">
        <f t="shared" ref="Q9:Q15" si="6">B9</f>
        <v>用途</v>
      </c>
      <c r="R9" s="700" t="s">
        <v>14</v>
      </c>
      <c r="S9" s="701">
        <f t="shared" si="0"/>
        <v>100</v>
      </c>
      <c r="T9" s="700" t="s">
        <v>14</v>
      </c>
      <c r="U9" s="701">
        <f t="shared" si="1"/>
        <v>100</v>
      </c>
      <c r="V9" s="700" t="s">
        <v>14</v>
      </c>
      <c r="W9" s="701">
        <f t="shared" si="2"/>
        <v>100</v>
      </c>
      <c r="X9" s="702"/>
      <c r="Y9" s="355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136</v>
      </c>
      <c r="G10" s="383"/>
      <c r="H10" s="127">
        <f>ROUND(100/'数据-取费表'!G16,0)</f>
        <v>136</v>
      </c>
      <c r="I10" s="383"/>
      <c r="J10" s="127">
        <f>ROUND(100/'数据-取费表'!G16,0)</f>
        <v>136</v>
      </c>
      <c r="K10" s="619"/>
      <c r="L10" s="2718"/>
      <c r="M10" s="2719"/>
      <c r="N10" s="2719"/>
      <c r="O10" s="2772"/>
      <c r="P10" s="3698"/>
      <c r="Q10" s="1342" t="str">
        <f t="shared" si="6"/>
        <v>土地使用年限（年）</v>
      </c>
      <c r="R10" s="700" t="s">
        <v>14</v>
      </c>
      <c r="S10" s="701">
        <f t="shared" si="0"/>
        <v>136</v>
      </c>
      <c r="T10" s="700" t="s">
        <v>14</v>
      </c>
      <c r="U10" s="701">
        <f t="shared" si="1"/>
        <v>136</v>
      </c>
      <c r="V10" s="700" t="s">
        <v>14</v>
      </c>
      <c r="W10" s="701">
        <f t="shared" si="2"/>
        <v>136</v>
      </c>
      <c r="X10" s="702"/>
      <c r="Y10" s="3554"/>
      <c r="Z10" s="52" t="str">
        <f t="shared" si="7"/>
        <v>土地使用年限（年）</v>
      </c>
      <c r="AA10" s="703">
        <f t="shared" si="3"/>
        <v>0.73529411764705888</v>
      </c>
      <c r="AB10" s="703">
        <f t="shared" si="4"/>
        <v>0.73529411764705888</v>
      </c>
      <c r="AC10" s="703">
        <f t="shared" si="5"/>
        <v>0.73529411764705888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8"/>
      <c r="Q11" s="1342" t="str">
        <f t="shared" si="6"/>
        <v>容积率</v>
      </c>
      <c r="R11" s="700" t="s">
        <v>14</v>
      </c>
      <c r="S11" s="701" t="e">
        <f t="shared" si="0"/>
        <v>#N/A</v>
      </c>
      <c r="T11" s="700" t="s">
        <v>14</v>
      </c>
      <c r="U11" s="701" t="e">
        <f t="shared" si="1"/>
        <v>#N/A</v>
      </c>
      <c r="V11" s="700" t="s">
        <v>14</v>
      </c>
      <c r="W11" s="701" t="e">
        <f t="shared" si="2"/>
        <v>#N/A</v>
      </c>
      <c r="X11" s="702"/>
      <c r="Y11" s="3554"/>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8"/>
      <c r="Q12" s="1342">
        <f t="shared" si="6"/>
        <v>111</v>
      </c>
      <c r="R12" s="700" t="s">
        <v>14</v>
      </c>
      <c r="S12" s="701">
        <f t="shared" si="0"/>
        <v>100</v>
      </c>
      <c r="T12" s="700" t="s">
        <v>14</v>
      </c>
      <c r="U12" s="701">
        <f t="shared" si="1"/>
        <v>100</v>
      </c>
      <c r="V12" s="700" t="s">
        <v>14</v>
      </c>
      <c r="W12" s="701">
        <f t="shared" si="2"/>
        <v>100</v>
      </c>
      <c r="X12" s="702"/>
      <c r="Y12" s="355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8"/>
      <c r="Q13" s="1342">
        <f t="shared" si="6"/>
        <v>111</v>
      </c>
      <c r="R13" s="700" t="s">
        <v>14</v>
      </c>
      <c r="S13" s="701">
        <f t="shared" si="0"/>
        <v>100</v>
      </c>
      <c r="T13" s="700" t="s">
        <v>14</v>
      </c>
      <c r="U13" s="701">
        <f t="shared" si="1"/>
        <v>100</v>
      </c>
      <c r="V13" s="700" t="s">
        <v>14</v>
      </c>
      <c r="W13" s="701">
        <f t="shared" si="2"/>
        <v>100</v>
      </c>
      <c r="X13" s="702"/>
      <c r="Y13" s="355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8"/>
      <c r="Q14" s="1342">
        <f t="shared" si="6"/>
        <v>111</v>
      </c>
      <c r="R14" s="700" t="s">
        <v>14</v>
      </c>
      <c r="S14" s="701">
        <f t="shared" si="0"/>
        <v>100</v>
      </c>
      <c r="T14" s="700" t="s">
        <v>14</v>
      </c>
      <c r="U14" s="701">
        <f t="shared" si="1"/>
        <v>100</v>
      </c>
      <c r="V14" s="700" t="s">
        <v>14</v>
      </c>
      <c r="W14" s="701">
        <f t="shared" si="2"/>
        <v>100</v>
      </c>
      <c r="X14" s="702"/>
      <c r="Y14" s="3554"/>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1"/>
      <c r="Q16" s="1351"/>
      <c r="R16" s="704"/>
      <c r="S16" s="705"/>
      <c r="T16" s="704"/>
      <c r="U16" s="705"/>
      <c r="V16" s="704"/>
      <c r="W16" s="705"/>
      <c r="X16" s="1354"/>
      <c r="Y16" s="370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1"/>
      <c r="Q18" s="1351"/>
      <c r="R18" s="704"/>
      <c r="S18" s="705"/>
      <c r="T18" s="704"/>
      <c r="U18" s="705"/>
      <c r="V18" s="704"/>
      <c r="W18" s="705"/>
      <c r="X18" s="1354"/>
      <c r="Y18" s="370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1"/>
      <c r="Q19" s="1351" t="str">
        <f t="shared" ref="Q19:Q33" si="8">B19</f>
        <v>区域土地利用方向</v>
      </c>
      <c r="R19" s="704" t="s">
        <v>14</v>
      </c>
      <c r="S19" s="705">
        <f>F19</f>
        <v>100</v>
      </c>
      <c r="T19" s="704" t="s">
        <v>14</v>
      </c>
      <c r="U19" s="705">
        <f>H19</f>
        <v>100</v>
      </c>
      <c r="V19" s="704" t="s">
        <v>14</v>
      </c>
      <c r="W19" s="705">
        <f>J19</f>
        <v>100</v>
      </c>
      <c r="X19" s="1354"/>
      <c r="Y19" s="370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1"/>
      <c r="Q20" s="1351"/>
      <c r="R20" s="704"/>
      <c r="S20" s="705"/>
      <c r="T20" s="704"/>
      <c r="U20" s="705"/>
      <c r="V20" s="704"/>
      <c r="W20" s="705"/>
      <c r="X20" s="1354"/>
      <c r="Y20" s="370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1"/>
      <c r="Q21" s="1351" t="str">
        <f t="shared" si="8"/>
        <v>环境状况</v>
      </c>
      <c r="R21" s="704" t="s">
        <v>14</v>
      </c>
      <c r="S21" s="705">
        <f>F21</f>
        <v>100</v>
      </c>
      <c r="T21" s="704" t="s">
        <v>14</v>
      </c>
      <c r="U21" s="705">
        <f>H21</f>
        <v>100</v>
      </c>
      <c r="V21" s="704" t="s">
        <v>14</v>
      </c>
      <c r="W21" s="705">
        <f>J21</f>
        <v>100</v>
      </c>
      <c r="X21" s="1354"/>
      <c r="Y21" s="370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1"/>
      <c r="Q22" s="1351"/>
      <c r="R22" s="704"/>
      <c r="S22" s="705"/>
      <c r="T22" s="704"/>
      <c r="U22" s="705"/>
      <c r="V22" s="704"/>
      <c r="W22" s="705"/>
      <c r="X22" s="1354"/>
      <c r="Y22" s="370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1"/>
      <c r="Q23" s="1342" t="str">
        <f t="shared" si="8"/>
        <v>公共配套设施</v>
      </c>
      <c r="R23" s="700" t="s">
        <v>14</v>
      </c>
      <c r="S23" s="701">
        <f>F23</f>
        <v>100</v>
      </c>
      <c r="T23" s="700" t="s">
        <v>14</v>
      </c>
      <c r="U23" s="701">
        <f>H23</f>
        <v>100</v>
      </c>
      <c r="V23" s="700" t="s">
        <v>14</v>
      </c>
      <c r="W23" s="701">
        <f>J23</f>
        <v>100</v>
      </c>
      <c r="X23" s="702"/>
      <c r="Y23" s="370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1"/>
      <c r="Q24" s="1342"/>
      <c r="R24" s="700"/>
      <c r="S24" s="701"/>
      <c r="T24" s="700"/>
      <c r="U24" s="701"/>
      <c r="V24" s="700"/>
      <c r="W24" s="701"/>
      <c r="X24" s="702"/>
      <c r="Y24" s="370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1"/>
      <c r="Q25" s="1342" t="str">
        <f t="shared" ref="Q25" si="9">B25</f>
        <v>基础设施水平</v>
      </c>
      <c r="R25" s="700" t="s">
        <v>14</v>
      </c>
      <c r="S25" s="701">
        <f>F25</f>
        <v>100</v>
      </c>
      <c r="T25" s="700" t="s">
        <v>14</v>
      </c>
      <c r="U25" s="701">
        <f>H25</f>
        <v>100</v>
      </c>
      <c r="V25" s="700" t="s">
        <v>14</v>
      </c>
      <c r="W25" s="701">
        <f>J25</f>
        <v>100</v>
      </c>
      <c r="X25" s="702"/>
      <c r="Y25" s="370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1"/>
      <c r="Q26" s="1342"/>
      <c r="R26" s="700"/>
      <c r="S26" s="701"/>
      <c r="T26" s="700"/>
      <c r="U26" s="701"/>
      <c r="V26" s="700"/>
      <c r="W26" s="701"/>
      <c r="X26" s="702"/>
      <c r="Y26" s="370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1"/>
      <c r="Q28" s="1351" t="str">
        <f t="shared" si="8"/>
        <v>毗邻道路的类型与等级</v>
      </c>
      <c r="R28" s="704" t="s">
        <v>14</v>
      </c>
      <c r="S28" s="705">
        <f t="shared" si="10"/>
        <v>100</v>
      </c>
      <c r="T28" s="704" t="s">
        <v>14</v>
      </c>
      <c r="U28" s="705">
        <f t="shared" si="11"/>
        <v>100</v>
      </c>
      <c r="V28" s="704" t="s">
        <v>14</v>
      </c>
      <c r="W28" s="705">
        <f t="shared" si="12"/>
        <v>100</v>
      </c>
      <c r="X28" s="1354"/>
      <c r="Y28" s="370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1"/>
      <c r="Q29" s="1351"/>
      <c r="R29" s="704"/>
      <c r="S29" s="705"/>
      <c r="T29" s="704"/>
      <c r="U29" s="705"/>
      <c r="V29" s="704"/>
      <c r="W29" s="705"/>
      <c r="X29" s="1354"/>
      <c r="Y29" s="370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1"/>
      <c r="Q30" s="1351" t="str">
        <f t="shared" si="8"/>
        <v>土地级别</v>
      </c>
      <c r="R30" s="704" t="s">
        <v>14</v>
      </c>
      <c r="S30" s="705">
        <f t="shared" si="10"/>
        <v>100</v>
      </c>
      <c r="T30" s="704" t="s">
        <v>14</v>
      </c>
      <c r="U30" s="705">
        <f t="shared" si="11"/>
        <v>100</v>
      </c>
      <c r="V30" s="704" t="s">
        <v>14</v>
      </c>
      <c r="W30" s="705">
        <f t="shared" si="12"/>
        <v>100</v>
      </c>
      <c r="X30" s="1354"/>
      <c r="Y30" s="370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1">
        <f t="shared" si="8"/>
        <v>111</v>
      </c>
      <c r="R31" s="704" t="s">
        <v>14</v>
      </c>
      <c r="S31" s="705">
        <f t="shared" si="10"/>
        <v>100</v>
      </c>
      <c r="T31" s="704" t="s">
        <v>14</v>
      </c>
      <c r="U31" s="705">
        <f t="shared" si="11"/>
        <v>100</v>
      </c>
      <c r="V31" s="704" t="s">
        <v>14</v>
      </c>
      <c r="W31" s="705">
        <f t="shared" si="12"/>
        <v>100</v>
      </c>
      <c r="X31" s="1354"/>
      <c r="Y31" s="370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7" t="s">
        <v>1696</v>
      </c>
      <c r="Q32" s="1351">
        <f t="shared" si="8"/>
        <v>111</v>
      </c>
      <c r="R32" s="704" t="s">
        <v>14</v>
      </c>
      <c r="S32" s="705">
        <f t="shared" si="10"/>
        <v>100</v>
      </c>
      <c r="T32" s="704" t="s">
        <v>14</v>
      </c>
      <c r="U32" s="705">
        <f t="shared" si="11"/>
        <v>100</v>
      </c>
      <c r="V32" s="704" t="s">
        <v>14</v>
      </c>
      <c r="W32" s="705">
        <f t="shared" si="12"/>
        <v>100</v>
      </c>
      <c r="X32" s="1354"/>
      <c r="Y32" s="370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5"/>
      <c r="Q33" s="1351">
        <f t="shared" si="8"/>
        <v>111</v>
      </c>
      <c r="R33" s="707" t="s">
        <v>14</v>
      </c>
      <c r="S33" s="708">
        <f t="shared" si="10"/>
        <v>100</v>
      </c>
      <c r="T33" s="707" t="s">
        <v>14</v>
      </c>
      <c r="U33" s="708">
        <f t="shared" si="11"/>
        <v>100</v>
      </c>
      <c r="V33" s="707" t="s">
        <v>14</v>
      </c>
      <c r="W33" s="708">
        <f t="shared" si="12"/>
        <v>100</v>
      </c>
      <c r="X33" s="709"/>
      <c r="Y33" s="370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5"/>
      <c r="Q34" s="1351" t="str">
        <f>B34</f>
        <v>宗地面积</v>
      </c>
      <c r="R34" s="704" t="s">
        <v>14</v>
      </c>
      <c r="S34" s="705" t="e">
        <f t="shared" si="10"/>
        <v>#N/A</v>
      </c>
      <c r="T34" s="704" t="s">
        <v>14</v>
      </c>
      <c r="U34" s="705" t="e">
        <f t="shared" si="11"/>
        <v>#N/A</v>
      </c>
      <c r="V34" s="704" t="s">
        <v>14</v>
      </c>
      <c r="W34" s="705" t="e">
        <f t="shared" si="12"/>
        <v>#N/A</v>
      </c>
      <c r="X34" s="1354"/>
      <c r="Y34" s="370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5"/>
      <c r="Q35" s="1351" t="str">
        <f t="shared" ref="Q35:Q40" si="14">B35</f>
        <v>宗地形状</v>
      </c>
      <c r="R35" s="704" t="s">
        <v>14</v>
      </c>
      <c r="S35" s="705">
        <f t="shared" si="10"/>
        <v>100</v>
      </c>
      <c r="T35" s="704" t="s">
        <v>14</v>
      </c>
      <c r="U35" s="705">
        <f t="shared" si="11"/>
        <v>100</v>
      </c>
      <c r="V35" s="704" t="s">
        <v>14</v>
      </c>
      <c r="W35" s="705">
        <f t="shared" si="12"/>
        <v>100</v>
      </c>
      <c r="X35" s="1354"/>
      <c r="Y35" s="370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5"/>
      <c r="Q36" s="1351" t="str">
        <f t="shared" si="14"/>
        <v>宗地开发程度</v>
      </c>
      <c r="R36" s="700" t="s">
        <v>14</v>
      </c>
      <c r="S36" s="701">
        <f t="shared" si="10"/>
        <v>100</v>
      </c>
      <c r="T36" s="700" t="s">
        <v>14</v>
      </c>
      <c r="U36" s="701">
        <f t="shared" si="11"/>
        <v>100</v>
      </c>
      <c r="V36" s="700" t="s">
        <v>14</v>
      </c>
      <c r="W36" s="701">
        <f t="shared" si="12"/>
        <v>100</v>
      </c>
      <c r="X36" s="702"/>
      <c r="Y36" s="370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5" t="s">
        <v>1696</v>
      </c>
      <c r="Q37" s="1351" t="str">
        <f t="shared" si="14"/>
        <v>工程地质条件</v>
      </c>
      <c r="R37" s="704" t="s">
        <v>14</v>
      </c>
      <c r="S37" s="705">
        <f t="shared" si="10"/>
        <v>100</v>
      </c>
      <c r="T37" s="704" t="s">
        <v>14</v>
      </c>
      <c r="U37" s="705">
        <f t="shared" si="11"/>
        <v>100</v>
      </c>
      <c r="V37" s="704" t="s">
        <v>14</v>
      </c>
      <c r="W37" s="705">
        <f t="shared" si="12"/>
        <v>100</v>
      </c>
      <c r="X37" s="1354"/>
      <c r="Y37" s="370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5"/>
      <c r="Q38" s="1351">
        <f t="shared" si="14"/>
        <v>111</v>
      </c>
      <c r="R38" s="704" t="s">
        <v>14</v>
      </c>
      <c r="S38" s="705">
        <f t="shared" si="10"/>
        <v>100</v>
      </c>
      <c r="T38" s="704" t="s">
        <v>14</v>
      </c>
      <c r="U38" s="705">
        <f t="shared" si="11"/>
        <v>100</v>
      </c>
      <c r="V38" s="704" t="s">
        <v>14</v>
      </c>
      <c r="W38" s="705">
        <f t="shared" si="12"/>
        <v>100</v>
      </c>
      <c r="X38" s="1354"/>
      <c r="Y38" s="370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5"/>
      <c r="Q39" s="1351">
        <f t="shared" si="14"/>
        <v>111</v>
      </c>
      <c r="R39" s="704" t="s">
        <v>14</v>
      </c>
      <c r="S39" s="705">
        <f t="shared" si="10"/>
        <v>100</v>
      </c>
      <c r="T39" s="704" t="s">
        <v>14</v>
      </c>
      <c r="U39" s="705">
        <f t="shared" si="11"/>
        <v>100</v>
      </c>
      <c r="V39" s="704" t="s">
        <v>14</v>
      </c>
      <c r="W39" s="705">
        <f t="shared" si="12"/>
        <v>100</v>
      </c>
      <c r="X39" s="1354"/>
      <c r="Y39" s="370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5"/>
      <c r="Q40" s="1351">
        <f t="shared" si="14"/>
        <v>111</v>
      </c>
      <c r="R40" s="707" t="s">
        <v>14</v>
      </c>
      <c r="S40" s="708">
        <f t="shared" si="10"/>
        <v>100</v>
      </c>
      <c r="T40" s="707" t="s">
        <v>14</v>
      </c>
      <c r="U40" s="708">
        <f t="shared" si="11"/>
        <v>100</v>
      </c>
      <c r="V40" s="707" t="s">
        <v>14</v>
      </c>
      <c r="W40" s="708">
        <f t="shared" si="12"/>
        <v>100</v>
      </c>
      <c r="X40" s="709"/>
      <c r="Y40" s="370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8" t="str">
        <f>A41</f>
        <v>成交单价</v>
      </c>
      <c r="Q41" s="3698"/>
      <c r="R41" s="3729">
        <f>E41</f>
        <v>0</v>
      </c>
      <c r="S41" s="3729"/>
      <c r="T41" s="3729">
        <f>G41</f>
        <v>0</v>
      </c>
      <c r="U41" s="3729"/>
      <c r="V41" s="3729">
        <f>I41</f>
        <v>0</v>
      </c>
      <c r="W41" s="3729"/>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759" t="e">
        <f>ROUND(PRODUCT(R41,AA7:AA40),0)</f>
        <v>#DIV/0!</v>
      </c>
      <c r="S42" s="3759"/>
      <c r="T42" s="3759" t="e">
        <f>ROUND(PRODUCT(T41,AB7:AB40),0)</f>
        <v>#DIV/0!</v>
      </c>
      <c r="U42" s="3759"/>
      <c r="V42" s="3759" t="e">
        <f>ROUND(PRODUCT(V41,AC7:AC40),0)</f>
        <v>#DIV/0!</v>
      </c>
      <c r="W42" s="375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5" t="str">
        <f>A43</f>
        <v>估价对象XX用房的比较价值（楼面单价，元/平方米）</v>
      </c>
      <c r="Q43" s="3696"/>
      <c r="R43" s="3760" t="e">
        <f>ROUND(IF(D42="简单平均",AVERAGE(R42:W42),R42*F42+T42*H42+V42*J42),0)</f>
        <v>#DIV/0!</v>
      </c>
      <c r="S43" s="3760"/>
      <c r="T43" s="3760"/>
      <c r="U43" s="3760"/>
      <c r="V43" s="3760"/>
      <c r="W43" s="376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3" t="s">
        <v>1887</v>
      </c>
      <c r="H50" s="376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1056.2</v>
      </c>
      <c r="F51" s="638" t="e">
        <f t="shared" ref="F51:F60" si="15">ROUND(B51*E51/10000,0)</f>
        <v>#DIV/0!</v>
      </c>
      <c r="G51" s="3709"/>
      <c r="H51" s="369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9" t="s">
        <v>2084</v>
      </c>
      <c r="D1" s="3770"/>
      <c r="E1" s="3770"/>
      <c r="F1" s="3770"/>
      <c r="G1" s="3770"/>
      <c r="H1" s="3770"/>
      <c r="I1" s="3770"/>
      <c r="J1" s="3770"/>
      <c r="K1" s="3770"/>
      <c r="L1" s="3770"/>
      <c r="M1" s="3770"/>
      <c r="N1" s="3770"/>
      <c r="O1" s="3770"/>
      <c r="P1" s="3770"/>
      <c r="Q1" s="3770"/>
      <c r="R1" s="3770"/>
      <c r="S1" s="377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3608</v>
      </c>
      <c r="C2" s="2144" t="s">
        <v>2074</v>
      </c>
      <c r="D2" s="2144" t="s">
        <v>2075</v>
      </c>
      <c r="E2" s="2611">
        <f ca="1">SUMIF(E6:E13,"&lt;&gt;#ref!",E6:E13)</f>
        <v>1056.2</v>
      </c>
      <c r="F2" s="2792"/>
      <c r="G2" s="2792"/>
      <c r="H2" s="2792"/>
      <c r="I2" s="2792"/>
      <c r="J2" s="2792"/>
      <c r="K2" s="2792"/>
      <c r="L2" s="2792"/>
      <c r="M2" s="2792"/>
      <c r="N2" s="2792"/>
      <c r="O2" s="2792"/>
      <c r="P2" s="2792"/>
    </row>
    <row r="3" spans="1:16" ht="15.75">
      <c r="A3" s="2144" t="s">
        <v>2076</v>
      </c>
      <c r="B3" s="2601">
        <f ca="1">ROUND(B2*10000/E2,0)</f>
        <v>34160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3608</v>
      </c>
      <c r="C6" s="2144" t="s">
        <v>2074</v>
      </c>
      <c r="D6" s="2792"/>
      <c r="E6" s="2611">
        <f ca="1">SUMIF(INDIRECT("'"&amp;A6&amp;"'"&amp;"!C:C"),"建筑面积",INDIRECT("'"&amp;A6&amp;"'"&amp;"!D:D"))</f>
        <v>1056.2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1" t="s">
        <v>2611</v>
      </c>
      <c r="B20" s="3776" t="s">
        <v>2632</v>
      </c>
      <c r="C20" s="3102" t="s">
        <v>2443</v>
      </c>
      <c r="D20" s="3103"/>
      <c r="E20" s="3104">
        <v>1</v>
      </c>
      <c r="F20" s="3105" t="s">
        <v>2444</v>
      </c>
      <c r="G20" s="3105"/>
    </row>
    <row r="21" spans="1:13" ht="19.5" customHeight="1">
      <c r="A21" s="3782"/>
      <c r="B21" s="3775"/>
      <c r="C21" s="3106" t="s">
        <v>2445</v>
      </c>
      <c r="D21" s="3107"/>
      <c r="E21" s="3108">
        <v>1</v>
      </c>
      <c r="F21" s="3105" t="s">
        <v>2446</v>
      </c>
      <c r="G21" s="3105"/>
    </row>
    <row r="22" spans="1:13" ht="19.5" customHeight="1">
      <c r="A22" s="3782"/>
      <c r="B22" s="3775"/>
      <c r="C22" s="3106" t="s">
        <v>2447</v>
      </c>
      <c r="D22" s="3107"/>
      <c r="E22" s="3108">
        <v>0.9</v>
      </c>
      <c r="F22" s="3105" t="s">
        <v>2448</v>
      </c>
      <c r="G22" s="3105"/>
    </row>
    <row r="23" spans="1:13" ht="19.5" customHeight="1">
      <c r="A23" s="3782"/>
      <c r="B23" s="3775"/>
      <c r="C23" s="3106" t="s">
        <v>2449</v>
      </c>
      <c r="D23" s="3107"/>
      <c r="E23" s="3108">
        <v>0.9</v>
      </c>
      <c r="F23" s="3105" t="s">
        <v>2450</v>
      </c>
      <c r="G23" s="3105"/>
    </row>
    <row r="24" spans="1:13" ht="19.5" customHeight="1">
      <c r="A24" s="3782"/>
      <c r="B24" s="3775"/>
      <c r="C24" s="3106" t="s">
        <v>2451</v>
      </c>
      <c r="D24" s="3107"/>
      <c r="E24" s="3108">
        <v>0.8</v>
      </c>
      <c r="F24" s="3105" t="s">
        <v>2452</v>
      </c>
      <c r="G24" s="3105"/>
    </row>
    <row r="25" spans="1:13" ht="19.5" customHeight="1" thickBot="1">
      <c r="A25" s="3783"/>
      <c r="B25" s="377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8" t="s">
        <v>2635</v>
      </c>
      <c r="B27" s="3776" t="s">
        <v>2616</v>
      </c>
      <c r="C27" s="3102" t="s">
        <v>2456</v>
      </c>
      <c r="D27" s="3103"/>
      <c r="E27" s="3104">
        <v>1</v>
      </c>
      <c r="F27" s="3105" t="s">
        <v>2457</v>
      </c>
      <c r="G27" s="3105"/>
    </row>
    <row r="28" spans="1:13" ht="19.5" customHeight="1">
      <c r="A28" s="3779"/>
      <c r="B28" s="3775"/>
      <c r="C28" s="3106" t="s">
        <v>2458</v>
      </c>
      <c r="D28" s="3107"/>
      <c r="E28" s="3108">
        <v>1</v>
      </c>
      <c r="F28" s="3105" t="s">
        <v>2459</v>
      </c>
      <c r="G28" s="3105"/>
    </row>
    <row r="29" spans="1:13" ht="19.5" customHeight="1">
      <c r="A29" s="3779"/>
      <c r="B29" s="3775"/>
      <c r="C29" s="3106" t="s">
        <v>2460</v>
      </c>
      <c r="D29" s="3107"/>
      <c r="E29" s="3108">
        <v>0.8</v>
      </c>
      <c r="F29" s="3105" t="s">
        <v>2461</v>
      </c>
      <c r="G29" s="3105"/>
    </row>
    <row r="30" spans="1:13" ht="19.5" customHeight="1">
      <c r="A30" s="3779"/>
      <c r="B30" s="3775"/>
      <c r="C30" s="3106" t="s">
        <v>2462</v>
      </c>
      <c r="D30" s="3107"/>
      <c r="E30" s="3108">
        <v>0.8</v>
      </c>
      <c r="F30" s="3105" t="s">
        <v>2463</v>
      </c>
      <c r="G30" s="3105"/>
    </row>
    <row r="31" spans="1:13" ht="19.5" customHeight="1">
      <c r="A31" s="3779"/>
      <c r="B31" s="3775"/>
      <c r="C31" s="3106" t="s">
        <v>2464</v>
      </c>
      <c r="D31" s="3107"/>
      <c r="E31" s="3108">
        <v>0.8</v>
      </c>
      <c r="F31" s="3105" t="s">
        <v>2465</v>
      </c>
      <c r="G31" s="3105"/>
    </row>
    <row r="32" spans="1:13" ht="19.5" customHeight="1">
      <c r="A32" s="3779"/>
      <c r="B32" s="3775"/>
      <c r="C32" s="3106" t="s">
        <v>2466</v>
      </c>
      <c r="D32" s="3107"/>
      <c r="E32" s="3108">
        <v>0.7</v>
      </c>
      <c r="F32" s="3105" t="s">
        <v>2467</v>
      </c>
      <c r="G32" s="3105"/>
    </row>
    <row r="33" spans="1:7" ht="19.5" customHeight="1">
      <c r="A33" s="3779"/>
      <c r="B33" s="3775"/>
      <c r="C33" s="3106" t="s">
        <v>2468</v>
      </c>
      <c r="D33" s="3107"/>
      <c r="E33" s="3108">
        <v>0.8</v>
      </c>
      <c r="F33" s="3105" t="s">
        <v>2469</v>
      </c>
      <c r="G33" s="3105"/>
    </row>
    <row r="34" spans="1:7" ht="19.5" customHeight="1">
      <c r="A34" s="3779"/>
      <c r="B34" s="3775"/>
      <c r="C34" s="3106" t="s">
        <v>2470</v>
      </c>
      <c r="D34" s="3107"/>
      <c r="E34" s="3108">
        <v>0.6</v>
      </c>
      <c r="F34" s="3105" t="s">
        <v>2471</v>
      </c>
      <c r="G34" s="3105"/>
    </row>
    <row r="35" spans="1:7" ht="19.5" customHeight="1">
      <c r="A35" s="3779"/>
      <c r="B35" s="3775"/>
      <c r="C35" s="3106" t="s">
        <v>2472</v>
      </c>
      <c r="D35" s="3107"/>
      <c r="E35" s="3108">
        <v>0.2</v>
      </c>
      <c r="F35" s="3105" t="s">
        <v>2473</v>
      </c>
      <c r="G35" s="3105"/>
    </row>
    <row r="36" spans="1:7" ht="19.5" customHeight="1">
      <c r="A36" s="3779"/>
      <c r="B36" s="3775"/>
      <c r="C36" s="3106" t="s">
        <v>2474</v>
      </c>
      <c r="D36" s="3107"/>
      <c r="E36" s="3108">
        <v>0.2</v>
      </c>
      <c r="F36" s="3105" t="s">
        <v>2475</v>
      </c>
      <c r="G36" s="3105"/>
    </row>
    <row r="37" spans="1:7" ht="19.5" customHeight="1">
      <c r="A37" s="3779"/>
      <c r="B37" s="3773" t="s">
        <v>2636</v>
      </c>
      <c r="C37" s="3106" t="s">
        <v>2476</v>
      </c>
      <c r="D37" s="3107"/>
      <c r="E37" s="3108">
        <v>0.6</v>
      </c>
      <c r="F37" s="3105" t="s">
        <v>2477</v>
      </c>
      <c r="G37" s="3105"/>
    </row>
    <row r="38" spans="1:7" ht="19.5" customHeight="1">
      <c r="A38" s="3779"/>
      <c r="B38" s="3775"/>
      <c r="C38" s="3106" t="s">
        <v>2478</v>
      </c>
      <c r="D38" s="3107"/>
      <c r="E38" s="3108">
        <v>0.6</v>
      </c>
      <c r="F38" s="3105" t="s">
        <v>2479</v>
      </c>
      <c r="G38" s="3105"/>
    </row>
    <row r="39" spans="1:7" ht="19.5" customHeight="1" thickBot="1">
      <c r="A39" s="3780"/>
      <c r="B39" s="377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1" t="s">
        <v>2614</v>
      </c>
      <c r="B41" s="3776" t="s">
        <v>2638</v>
      </c>
      <c r="C41" s="3102" t="s">
        <v>2483</v>
      </c>
      <c r="D41" s="3103"/>
      <c r="E41" s="3104">
        <v>1</v>
      </c>
      <c r="F41" s="3105" t="s">
        <v>2484</v>
      </c>
      <c r="G41" s="3105"/>
    </row>
    <row r="42" spans="1:7" ht="19.5" customHeight="1">
      <c r="A42" s="3782"/>
      <c r="B42" s="3775"/>
      <c r="C42" s="3106" t="s">
        <v>2485</v>
      </c>
      <c r="D42" s="3107"/>
      <c r="E42" s="3108">
        <v>1</v>
      </c>
      <c r="F42" s="3105" t="s">
        <v>2486</v>
      </c>
      <c r="G42" s="3105"/>
    </row>
    <row r="43" spans="1:7" ht="19.5" customHeight="1">
      <c r="A43" s="3782"/>
      <c r="B43" s="3774"/>
      <c r="C43" s="3106" t="s">
        <v>2487</v>
      </c>
      <c r="D43" s="3107"/>
      <c r="E43" s="3108">
        <v>1.5</v>
      </c>
      <c r="F43" s="3105" t="s">
        <v>2488</v>
      </c>
      <c r="G43" s="3105"/>
    </row>
    <row r="44" spans="1:7" ht="19.5" customHeight="1">
      <c r="A44" s="3782"/>
      <c r="B44" s="3117" t="s">
        <v>2639</v>
      </c>
      <c r="C44" s="3106" t="s">
        <v>2640</v>
      </c>
      <c r="D44" s="3107"/>
      <c r="E44" s="3108">
        <v>2</v>
      </c>
      <c r="F44" s="3105" t="s">
        <v>2489</v>
      </c>
      <c r="G44" s="3105"/>
    </row>
    <row r="45" spans="1:7" ht="19.5" customHeight="1">
      <c r="A45" s="3782"/>
      <c r="B45" s="3773" t="s">
        <v>2641</v>
      </c>
      <c r="C45" s="3106" t="s">
        <v>2490</v>
      </c>
      <c r="D45" s="3107"/>
      <c r="E45" s="3108">
        <v>1</v>
      </c>
      <c r="F45" s="3105" t="s">
        <v>2491</v>
      </c>
      <c r="G45" s="3105"/>
    </row>
    <row r="46" spans="1:7" ht="19.5" customHeight="1">
      <c r="A46" s="3782"/>
      <c r="B46" s="3775"/>
      <c r="C46" s="3106" t="s">
        <v>2492</v>
      </c>
      <c r="D46" s="3107"/>
      <c r="E46" s="3108">
        <v>1</v>
      </c>
      <c r="F46" s="3105" t="s">
        <v>2493</v>
      </c>
      <c r="G46" s="3105"/>
    </row>
    <row r="47" spans="1:7" ht="19.5" customHeight="1">
      <c r="A47" s="3782"/>
      <c r="B47" s="3775"/>
      <c r="C47" s="3106" t="s">
        <v>2494</v>
      </c>
      <c r="D47" s="3107"/>
      <c r="E47" s="3108">
        <v>1</v>
      </c>
      <c r="F47" s="3105" t="s">
        <v>2495</v>
      </c>
      <c r="G47" s="3105"/>
    </row>
    <row r="48" spans="1:7" ht="19.5" customHeight="1">
      <c r="A48" s="3782"/>
      <c r="B48" s="3775"/>
      <c r="C48" s="3106" t="s">
        <v>2496</v>
      </c>
      <c r="D48" s="3107"/>
      <c r="E48" s="3108">
        <v>1</v>
      </c>
      <c r="F48" s="3105" t="s">
        <v>2497</v>
      </c>
      <c r="G48" s="3105"/>
    </row>
    <row r="49" spans="1:7" ht="19.5" customHeight="1">
      <c r="A49" s="3782"/>
      <c r="B49" s="3775"/>
      <c r="C49" s="3106" t="s">
        <v>2498</v>
      </c>
      <c r="D49" s="3107"/>
      <c r="E49" s="3108">
        <v>1</v>
      </c>
      <c r="F49" s="3105" t="s">
        <v>2499</v>
      </c>
      <c r="G49" s="3105"/>
    </row>
    <row r="50" spans="1:7" ht="19.5" customHeight="1">
      <c r="A50" s="3782"/>
      <c r="B50" s="3775"/>
      <c r="C50" s="3106" t="s">
        <v>2500</v>
      </c>
      <c r="D50" s="3107"/>
      <c r="E50" s="3108">
        <v>1</v>
      </c>
      <c r="F50" s="3105" t="s">
        <v>2501</v>
      </c>
      <c r="G50" s="3105"/>
    </row>
    <row r="51" spans="1:7" ht="19.5" customHeight="1" thickBot="1">
      <c r="A51" s="3783"/>
      <c r="B51" s="377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3" t="s">
        <v>2655</v>
      </c>
      <c r="C73" s="3091" t="s">
        <v>2656</v>
      </c>
      <c r="D73" s="3091" t="s">
        <v>2657</v>
      </c>
      <c r="E73" s="3117">
        <v>0.2</v>
      </c>
      <c r="F73" s="3117">
        <v>25</v>
      </c>
    </row>
    <row r="74" spans="1:7" ht="24">
      <c r="A74" s="3117">
        <v>2</v>
      </c>
      <c r="B74" s="3775"/>
      <c r="C74" s="3091" t="s">
        <v>2658</v>
      </c>
      <c r="D74" s="3091" t="s">
        <v>2659</v>
      </c>
      <c r="E74" s="3117">
        <v>0.2</v>
      </c>
      <c r="F74" s="3117">
        <v>25</v>
      </c>
    </row>
    <row r="75" spans="1:7" ht="24">
      <c r="A75" s="3117">
        <v>3</v>
      </c>
      <c r="B75" s="3775"/>
      <c r="C75" s="3091" t="s">
        <v>2660</v>
      </c>
      <c r="D75" s="3091" t="s">
        <v>2661</v>
      </c>
      <c r="E75" s="3117">
        <v>0.2</v>
      </c>
      <c r="F75" s="3117">
        <v>25</v>
      </c>
    </row>
    <row r="76" spans="1:7" ht="13.5">
      <c r="A76" s="3117">
        <v>4</v>
      </c>
      <c r="B76" s="3775"/>
      <c r="C76" s="3091" t="s">
        <v>2662</v>
      </c>
      <c r="D76" s="3091" t="s">
        <v>2663</v>
      </c>
      <c r="E76" s="3117">
        <v>0.15</v>
      </c>
      <c r="F76" s="3117">
        <v>20</v>
      </c>
    </row>
    <row r="77" spans="1:7" ht="24">
      <c r="A77" s="3117">
        <v>5</v>
      </c>
      <c r="B77" s="3775"/>
      <c r="C77" s="3091" t="s">
        <v>2664</v>
      </c>
      <c r="D77" s="3091" t="s">
        <v>2665</v>
      </c>
      <c r="E77" s="3117">
        <v>0.15</v>
      </c>
      <c r="F77" s="3117">
        <v>20</v>
      </c>
    </row>
    <row r="78" spans="1:7" ht="24">
      <c r="A78" s="3117">
        <v>6</v>
      </c>
      <c r="B78" s="3775"/>
      <c r="C78" s="3091" t="s">
        <v>2666</v>
      </c>
      <c r="D78" s="3091" t="s">
        <v>2667</v>
      </c>
      <c r="E78" s="3117">
        <v>0.15</v>
      </c>
      <c r="F78" s="3117">
        <v>20</v>
      </c>
    </row>
    <row r="79" spans="1:7" ht="24">
      <c r="A79" s="3117">
        <v>7</v>
      </c>
      <c r="B79" s="3775"/>
      <c r="C79" s="3091" t="s">
        <v>2668</v>
      </c>
      <c r="D79" s="3091" t="s">
        <v>2669</v>
      </c>
      <c r="E79" s="3117">
        <v>0.15</v>
      </c>
      <c r="F79" s="3117">
        <v>20</v>
      </c>
    </row>
    <row r="80" spans="1:7" ht="24">
      <c r="A80" s="3117">
        <v>8</v>
      </c>
      <c r="B80" s="3775"/>
      <c r="C80" s="3091" t="s">
        <v>2670</v>
      </c>
      <c r="D80" s="3091" t="s">
        <v>2671</v>
      </c>
      <c r="E80" s="3117">
        <v>0.1</v>
      </c>
      <c r="F80" s="3117">
        <v>15</v>
      </c>
    </row>
    <row r="81" spans="1:6" ht="24">
      <c r="A81" s="3117">
        <v>9</v>
      </c>
      <c r="B81" s="3775"/>
      <c r="C81" s="3091" t="s">
        <v>2672</v>
      </c>
      <c r="D81" s="3091" t="s">
        <v>2673</v>
      </c>
      <c r="E81" s="3117">
        <v>0.1</v>
      </c>
      <c r="F81" s="3117">
        <v>15</v>
      </c>
    </row>
    <row r="82" spans="1:6" ht="24">
      <c r="A82" s="3117">
        <v>10</v>
      </c>
      <c r="B82" s="3775"/>
      <c r="C82" s="3091" t="s">
        <v>2674</v>
      </c>
      <c r="D82" s="3091" t="s">
        <v>2675</v>
      </c>
      <c r="E82" s="3117">
        <v>0.1</v>
      </c>
      <c r="F82" s="3117">
        <v>15</v>
      </c>
    </row>
    <row r="83" spans="1:6" ht="24">
      <c r="A83" s="3117">
        <v>11</v>
      </c>
      <c r="B83" s="3775"/>
      <c r="C83" s="3091" t="s">
        <v>2676</v>
      </c>
      <c r="D83" s="3091" t="s">
        <v>2677</v>
      </c>
      <c r="E83" s="3117">
        <v>0.1</v>
      </c>
      <c r="F83" s="3117">
        <v>15</v>
      </c>
    </row>
    <row r="84" spans="1:6" ht="24">
      <c r="A84" s="3117">
        <v>12</v>
      </c>
      <c r="B84" s="3775"/>
      <c r="C84" s="3091" t="s">
        <v>2678</v>
      </c>
      <c r="D84" s="3091" t="s">
        <v>2679</v>
      </c>
      <c r="E84" s="3117">
        <v>0.1</v>
      </c>
      <c r="F84" s="3117">
        <v>15</v>
      </c>
    </row>
    <row r="85" spans="1:6" ht="13.5">
      <c r="A85" s="3117">
        <v>13</v>
      </c>
      <c r="B85" s="3775"/>
      <c r="C85" s="3091" t="s">
        <v>2680</v>
      </c>
      <c r="D85" s="3091" t="s">
        <v>2681</v>
      </c>
      <c r="E85" s="3117">
        <v>0.1</v>
      </c>
      <c r="F85" s="3117">
        <v>15</v>
      </c>
    </row>
    <row r="86" spans="1:6" ht="13.5">
      <c r="A86" s="3117">
        <v>14</v>
      </c>
      <c r="B86" s="3775"/>
      <c r="C86" s="3091" t="s">
        <v>2682</v>
      </c>
      <c r="D86" s="3091" t="s">
        <v>2683</v>
      </c>
      <c r="E86" s="3117">
        <v>0.1</v>
      </c>
      <c r="F86" s="3117">
        <v>15</v>
      </c>
    </row>
    <row r="87" spans="1:6" ht="13.5">
      <c r="A87" s="3117">
        <v>15</v>
      </c>
      <c r="B87" s="3775"/>
      <c r="C87" s="3091" t="s">
        <v>2684</v>
      </c>
      <c r="D87" s="3091" t="s">
        <v>2685</v>
      </c>
      <c r="E87" s="3117">
        <v>0.1</v>
      </c>
      <c r="F87" s="3117">
        <v>15</v>
      </c>
    </row>
    <row r="88" spans="1:6" ht="24">
      <c r="A88" s="3117">
        <v>16</v>
      </c>
      <c r="B88" s="3775"/>
      <c r="C88" s="3091" t="s">
        <v>2686</v>
      </c>
      <c r="D88" s="3091" t="s">
        <v>2687</v>
      </c>
      <c r="E88" s="3117">
        <v>0.1</v>
      </c>
      <c r="F88" s="3117">
        <v>15</v>
      </c>
    </row>
    <row r="89" spans="1:6" ht="24">
      <c r="A89" s="3117">
        <v>17</v>
      </c>
      <c r="B89" s="3774"/>
      <c r="C89" s="3091" t="s">
        <v>2688</v>
      </c>
      <c r="D89" s="3091" t="s">
        <v>2689</v>
      </c>
      <c r="E89" s="3117">
        <v>0.1</v>
      </c>
      <c r="F89" s="3117">
        <v>15</v>
      </c>
    </row>
    <row r="90" spans="1:6" ht="13.5">
      <c r="A90" s="3117">
        <v>18</v>
      </c>
      <c r="B90" s="3773" t="s">
        <v>2690</v>
      </c>
      <c r="C90" s="3091" t="s">
        <v>2691</v>
      </c>
      <c r="D90" s="3091" t="s">
        <v>2692</v>
      </c>
      <c r="E90" s="3117">
        <v>0.2</v>
      </c>
      <c r="F90" s="3117">
        <v>25</v>
      </c>
    </row>
    <row r="91" spans="1:6" ht="24">
      <c r="A91" s="3117">
        <v>19</v>
      </c>
      <c r="B91" s="3775"/>
      <c r="C91" s="3091" t="s">
        <v>2693</v>
      </c>
      <c r="D91" s="3091" t="s">
        <v>2694</v>
      </c>
      <c r="E91" s="3117">
        <v>0.2</v>
      </c>
      <c r="F91" s="3117">
        <v>25</v>
      </c>
    </row>
    <row r="92" spans="1:6" ht="13.5">
      <c r="A92" s="3117">
        <v>20</v>
      </c>
      <c r="B92" s="3775"/>
      <c r="C92" s="3091" t="s">
        <v>2695</v>
      </c>
      <c r="D92" s="3091" t="s">
        <v>2696</v>
      </c>
      <c r="E92" s="3117">
        <v>0.15</v>
      </c>
      <c r="F92" s="3117">
        <v>20</v>
      </c>
    </row>
    <row r="93" spans="1:6" ht="13.5">
      <c r="A93" s="3117">
        <v>21</v>
      </c>
      <c r="B93" s="3775"/>
      <c r="C93" s="3091" t="s">
        <v>2697</v>
      </c>
      <c r="D93" s="3091" t="s">
        <v>2698</v>
      </c>
      <c r="E93" s="3117">
        <v>0.15</v>
      </c>
      <c r="F93" s="3117">
        <v>20</v>
      </c>
    </row>
    <row r="94" spans="1:6" ht="13.5">
      <c r="A94" s="3117">
        <v>22</v>
      </c>
      <c r="B94" s="3775"/>
      <c r="C94" s="3091" t="s">
        <v>2699</v>
      </c>
      <c r="D94" s="3091" t="s">
        <v>2700</v>
      </c>
      <c r="E94" s="3117">
        <v>0.15</v>
      </c>
      <c r="F94" s="3117">
        <v>20</v>
      </c>
    </row>
    <row r="95" spans="1:6" ht="36">
      <c r="A95" s="3117">
        <v>23</v>
      </c>
      <c r="B95" s="3775"/>
      <c r="C95" s="3091" t="s">
        <v>2701</v>
      </c>
      <c r="D95" s="3091" t="s">
        <v>2702</v>
      </c>
      <c r="E95" s="3117">
        <v>0.15</v>
      </c>
      <c r="F95" s="3117">
        <v>20</v>
      </c>
    </row>
    <row r="96" spans="1:6" ht="13.5">
      <c r="A96" s="3117">
        <v>24</v>
      </c>
      <c r="B96" s="3775"/>
      <c r="C96" s="3091" t="s">
        <v>2703</v>
      </c>
      <c r="D96" s="3091" t="s">
        <v>2704</v>
      </c>
      <c r="E96" s="3117">
        <v>0.1</v>
      </c>
      <c r="F96" s="3117">
        <v>15</v>
      </c>
    </row>
    <row r="97" spans="1:6" ht="13.5">
      <c r="A97" s="3117">
        <v>25</v>
      </c>
      <c r="B97" s="3775"/>
      <c r="C97" s="3091" t="s">
        <v>2705</v>
      </c>
      <c r="D97" s="3091" t="s">
        <v>2706</v>
      </c>
      <c r="E97" s="3117">
        <v>0.1</v>
      </c>
      <c r="F97" s="3117">
        <v>15</v>
      </c>
    </row>
    <row r="98" spans="1:6" ht="24">
      <c r="A98" s="3117">
        <v>26</v>
      </c>
      <c r="B98" s="3775"/>
      <c r="C98" s="3091" t="s">
        <v>2707</v>
      </c>
      <c r="D98" s="3091" t="s">
        <v>2708</v>
      </c>
      <c r="E98" s="3117">
        <v>0.1</v>
      </c>
      <c r="F98" s="3117">
        <v>15</v>
      </c>
    </row>
    <row r="99" spans="1:6" ht="24">
      <c r="A99" s="3117">
        <v>27</v>
      </c>
      <c r="B99" s="3775"/>
      <c r="C99" s="3091" t="s">
        <v>2709</v>
      </c>
      <c r="D99" s="3091" t="s">
        <v>2710</v>
      </c>
      <c r="E99" s="3117">
        <v>0.1</v>
      </c>
      <c r="F99" s="3117">
        <v>15</v>
      </c>
    </row>
    <row r="100" spans="1:6" ht="13.5">
      <c r="A100" s="3117">
        <v>28</v>
      </c>
      <c r="B100" s="3775"/>
      <c r="C100" s="3091" t="s">
        <v>2711</v>
      </c>
      <c r="D100" s="3091" t="s">
        <v>2712</v>
      </c>
      <c r="E100" s="3117">
        <v>0.1</v>
      </c>
      <c r="F100" s="3117">
        <v>15</v>
      </c>
    </row>
    <row r="101" spans="1:6" ht="13.5">
      <c r="A101" s="3117">
        <v>29</v>
      </c>
      <c r="B101" s="3775"/>
      <c r="C101" s="3091" t="s">
        <v>2713</v>
      </c>
      <c r="D101" s="3091" t="s">
        <v>2714</v>
      </c>
      <c r="E101" s="3117">
        <v>0.1</v>
      </c>
      <c r="F101" s="3117">
        <v>15</v>
      </c>
    </row>
    <row r="102" spans="1:6" ht="13.5">
      <c r="A102" s="3117">
        <v>30</v>
      </c>
      <c r="B102" s="3775"/>
      <c r="C102" s="3091" t="s">
        <v>2715</v>
      </c>
      <c r="D102" s="3091" t="s">
        <v>2716</v>
      </c>
      <c r="E102" s="3117">
        <v>0.1</v>
      </c>
      <c r="F102" s="3117">
        <v>15</v>
      </c>
    </row>
    <row r="103" spans="1:6" ht="24">
      <c r="A103" s="3117">
        <v>31</v>
      </c>
      <c r="B103" s="3775"/>
      <c r="C103" s="3091" t="s">
        <v>2717</v>
      </c>
      <c r="D103" s="3091" t="s">
        <v>2718</v>
      </c>
      <c r="E103" s="3117">
        <v>0.1</v>
      </c>
      <c r="F103" s="3117">
        <v>15</v>
      </c>
    </row>
    <row r="104" spans="1:6" ht="24">
      <c r="A104" s="3117">
        <v>32</v>
      </c>
      <c r="B104" s="3775"/>
      <c r="C104" s="3091" t="s">
        <v>2719</v>
      </c>
      <c r="D104" s="3091" t="s">
        <v>2720</v>
      </c>
      <c r="E104" s="3117">
        <v>0.1</v>
      </c>
      <c r="F104" s="3117">
        <v>15</v>
      </c>
    </row>
    <row r="105" spans="1:6" ht="24">
      <c r="A105" s="3117">
        <v>33</v>
      </c>
      <c r="B105" s="3775"/>
      <c r="C105" s="3091" t="s">
        <v>2721</v>
      </c>
      <c r="D105" s="3091" t="s">
        <v>2722</v>
      </c>
      <c r="E105" s="3117">
        <v>0.1</v>
      </c>
      <c r="F105" s="3117">
        <v>15</v>
      </c>
    </row>
    <row r="106" spans="1:6" ht="24">
      <c r="A106" s="3117">
        <v>34</v>
      </c>
      <c r="B106" s="3774"/>
      <c r="C106" s="3091" t="s">
        <v>2723</v>
      </c>
      <c r="D106" s="3091" t="s">
        <v>2724</v>
      </c>
      <c r="E106" s="3117">
        <v>0.1</v>
      </c>
      <c r="F106" s="3117">
        <v>15</v>
      </c>
    </row>
    <row r="107" spans="1:6" ht="24">
      <c r="A107" s="3117">
        <v>35</v>
      </c>
      <c r="B107" s="3773" t="s">
        <v>2725</v>
      </c>
      <c r="C107" s="3117" t="s">
        <v>2726</v>
      </c>
      <c r="D107" s="3091" t="s">
        <v>2727</v>
      </c>
      <c r="E107" s="3117">
        <v>0.15</v>
      </c>
      <c r="F107" s="3117">
        <v>20</v>
      </c>
    </row>
    <row r="108" spans="1:6" ht="13.5">
      <c r="A108" s="3117">
        <v>36</v>
      </c>
      <c r="B108" s="3775"/>
      <c r="C108" s="3117" t="s">
        <v>2728</v>
      </c>
      <c r="D108" s="3091" t="s">
        <v>2729</v>
      </c>
      <c r="E108" s="3117">
        <v>0.15</v>
      </c>
      <c r="F108" s="3117">
        <v>20</v>
      </c>
    </row>
    <row r="109" spans="1:6" ht="13.5">
      <c r="A109" s="3117">
        <v>37</v>
      </c>
      <c r="B109" s="3775"/>
      <c r="C109" s="3117" t="s">
        <v>2730</v>
      </c>
      <c r="D109" s="3091" t="s">
        <v>2731</v>
      </c>
      <c r="E109" s="3117">
        <v>0.15</v>
      </c>
      <c r="F109" s="3117">
        <v>20</v>
      </c>
    </row>
    <row r="110" spans="1:6" ht="13.5">
      <c r="A110" s="3117">
        <v>38</v>
      </c>
      <c r="B110" s="3775"/>
      <c r="C110" s="3117" t="s">
        <v>2732</v>
      </c>
      <c r="D110" s="3091" t="s">
        <v>2733</v>
      </c>
      <c r="E110" s="3117">
        <v>0.1</v>
      </c>
      <c r="F110" s="3117">
        <v>15</v>
      </c>
    </row>
    <row r="111" spans="1:6" ht="24">
      <c r="A111" s="3117">
        <v>39</v>
      </c>
      <c r="B111" s="3775"/>
      <c r="C111" s="3117" t="s">
        <v>2734</v>
      </c>
      <c r="D111" s="3091" t="s">
        <v>2735</v>
      </c>
      <c r="E111" s="3117">
        <v>0.1</v>
      </c>
      <c r="F111" s="3117">
        <v>15</v>
      </c>
    </row>
    <row r="112" spans="1:6" ht="24">
      <c r="A112" s="3117">
        <v>40</v>
      </c>
      <c r="B112" s="3774"/>
      <c r="C112" s="3117" t="s">
        <v>2736</v>
      </c>
      <c r="D112" s="3091" t="s">
        <v>2737</v>
      </c>
      <c r="E112" s="3117">
        <v>0.1</v>
      </c>
      <c r="F112" s="3117">
        <v>15</v>
      </c>
    </row>
    <row r="113" spans="1:6" ht="13.5">
      <c r="A113" s="3117">
        <v>41</v>
      </c>
      <c r="B113" s="3772" t="s">
        <v>2738</v>
      </c>
      <c r="C113" s="3117" t="s">
        <v>2739</v>
      </c>
      <c r="D113" s="3091" t="s">
        <v>2740</v>
      </c>
      <c r="E113" s="3117">
        <v>0.1</v>
      </c>
      <c r="F113" s="3117">
        <v>15</v>
      </c>
    </row>
    <row r="114" spans="1:6" ht="13.5">
      <c r="A114" s="3117">
        <v>42</v>
      </c>
      <c r="B114" s="3772"/>
      <c r="C114" s="3117" t="s">
        <v>2741</v>
      </c>
      <c r="D114" s="3091" t="s">
        <v>2742</v>
      </c>
      <c r="E114" s="3117">
        <v>0.1</v>
      </c>
      <c r="F114" s="3117">
        <v>15</v>
      </c>
    </row>
    <row r="115" spans="1:6" ht="24">
      <c r="A115" s="3117">
        <v>43</v>
      </c>
      <c r="B115" s="3772"/>
      <c r="C115" s="3117" t="s">
        <v>2743</v>
      </c>
      <c r="D115" s="3091" t="s">
        <v>2744</v>
      </c>
      <c r="E115" s="3117">
        <v>0.1</v>
      </c>
      <c r="F115" s="3117">
        <v>15</v>
      </c>
    </row>
    <row r="116" spans="1:6" ht="13.5">
      <c r="A116" s="3117">
        <v>44</v>
      </c>
      <c r="B116" s="3773" t="s">
        <v>2745</v>
      </c>
      <c r="C116" s="3117" t="s">
        <v>2746</v>
      </c>
      <c r="D116" s="3091" t="s">
        <v>2747</v>
      </c>
      <c r="E116" s="3117">
        <v>0.1</v>
      </c>
      <c r="F116" s="3117">
        <v>15</v>
      </c>
    </row>
    <row r="117" spans="1:6" ht="24">
      <c r="A117" s="3117">
        <v>45</v>
      </c>
      <c r="B117" s="3774"/>
      <c r="C117" s="3091" t="s">
        <v>2748</v>
      </c>
      <c r="D117" s="3091" t="s">
        <v>2749</v>
      </c>
      <c r="E117" s="3117">
        <v>0.1</v>
      </c>
      <c r="F117" s="3117">
        <v>15</v>
      </c>
    </row>
    <row r="118" spans="1:6" ht="24">
      <c r="A118" s="3117">
        <v>46</v>
      </c>
      <c r="B118" s="3773" t="s">
        <v>2750</v>
      </c>
      <c r="C118" s="3117" t="s">
        <v>2751</v>
      </c>
      <c r="D118" s="3091" t="s">
        <v>2752</v>
      </c>
      <c r="E118" s="3117">
        <v>0.1</v>
      </c>
      <c r="F118" s="3117">
        <v>15</v>
      </c>
    </row>
    <row r="119" spans="1:6" ht="24">
      <c r="A119" s="3117">
        <v>47</v>
      </c>
      <c r="B119" s="3774"/>
      <c r="C119" s="3117" t="s">
        <v>2753</v>
      </c>
      <c r="D119" s="3091" t="s">
        <v>2754</v>
      </c>
      <c r="E119" s="3117">
        <v>0.1</v>
      </c>
      <c r="F119" s="3117">
        <v>15</v>
      </c>
    </row>
    <row r="120" spans="1:6" ht="13.5">
      <c r="A120" s="3117">
        <v>48</v>
      </c>
      <c r="B120" s="3773" t="s">
        <v>2755</v>
      </c>
      <c r="C120" s="3117" t="s">
        <v>2756</v>
      </c>
      <c r="D120" s="3091" t="s">
        <v>2757</v>
      </c>
      <c r="E120" s="3117">
        <v>0.1</v>
      </c>
      <c r="F120" s="3117">
        <v>15</v>
      </c>
    </row>
    <row r="121" spans="1:6" ht="13.5">
      <c r="A121" s="3117">
        <v>49</v>
      </c>
      <c r="B121" s="3774"/>
      <c r="C121" s="3117" t="s">
        <v>2758</v>
      </c>
      <c r="D121" s="3091" t="s">
        <v>2759</v>
      </c>
      <c r="E121" s="3117">
        <v>0.1</v>
      </c>
      <c r="F121" s="3117">
        <v>15</v>
      </c>
    </row>
    <row r="122" spans="1:6" ht="24">
      <c r="A122" s="3117">
        <v>50</v>
      </c>
      <c r="B122" s="3772" t="s">
        <v>2760</v>
      </c>
      <c r="C122" s="3117" t="s">
        <v>2761</v>
      </c>
      <c r="D122" s="3091" t="s">
        <v>2762</v>
      </c>
      <c r="E122" s="3117">
        <v>0.1</v>
      </c>
      <c r="F122" s="3117">
        <v>15</v>
      </c>
    </row>
    <row r="123" spans="1:6" ht="24">
      <c r="A123" s="3117">
        <v>51</v>
      </c>
      <c r="B123" s="3772"/>
      <c r="C123" s="3117" t="s">
        <v>2763</v>
      </c>
      <c r="D123" s="3091" t="s">
        <v>2764</v>
      </c>
      <c r="E123" s="3117">
        <v>0.1</v>
      </c>
      <c r="F123" s="3117">
        <v>15</v>
      </c>
    </row>
    <row r="124" spans="1:6" ht="24">
      <c r="A124" s="3117">
        <v>52</v>
      </c>
      <c r="B124" s="3772" t="s">
        <v>2765</v>
      </c>
      <c r="C124" s="3117" t="s">
        <v>2766</v>
      </c>
      <c r="D124" s="3091" t="s">
        <v>2767</v>
      </c>
      <c r="E124" s="3117">
        <v>0.1</v>
      </c>
      <c r="F124" s="3117">
        <v>15</v>
      </c>
    </row>
    <row r="125" spans="1:6" ht="24">
      <c r="A125" s="3117">
        <v>53</v>
      </c>
      <c r="B125" s="377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2" t="s">
        <v>2773</v>
      </c>
      <c r="C127" s="3117" t="s">
        <v>2774</v>
      </c>
      <c r="D127" s="3091" t="s">
        <v>2775</v>
      </c>
      <c r="E127" s="3117">
        <v>0.1</v>
      </c>
      <c r="F127" s="3117">
        <v>15</v>
      </c>
    </row>
    <row r="128" spans="1:6" ht="13.5">
      <c r="A128" s="3117">
        <v>56</v>
      </c>
      <c r="B128" s="3772"/>
      <c r="C128" s="3117" t="s">
        <v>2776</v>
      </c>
      <c r="D128" s="3091" t="s">
        <v>2777</v>
      </c>
      <c r="E128" s="3117">
        <v>0.1</v>
      </c>
      <c r="F128" s="3117">
        <v>15</v>
      </c>
    </row>
    <row r="129" spans="1:6" ht="24">
      <c r="A129" s="3117">
        <v>57</v>
      </c>
      <c r="B129" s="3772"/>
      <c r="C129" s="3117" t="s">
        <v>2778</v>
      </c>
      <c r="D129" s="3091" t="s">
        <v>2779</v>
      </c>
      <c r="E129" s="3117">
        <v>0.1</v>
      </c>
      <c r="F129" s="3117">
        <v>15</v>
      </c>
    </row>
    <row r="130" spans="1:6" ht="24">
      <c r="A130" s="3117">
        <v>58</v>
      </c>
      <c r="B130" s="3772" t="s">
        <v>2780</v>
      </c>
      <c r="C130" s="3117" t="s">
        <v>2781</v>
      </c>
      <c r="D130" s="3091" t="s">
        <v>2782</v>
      </c>
      <c r="E130" s="3117">
        <v>0.1</v>
      </c>
      <c r="F130" s="3117">
        <v>15</v>
      </c>
    </row>
    <row r="131" spans="1:6" ht="13.5">
      <c r="A131" s="3117">
        <v>59</v>
      </c>
      <c r="B131" s="3772"/>
      <c r="C131" s="3117" t="s">
        <v>2783</v>
      </c>
      <c r="D131" s="3091" t="s">
        <v>2784</v>
      </c>
      <c r="E131" s="3117">
        <v>0.1</v>
      </c>
      <c r="F131" s="3117">
        <v>15</v>
      </c>
    </row>
    <row r="132" spans="1:6" ht="13.5">
      <c r="A132" s="3117">
        <v>60</v>
      </c>
      <c r="B132" s="3773" t="s">
        <v>2785</v>
      </c>
      <c r="C132" s="3117" t="s">
        <v>2786</v>
      </c>
      <c r="D132" s="3091" t="s">
        <v>2787</v>
      </c>
      <c r="E132" s="3117">
        <v>0.1</v>
      </c>
      <c r="F132" s="3117">
        <v>15</v>
      </c>
    </row>
    <row r="133" spans="1:6" ht="13.5">
      <c r="A133" s="3117">
        <v>61</v>
      </c>
      <c r="B133" s="377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2" t="s">
        <v>2793</v>
      </c>
      <c r="C135" s="3117" t="s">
        <v>2794</v>
      </c>
      <c r="D135" s="3091" t="s">
        <v>2795</v>
      </c>
      <c r="E135" s="3117">
        <v>0.1</v>
      </c>
      <c r="F135" s="3117">
        <v>15</v>
      </c>
    </row>
    <row r="136" spans="1:6" ht="13.5">
      <c r="A136" s="3117">
        <v>64</v>
      </c>
      <c r="B136" s="377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0.94710000000000005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30045</v>
      </c>
      <c r="C2" s="2" t="s">
        <v>106</v>
      </c>
      <c r="D2" s="199"/>
      <c r="E2" s="199"/>
      <c r="F2" s="199"/>
      <c r="G2" s="199"/>
    </row>
    <row r="3" spans="1:7" s="200" customFormat="1" ht="18" customHeight="1" thickBot="1">
      <c r="A3" s="203" t="s">
        <v>58</v>
      </c>
      <c r="B3" s="204">
        <f ca="1">ROUND(B2*10000/'数据-汇总表'!E3,0)</f>
        <v>284463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1056.2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1056.2</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1469</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4250</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4250</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370</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1056.2</v>
      </c>
      <c r="E37" s="249">
        <f>'数据-取费表'!B35</f>
        <v>200</v>
      </c>
      <c r="F37" s="259"/>
      <c r="G37" s="261" t="s">
        <v>92</v>
      </c>
    </row>
    <row r="38" spans="1:7" ht="13.5" customHeight="1">
      <c r="A38" s="779" t="s">
        <v>354</v>
      </c>
      <c r="B38" s="215" t="s">
        <v>36</v>
      </c>
      <c r="C38" s="220">
        <f>ROUND(C34*F38,0)</f>
        <v>6</v>
      </c>
      <c r="D38" s="220"/>
      <c r="E38" s="220"/>
      <c r="F38" s="259">
        <f>'数据-取费表'!B36</f>
        <v>1.4999999999999999E-2</v>
      </c>
      <c r="G38" s="219" t="s">
        <v>90</v>
      </c>
    </row>
    <row r="39" spans="1:7" s="214" customFormat="1" ht="13.5" customHeight="1">
      <c r="A39" s="776" t="s">
        <v>338</v>
      </c>
      <c r="B39" s="210" t="s">
        <v>77</v>
      </c>
      <c r="C39" s="232">
        <f>ROUND(C33*F20,0)</f>
        <v>12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14</v>
      </c>
      <c r="D42" s="238"/>
      <c r="E42" s="238"/>
      <c r="F42" s="239"/>
      <c r="G42" s="3647" t="s">
        <v>94</v>
      </c>
    </row>
    <row r="43" spans="1:7" ht="13.5" customHeight="1">
      <c r="A43" s="779" t="s">
        <v>347</v>
      </c>
      <c r="B43" s="215" t="s">
        <v>426</v>
      </c>
      <c r="C43" s="238">
        <f ca="1">ROUND(IF('数据-取费表'!B22&lt;=1,C39*F22*'数据-取费表'!B21/2,C39*(POWER((1+F22),'数据-取费表'!B21/2)-1)),0)</f>
        <v>0</v>
      </c>
      <c r="D43" s="238"/>
      <c r="E43" s="238"/>
      <c r="F43" s="239"/>
      <c r="G43" s="3648"/>
    </row>
    <row r="44" spans="1:7" ht="13.5" customHeight="1">
      <c r="A44" s="779" t="s">
        <v>348</v>
      </c>
      <c r="B44" s="215" t="s">
        <v>428</v>
      </c>
      <c r="C44" s="238">
        <f ca="1">ROUND(IF('数据-取费表'!B22&lt;=1,C40*F22*'数据-取费表'!B21/2,C40*(POWER((1+F22),'数据-取费表'!B21/2)-1)),4)</f>
        <v>1E-3</v>
      </c>
      <c r="D44" s="238"/>
      <c r="E44" s="238"/>
      <c r="F44" s="239"/>
      <c r="G44" s="3649"/>
    </row>
    <row r="45" spans="1:7" s="214" customFormat="1" ht="13.5" customHeight="1">
      <c r="A45" s="776" t="s">
        <v>341</v>
      </c>
      <c r="B45" s="244" t="s">
        <v>85</v>
      </c>
      <c r="C45" s="245">
        <f>C46</f>
        <v>84</v>
      </c>
      <c r="D45" s="235">
        <f>C47</f>
        <v>6.0000000000000001E-3</v>
      </c>
      <c r="E45" s="236" t="s">
        <v>102</v>
      </c>
      <c r="F45" s="246"/>
      <c r="G45" s="247" t="s">
        <v>434</v>
      </c>
    </row>
    <row r="46" spans="1:7" s="214" customFormat="1" ht="13.5" customHeight="1">
      <c r="A46" s="779" t="s">
        <v>349</v>
      </c>
      <c r="B46" s="248" t="s">
        <v>427</v>
      </c>
      <c r="C46" s="249">
        <f>ROUND((C33+C39)*F27,0)</f>
        <v>84</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569</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398</v>
      </c>
      <c r="D51" s="232"/>
      <c r="E51" s="232"/>
      <c r="F51" s="264"/>
      <c r="G51" s="234" t="s">
        <v>37</v>
      </c>
    </row>
    <row r="52" spans="1:7" s="208" customFormat="1" ht="16.5" thickBot="1">
      <c r="A52" s="265" t="s">
        <v>38</v>
      </c>
      <c r="B52" s="266"/>
      <c r="C52" s="267">
        <f ca="1">C31+C51</f>
        <v>30045</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2"/>
      <c r="B4" s="3468" t="s">
        <v>917</v>
      </c>
      <c r="C4" s="3468"/>
      <c r="D4" s="3468"/>
      <c r="E4" s="1492"/>
    </row>
    <row r="5" spans="1:5" ht="16.5" thickTop="1">
      <c r="A5" s="1490"/>
      <c r="B5" s="3466" t="s">
        <v>909</v>
      </c>
      <c r="C5" s="1493" t="s">
        <v>910</v>
      </c>
      <c r="D5" s="849">
        <f ca="1">结果表!H101</f>
        <v>5392</v>
      </c>
      <c r="E5" s="1490"/>
    </row>
    <row r="6" spans="1:5" ht="15.75">
      <c r="A6" s="1490"/>
      <c r="B6" s="3466"/>
      <c r="C6" s="1493" t="s">
        <v>911</v>
      </c>
      <c r="D6" s="849" t="str">
        <f ca="1">NUMBERSTRING(INT(D5*10000),2)&amp;"元整"</f>
        <v>伍仟叁佰玖拾贰万元整</v>
      </c>
      <c r="E6" s="1490"/>
    </row>
    <row r="7" spans="1:5" ht="15.75">
      <c r="A7" s="1490"/>
      <c r="B7" s="3471"/>
      <c r="C7" s="1494" t="s">
        <v>912</v>
      </c>
      <c r="D7" s="850">
        <f ca="1">结果表!H102</f>
        <v>51051</v>
      </c>
      <c r="E7" s="1490"/>
    </row>
    <row r="8" spans="1:5" ht="15.75">
      <c r="A8" s="1490"/>
      <c r="B8" s="3472" t="str">
        <f>结果表!E103</f>
        <v>2.估价师知悉的法定优先受偿款</v>
      </c>
      <c r="C8" s="1495" t="s">
        <v>913</v>
      </c>
      <c r="D8" s="850">
        <f>结果表!H103</f>
        <v>0</v>
      </c>
      <c r="E8" s="1490"/>
    </row>
    <row r="9" spans="1:5" ht="15.75">
      <c r="A9" s="1490"/>
      <c r="B9" s="347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5" t="str">
        <f>结果表!E107</f>
        <v>3.房地产抵押价值</v>
      </c>
      <c r="C13" s="1498" t="s">
        <v>910</v>
      </c>
      <c r="D13" s="852">
        <f ca="1">结果表!H107</f>
        <v>5392</v>
      </c>
      <c r="E13" s="1490"/>
    </row>
    <row r="14" spans="1:5" ht="15.75">
      <c r="A14" s="1490"/>
      <c r="B14" s="3466"/>
      <c r="C14" s="1493" t="s">
        <v>911</v>
      </c>
      <c r="D14" s="849" t="str">
        <f ca="1">NUMBERSTRING(INT(D13*10000),2)&amp;"元整"</f>
        <v>伍仟叁佰玖拾贰万元整</v>
      </c>
      <c r="E14" s="1490"/>
    </row>
    <row r="15" spans="1:5" ht="15">
      <c r="A15" s="1490"/>
      <c r="B15" s="3471"/>
      <c r="C15" s="1494" t="s">
        <v>921</v>
      </c>
      <c r="D15" s="858">
        <f ca="1">结果表!H108</f>
        <v>51051</v>
      </c>
      <c r="E15" s="1490"/>
    </row>
    <row r="16" spans="1:5" ht="15">
      <c r="A16" s="1490"/>
      <c r="B16" s="3472" t="str">
        <f>结果表!E109</f>
        <v>——</v>
      </c>
      <c r="C16" s="1498" t="s">
        <v>922</v>
      </c>
      <c r="D16" s="1499" t="str">
        <f>结果表!H109</f>
        <v>——</v>
      </c>
      <c r="E16" s="1490"/>
    </row>
    <row r="17" spans="1:5" ht="15.75">
      <c r="A17" s="1490"/>
      <c r="B17" s="3473"/>
      <c r="C17" s="1493" t="s">
        <v>923</v>
      </c>
      <c r="D17" s="849" t="e">
        <f>NUMBERSTRING(INT(D16*10000),2)&amp;"元整"</f>
        <v>#VALUE!</v>
      </c>
      <c r="E17" s="1490"/>
    </row>
    <row r="18" spans="1:5" ht="15">
      <c r="A18" s="1490"/>
      <c r="B18" s="3474"/>
      <c r="C18" s="1494" t="s">
        <v>912</v>
      </c>
      <c r="D18" s="858" t="str">
        <f>结果表!H110</f>
        <v>——</v>
      </c>
      <c r="E18" s="1490"/>
    </row>
    <row r="19" spans="1:5" ht="15.75">
      <c r="A19" s="1490"/>
      <c r="B19" s="3465" t="str">
        <f>结果表!E111</f>
        <v>——</v>
      </c>
      <c r="C19" s="1498" t="s">
        <v>910</v>
      </c>
      <c r="D19" s="850" t="str">
        <f>结果表!H111</f>
        <v>——</v>
      </c>
      <c r="E19" s="1490"/>
    </row>
    <row r="20" spans="1:5" ht="15.75">
      <c r="A20" s="1490"/>
      <c r="B20" s="3466"/>
      <c r="C20" s="1493" t="s">
        <v>923</v>
      </c>
      <c r="D20" s="849" t="e">
        <f>NUMBERSTRING(INT(D19*10000),2)&amp;"元整"</f>
        <v>#VALUE!</v>
      </c>
      <c r="E20" s="1490"/>
    </row>
    <row r="21" spans="1:5" ht="15.75" thickBot="1">
      <c r="A21" s="1490"/>
      <c r="B21" s="346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2845</v>
      </c>
      <c r="B1" s="3786"/>
      <c r="C1" s="3786"/>
      <c r="D1" s="3786"/>
      <c r="E1" s="3786"/>
      <c r="F1" s="3786"/>
      <c r="G1" s="3787"/>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4"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5"/>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3187</v>
      </c>
      <c r="B1" s="3788"/>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3238</v>
      </c>
      <c r="B1" s="3789"/>
      <c r="C1" s="3789"/>
      <c r="D1" s="3789"/>
      <c r="E1" s="3789"/>
      <c r="F1" s="3790"/>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45163</v>
      </c>
      <c r="B1" s="3209" t="s">
        <v>2844</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1" t="s">
        <v>2832</v>
      </c>
      <c r="S21" s="3792"/>
      <c r="T21" s="3792"/>
      <c r="U21" s="3792"/>
      <c r="V21" s="3792"/>
      <c r="W21" s="3792"/>
      <c r="X21" s="3164"/>
      <c r="Y21" s="3791" t="s">
        <v>2833</v>
      </c>
      <c r="Z21" s="3792"/>
      <c r="AA21" s="3792"/>
      <c r="AB21" s="3792"/>
      <c r="AC21" s="3792"/>
      <c r="AD21" s="3792"/>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F36"/>
  <sheetViews>
    <sheetView topLeftCell="D1" workbookViewId="0">
      <selection activeCell="S29" sqref="S29"/>
    </sheetView>
  </sheetViews>
  <sheetFormatPr defaultRowHeight="13.5"/>
  <cols>
    <col min="3" max="3" width="20.5" customWidth="1"/>
    <col min="4" max="4" width="10" customWidth="1"/>
  </cols>
  <sheetData>
    <row r="22" spans="1:6">
      <c r="A22" s="3456" t="s">
        <v>3456</v>
      </c>
      <c r="B22" s="3456" t="s">
        <v>3463</v>
      </c>
      <c r="C22" s="3456" t="s">
        <v>3457</v>
      </c>
      <c r="D22" s="3456" t="s">
        <v>3458</v>
      </c>
      <c r="E22" s="3456" t="s">
        <v>3462</v>
      </c>
      <c r="F22" s="3456" t="s">
        <v>3459</v>
      </c>
    </row>
    <row r="23" spans="1:6">
      <c r="A23">
        <v>1056.2</v>
      </c>
      <c r="B23" s="3456">
        <v>10</v>
      </c>
      <c r="C23" s="3456" t="s">
        <v>3460</v>
      </c>
      <c r="D23">
        <v>1580000</v>
      </c>
      <c r="E23" s="3457">
        <f>D23/A23/365</f>
        <v>4.0984350722284333</v>
      </c>
      <c r="F23" s="3456" t="s">
        <v>3461</v>
      </c>
    </row>
    <row r="25" spans="1:6">
      <c r="C25" s="3456" t="s">
        <v>3464</v>
      </c>
      <c r="D25">
        <v>1580000</v>
      </c>
    </row>
    <row r="26" spans="1:6">
      <c r="C26" s="3456" t="s">
        <v>3465</v>
      </c>
      <c r="D26">
        <v>1580000</v>
      </c>
    </row>
    <row r="27" spans="1:6">
      <c r="C27" s="3456" t="s">
        <v>3466</v>
      </c>
      <c r="D27">
        <v>1580000</v>
      </c>
    </row>
    <row r="28" spans="1:6">
      <c r="C28" s="3456" t="s">
        <v>3467</v>
      </c>
      <c r="D28">
        <v>1580000</v>
      </c>
    </row>
    <row r="29" spans="1:6">
      <c r="C29" s="3456" t="s">
        <v>3468</v>
      </c>
      <c r="D29">
        <v>1580000</v>
      </c>
    </row>
    <row r="30" spans="1:6">
      <c r="C30" s="3456" t="s">
        <v>3469</v>
      </c>
      <c r="D30">
        <v>1580000</v>
      </c>
    </row>
    <row r="31" spans="1:6">
      <c r="C31" s="3456" t="s">
        <v>3470</v>
      </c>
      <c r="D31">
        <v>1580000</v>
      </c>
    </row>
    <row r="32" spans="1:6">
      <c r="C32" s="3456" t="s">
        <v>3471</v>
      </c>
      <c r="D32">
        <v>1580000</v>
      </c>
    </row>
    <row r="33" spans="3:4">
      <c r="C33" s="3456" t="s">
        <v>3472</v>
      </c>
      <c r="D33">
        <v>1580000</v>
      </c>
    </row>
    <row r="34" spans="3:4">
      <c r="C34" s="3456" t="s">
        <v>3473</v>
      </c>
      <c r="D34">
        <v>1580000</v>
      </c>
    </row>
    <row r="35" spans="3:4">
      <c r="C35" s="3456" t="s">
        <v>3474</v>
      </c>
      <c r="D35">
        <v>0</v>
      </c>
    </row>
    <row r="36" spans="3:4">
      <c r="C36" s="3456"/>
      <c r="D36">
        <f>SUM(D25:D35)</f>
        <v>15800000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0"/>
  <sheetViews>
    <sheetView workbookViewId="0">
      <selection activeCell="E10" sqref="E10"/>
    </sheetView>
  </sheetViews>
  <sheetFormatPr defaultRowHeight="13.5"/>
  <cols>
    <col min="1" max="1" width="29.75" customWidth="1"/>
    <col min="7" max="7" width="17.625" customWidth="1"/>
  </cols>
  <sheetData>
    <row r="3" spans="1:7">
      <c r="B3" s="3456" t="s">
        <v>3476</v>
      </c>
      <c r="C3" s="3456" t="s">
        <v>3477</v>
      </c>
      <c r="D3" s="3456" t="s">
        <v>3478</v>
      </c>
      <c r="E3" s="3456" t="s">
        <v>3481</v>
      </c>
      <c r="F3" s="3456" t="s">
        <v>3477</v>
      </c>
    </row>
    <row r="4" spans="1:7">
      <c r="A4" s="3456" t="s">
        <v>3475</v>
      </c>
      <c r="B4">
        <v>1</v>
      </c>
      <c r="C4">
        <v>350</v>
      </c>
      <c r="D4">
        <v>6.11</v>
      </c>
      <c r="G4" s="3456" t="s">
        <v>3483</v>
      </c>
    </row>
    <row r="5" spans="1:7">
      <c r="A5" s="3456" t="s">
        <v>3475</v>
      </c>
      <c r="B5" s="3456" t="s">
        <v>3480</v>
      </c>
      <c r="C5">
        <v>150</v>
      </c>
      <c r="D5">
        <v>10.4</v>
      </c>
    </row>
    <row r="6" spans="1:7">
      <c r="A6" s="3456" t="s">
        <v>3497</v>
      </c>
      <c r="B6" s="3456" t="s">
        <v>3480</v>
      </c>
      <c r="C6">
        <v>75</v>
      </c>
      <c r="D6">
        <v>11.8</v>
      </c>
      <c r="E6">
        <v>115736</v>
      </c>
      <c r="F6">
        <v>111.46</v>
      </c>
      <c r="G6" s="3456" t="s">
        <v>3482</v>
      </c>
    </row>
    <row r="7" spans="1:7">
      <c r="A7" s="3456" t="s">
        <v>3484</v>
      </c>
      <c r="B7" s="3456" t="s">
        <v>3485</v>
      </c>
      <c r="C7">
        <v>370</v>
      </c>
      <c r="D7">
        <v>8.5</v>
      </c>
    </row>
    <row r="8" spans="1:7">
      <c r="A8" s="3456" t="s">
        <v>3486</v>
      </c>
      <c r="B8" s="3456" t="s">
        <v>3480</v>
      </c>
      <c r="C8">
        <v>35</v>
      </c>
      <c r="D8">
        <v>9.5</v>
      </c>
    </row>
    <row r="9" spans="1:7">
      <c r="A9" s="3456" t="s">
        <v>3487</v>
      </c>
      <c r="B9" s="3456" t="s">
        <v>3488</v>
      </c>
      <c r="C9">
        <v>375</v>
      </c>
      <c r="D9">
        <v>8</v>
      </c>
    </row>
    <row r="10" spans="1:7">
      <c r="A10" s="3456" t="s">
        <v>3499</v>
      </c>
      <c r="B10" s="3456" t="s">
        <v>3490</v>
      </c>
      <c r="C10">
        <v>219</v>
      </c>
      <c r="D10" s="3459">
        <f>1400000/C10/365</f>
        <v>17.514230312128603</v>
      </c>
      <c r="E10" s="3458">
        <f>2700*10000/C10</f>
        <v>123287.67123287672</v>
      </c>
      <c r="F10">
        <v>219</v>
      </c>
      <c r="G10" s="3456" t="s">
        <v>3491</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3" t="s">
        <v>925</v>
      </c>
      <c r="E3" s="853" t="s">
        <v>931</v>
      </c>
      <c r="F3" s="853" t="s">
        <v>925</v>
      </c>
      <c r="G3" s="853" t="s">
        <v>926</v>
      </c>
      <c r="H3" s="853" t="s">
        <v>925</v>
      </c>
      <c r="I3" s="853" t="s">
        <v>926</v>
      </c>
    </row>
    <row r="4" spans="1:9" ht="30">
      <c r="A4" s="1504" t="str">
        <f>项目基本情况!S2</f>
        <v>北京市朝阳区双花园南里二区9号楼1层12商业用房房地产</v>
      </c>
      <c r="B4" s="853">
        <f>项目基本情况!C17</f>
        <v>1056.2</v>
      </c>
      <c r="C4" s="853">
        <f>项目基本情况!C18</f>
        <v>0</v>
      </c>
      <c r="D4" s="853">
        <f ca="1">结果表!D118</f>
        <v>4119</v>
      </c>
      <c r="E4" s="853">
        <f ca="1">结果表!E118</f>
        <v>39003</v>
      </c>
      <c r="F4" s="853">
        <f ca="1">结果表!F118</f>
        <v>1273</v>
      </c>
      <c r="G4" s="853">
        <f ca="1">结果表!G118</f>
        <v>12048</v>
      </c>
      <c r="H4" s="853">
        <f ca="1">结果表!H118</f>
        <v>5392</v>
      </c>
      <c r="I4" s="853">
        <f ca="1">结果表!I118</f>
        <v>51051</v>
      </c>
    </row>
    <row r="5" spans="1:9" ht="30" customHeight="1">
      <c r="A5" s="3478" t="s">
        <v>927</v>
      </c>
      <c r="B5" s="3478"/>
      <c r="C5" s="3478"/>
      <c r="D5" s="3478" t="str">
        <f ca="1">结果表!D119</f>
        <v>肆仟壹佰壹拾玖万元整</v>
      </c>
      <c r="E5" s="3478"/>
      <c r="F5" s="3478" t="str">
        <f ca="1">结果表!F119</f>
        <v>壹仟贰佰柒拾叁万元整</v>
      </c>
      <c r="G5" s="3478"/>
      <c r="H5" s="3478" t="str">
        <f ca="1">结果表!H119</f>
        <v>伍仟叁佰玖拾贰万元整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5392</v>
      </c>
      <c r="E8" s="3477"/>
      <c r="F8" s="3477"/>
      <c r="G8" s="3477"/>
      <c r="H8" s="3477"/>
      <c r="I8" s="3477"/>
    </row>
    <row r="9" spans="1:9" ht="15">
      <c r="A9" s="3478" t="s">
        <v>927</v>
      </c>
      <c r="B9" s="3478"/>
      <c r="C9" s="3478"/>
      <c r="D9" s="3478" t="str">
        <f ca="1">结果表!D123</f>
        <v>伍仟叁佰玖拾贰万元整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8" t="s">
        <v>956</v>
      </c>
      <c r="B15" s="3493" t="s">
        <v>109</v>
      </c>
      <c r="C15" s="3494"/>
    </row>
    <row r="16" spans="1:7" ht="13.5">
      <c r="A16" s="3499"/>
      <c r="B16" s="3493" t="s">
        <v>42</v>
      </c>
      <c r="C16" s="3494"/>
    </row>
    <row r="17" spans="1:3" ht="13.5">
      <c r="A17" s="3499"/>
      <c r="B17" s="3496" t="s">
        <v>957</v>
      </c>
      <c r="C17" s="1531" t="s">
        <v>956</v>
      </c>
    </row>
    <row r="18" spans="1:3" ht="13.5">
      <c r="A18" s="3499"/>
      <c r="B18" s="3496"/>
      <c r="C18" s="1531" t="s">
        <v>958</v>
      </c>
    </row>
    <row r="19" spans="1:3" ht="13.5">
      <c r="A19" s="3499"/>
      <c r="B19" s="3496"/>
      <c r="C19" s="1531" t="s">
        <v>959</v>
      </c>
    </row>
    <row r="20" spans="1:3" ht="13.5">
      <c r="A20" s="3500"/>
      <c r="B20" s="3495" t="s">
        <v>960</v>
      </c>
      <c r="C20" s="3494"/>
    </row>
    <row r="21" spans="1:3" ht="13.5">
      <c r="A21" s="1532" t="s">
        <v>961</v>
      </c>
      <c r="B21" s="1533"/>
      <c r="C21" s="1534"/>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1" t="s">
        <v>967</v>
      </c>
    </row>
    <row r="26" spans="1:3" ht="13.5">
      <c r="A26" s="3497"/>
      <c r="B26" s="3496"/>
      <c r="C26" s="1531" t="s">
        <v>968</v>
      </c>
    </row>
    <row r="27" spans="1:3" ht="13.5">
      <c r="A27" s="3497"/>
      <c r="B27" s="3496"/>
      <c r="C27" s="1531" t="s">
        <v>969</v>
      </c>
    </row>
    <row r="28" spans="1:3" ht="13.5">
      <c r="A28" s="3497"/>
      <c r="B28" s="3496"/>
      <c r="C28" s="1531" t="s">
        <v>970</v>
      </c>
    </row>
    <row r="29" spans="1:3" ht="13.5">
      <c r="A29" s="3497"/>
      <c r="B29" s="3496"/>
      <c r="C29" s="1531" t="s">
        <v>971</v>
      </c>
    </row>
    <row r="30" spans="1:3" ht="13.5">
      <c r="A30" s="3497"/>
      <c r="B30" s="3496"/>
      <c r="C30" s="1531" t="s">
        <v>972</v>
      </c>
    </row>
    <row r="31" spans="1:3" ht="13.5">
      <c r="A31" s="3497"/>
      <c r="B31" s="3496"/>
      <c r="C31" s="1531" t="s">
        <v>973</v>
      </c>
    </row>
    <row r="32" spans="1:3" ht="13.5">
      <c r="A32" s="3497"/>
      <c r="B32" s="3496"/>
      <c r="C32" s="1531" t="s">
        <v>974</v>
      </c>
    </row>
    <row r="33" spans="1:3" ht="13.5">
      <c r="A33" s="3497"/>
      <c r="B33" s="349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2"/>
      <c r="E18" s="3503" t="s">
        <v>2162</v>
      </c>
      <c r="F18" s="3502"/>
      <c r="G18" s="350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Sheet2</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2023-08-25T05:56:17Z</dcterms:modified>
</cp:coreProperties>
</file>