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汇总及案例" sheetId="80" r:id="rId18"/>
    <sheet name="结果表-1803"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803" sheetId="83" r:id="rId28"/>
    <sheet name="收益法-1803" sheetId="89" r:id="rId29"/>
    <sheet name="结果表-1804" sheetId="85" r:id="rId30"/>
    <sheet name="比较法-办公-1804" sheetId="82" r:id="rId31"/>
    <sheet name="收益法-1804" sheetId="87" r:id="rId32"/>
    <sheet name="结果表-1805" sheetId="84" r:id="rId33"/>
    <sheet name="比较法-办公-1805" sheetId="81" r:id="rId34"/>
    <sheet name="收益法-1805" sheetId="88" r:id="rId35"/>
    <sheet name="结果表1806" sheetId="86" r:id="rId36"/>
    <sheet name="比较法-办公-1806" sheetId="34"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收益法-1806" sheetId="67"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r:id="rId54"/>
    <sheet name="存贷款利率" sheetId="73" r:id="rId55"/>
  </sheets>
  <externalReferences>
    <externalReference r:id="rId56"/>
  </externalReferences>
  <definedNames>
    <definedName name="_xlnm._FilterDatabase" localSheetId="27" hidden="1">'比较法-办公-1803'!$A$1:$L$50</definedName>
    <definedName name="_xlnm._FilterDatabase" localSheetId="30" hidden="1">'比较法-办公-1804'!$A$1:$L$50</definedName>
    <definedName name="_xlnm._FilterDatabase" localSheetId="33" hidden="1">'比较法-办公-1805'!$A$1:$L$50</definedName>
    <definedName name="_xlnm._FilterDatabase" localSheetId="36" hidden="1">'比较法-办公-1806'!$A$1:$L$50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7">'比较法-办公-1803'!$A$1:$K$55,'比较法-办公-1803'!$A$58:$M$132</definedName>
    <definedName name="_xlnm.Print_Area" localSheetId="30">'比较法-办公-1804'!$A$1:$K$55,'比较法-办公-1804'!$A$58:$M$132</definedName>
    <definedName name="_xlnm.Print_Area" localSheetId="33">'比较法-办公-1805'!$A$1:$K$55,'比较法-办公-1805'!$A$58:$M$132</definedName>
    <definedName name="_xlnm.Print_Area" localSheetId="36">'比较法-办公-1806'!$A$1:$K$55,'比较法-办公-1806'!$A$58:$M$132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1">假设开发法!$A$1:$K$32</definedName>
    <definedName name="_xlnm.Print_Area" localSheetId="18">'结果表-1803'!$A$1:$I$127</definedName>
    <definedName name="_xlnm.Print_Area" localSheetId="29">'结果表-1804'!$A$1:$I$127</definedName>
    <definedName name="_xlnm.Print_Area" localSheetId="32">'结果表-1805'!$A$1:$I$127</definedName>
    <definedName name="_xlnm.Print_Area" localSheetId="35">结果表1806!$A$1:$I$127</definedName>
    <definedName name="_xlnm.Print_Area" localSheetId="22">收益法!$A$1:$F$43,收益法!$H$3:$M$29,收益法!$A$46:$F$71,收益法!$I$46:$N$65</definedName>
    <definedName name="_xlnm.Print_Area" localSheetId="24">'收益法（汇总）'!$A$1:$F$13</definedName>
    <definedName name="_xlnm.Print_Area" localSheetId="28">'收益法-1803'!$A$1:$F$43,'收益法-1803'!$H$3:$M$29,'收益法-1803'!$A$45:$F$71,'收益法-1803'!$I$46:$N$65</definedName>
    <definedName name="_xlnm.Print_Area" localSheetId="31">'收益法-1804'!$A$1:$F$43,'收益法-1804'!$H$3:$M$29,'收益法-1804'!$A$45:$F$71,'收益法-1804'!$I$46:$N$65</definedName>
    <definedName name="_xlnm.Print_Area" localSheetId="34">'收益法-1805'!$A$1:$F$43,'收益法-1805'!$H$3:$M$29,'收益法-1805'!$A$45:$F$71,'收益法-1805'!$I$46:$N$65</definedName>
    <definedName name="_xlnm.Print_Area" localSheetId="42">'收益法-1806'!$A$1:$F$43,'收益法-1806'!$H$3:$M$29,'收益法-1806'!$A$45:$F$71,'收益法-1806'!$I$46:$N$65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'比较法-办公-1803'!$B$119:$M$119</definedName>
    <definedName name="办公层高" localSheetId="30">'比较法-办公-1804'!$B$119:$M$119</definedName>
    <definedName name="办公层高" localSheetId="33">'比较法-办公-1805'!$B$119:$M$119</definedName>
    <definedName name="办公层高">'比较法-办公-1806'!$B$119:$M$119</definedName>
    <definedName name="办公朝向" localSheetId="27">'比较法-办公-1803'!$B$91:$M$91</definedName>
    <definedName name="办公朝向" localSheetId="30">'比较法-办公-1804'!$B$91:$M$91</definedName>
    <definedName name="办公朝向" localSheetId="33">'比较法-办公-1805'!$B$91:$M$91</definedName>
    <definedName name="办公朝向">'比较法-办公-1806'!$B$91:$M$91</definedName>
    <definedName name="办公道路级别" localSheetId="27">'比较法-办公-1803'!$B$87:$M$87</definedName>
    <definedName name="办公道路级别" localSheetId="30">'比较法-办公-1804'!$B$87:$M$87</definedName>
    <definedName name="办公道路级别" localSheetId="33">'比较法-办公-1805'!$B$87:$M$87</definedName>
    <definedName name="办公道路级别">'比较法-办公-1806'!$B$87:$M$87</definedName>
    <definedName name="办公公共部分装修" localSheetId="27">'比较法-办公-1803'!$B$108:$M$108</definedName>
    <definedName name="办公公共部分装修" localSheetId="30">'比较法-办公-1804'!$B$108:$M$108</definedName>
    <definedName name="办公公共部分装修" localSheetId="33">'比较法-办公-1805'!$B$108:$M$108</definedName>
    <definedName name="办公公共部分装修">'比较法-办公-1806'!$B$108:$M$108</definedName>
    <definedName name="办公基础设施水平" localSheetId="27">'比较法-办公-1803'!$B$117:$M$117</definedName>
    <definedName name="办公基础设施水平" localSheetId="30">'比较法-办公-1804'!$B$117:$M$117</definedName>
    <definedName name="办公基础设施水平" localSheetId="33">'比较法-办公-1805'!$B$117:$M$117</definedName>
    <definedName name="办公基础设施水平">'比较法-办公-1806'!$B$117:$M$117</definedName>
    <definedName name="办公集聚程度">定义!$M$1:$M$6</definedName>
    <definedName name="办公建筑结构" localSheetId="27">'比较法-办公-1803'!$B$106:$M$106</definedName>
    <definedName name="办公建筑结构" localSheetId="30">'比较法-办公-1804'!$B$106:$M$106</definedName>
    <definedName name="办公建筑结构" localSheetId="33">'比较法-办公-1805'!$B$106:$M$106</definedName>
    <definedName name="办公建筑结构">'比较法-办公-1806'!$B$106:$M$106</definedName>
    <definedName name="办公建筑类型" localSheetId="27">'比较法-办公-1803'!$B$101:$M$101</definedName>
    <definedName name="办公建筑类型" localSheetId="30">'比较法-办公-1804'!$B$101:$M$101</definedName>
    <definedName name="办公建筑类型" localSheetId="33">'比较法-办公-1805'!$B$101:$M$101</definedName>
    <definedName name="办公建筑类型">'比较法-办公-1806'!$B$101:$M$101</definedName>
    <definedName name="办公交易情况" localSheetId="27">'比较法-办公-1803'!$A$62:$M$62</definedName>
    <definedName name="办公交易情况" localSheetId="30">'比较法-办公-1804'!$A$62:$M$62</definedName>
    <definedName name="办公交易情况" localSheetId="33">'比较法-办公-1805'!$A$62:$M$62</definedName>
    <definedName name="办公交易情况">'比较法-办公-1806'!$A$62:$M$62</definedName>
    <definedName name="办公楼层" localSheetId="27">'比较法-办公-1803'!$B$89:$M$89</definedName>
    <definedName name="办公楼层" localSheetId="30">'比较法-办公-1804'!$B$89:$M$89</definedName>
    <definedName name="办公楼层" localSheetId="33">'比较法-办公-1805'!$B$89:$M$89</definedName>
    <definedName name="办公楼层">'比较法-办公-1806'!$B$89:$M$89</definedName>
    <definedName name="办公内部装修" localSheetId="27">'比较法-办公-1803'!$B$123:$M$123</definedName>
    <definedName name="办公内部装修" localSheetId="30">'比较法-办公-1804'!$B$123:$M$123</definedName>
    <definedName name="办公内部装修" localSheetId="33">'比较法-办公-1805'!$B$123:$M$123</definedName>
    <definedName name="办公内部装修">'比较法-办公-1806'!$B$123:$M$123</definedName>
    <definedName name="办公物业管理" localSheetId="27">'比较法-办公-1803'!$B$115:$M$115</definedName>
    <definedName name="办公物业管理" localSheetId="30">'比较法-办公-1804'!$B$115:$M$115</definedName>
    <definedName name="办公物业管理" localSheetId="33">'比较法-办公-1805'!$B$115:$M$115</definedName>
    <definedName name="办公物业管理">'比较法-办公-1806'!$B$115:$M$115</definedName>
    <definedName name="办公用途" localSheetId="27">'比较法-办公-1803'!$B$64:$M$64</definedName>
    <definedName name="办公用途" localSheetId="30">'比较法-办公-1804'!$B$64:$M$64</definedName>
    <definedName name="办公用途" localSheetId="33">'比较法-办公-1805'!$B$64:$M$64</definedName>
    <definedName name="办公用途">'比较法-办公-1806'!$B$64:$M$64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'比较法-办公-1803'!$B$113:$M$113</definedName>
    <definedName name="写字楼等级" localSheetId="30">'比较法-办公-1804'!$B$113:$M$113</definedName>
    <definedName name="写字楼等级" localSheetId="33">'比较法-办公-1805'!$B$113:$M$113</definedName>
    <definedName name="写字楼等级">'比较法-办公-1806'!$B$113:$M$113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86" l="1"/>
  <c r="C66" i="86"/>
  <c r="C75" i="84"/>
  <c r="C66" i="84"/>
  <c r="C75" i="85"/>
  <c r="C66" i="85"/>
  <c r="C66" i="9"/>
  <c r="C75" i="9"/>
  <c r="N18" i="1" l="1"/>
  <c r="I34" i="34"/>
  <c r="I34" i="81"/>
  <c r="I37" i="83"/>
  <c r="Q9" i="1"/>
  <c r="Q8" i="1"/>
  <c r="Q7" i="1"/>
  <c r="F43" i="80" l="1"/>
  <c r="F40" i="80"/>
  <c r="F41" i="80"/>
  <c r="F42" i="80"/>
  <c r="F39" i="80"/>
  <c r="B17" i="74"/>
  <c r="B15" i="74"/>
  <c r="B16" i="74"/>
  <c r="B14" i="74"/>
  <c r="C34" i="82"/>
  <c r="C34" i="81"/>
  <c r="C34" i="34"/>
  <c r="Q72" i="89"/>
  <c r="Q59" i="89"/>
  <c r="K59" i="89"/>
  <c r="P74" i="89" s="1"/>
  <c r="F59" i="89"/>
  <c r="Q58" i="89"/>
  <c r="Q51" i="89"/>
  <c r="J50" i="89"/>
  <c r="J51" i="89" s="1"/>
  <c r="J49" i="89"/>
  <c r="M47" i="89"/>
  <c r="D46" i="89"/>
  <c r="F34" i="89"/>
  <c r="F62" i="89" s="1"/>
  <c r="F33" i="89"/>
  <c r="F61" i="89" s="1"/>
  <c r="F31" i="89"/>
  <c r="F23" i="89"/>
  <c r="D23" i="89" s="1"/>
  <c r="F21" i="89"/>
  <c r="M20" i="89"/>
  <c r="F20" i="89"/>
  <c r="M19" i="89"/>
  <c r="F18" i="89"/>
  <c r="M17" i="89"/>
  <c r="F17" i="89"/>
  <c r="F15" i="89"/>
  <c r="G1" i="89"/>
  <c r="P74" i="88"/>
  <c r="Q72" i="88"/>
  <c r="Q59" i="88"/>
  <c r="K59" i="88"/>
  <c r="P61" i="88" s="1"/>
  <c r="F59" i="88"/>
  <c r="Q58" i="88"/>
  <c r="Q51" i="88"/>
  <c r="J50" i="88"/>
  <c r="J51" i="88" s="1"/>
  <c r="J49" i="88"/>
  <c r="M47" i="88"/>
  <c r="D46" i="88"/>
  <c r="F34" i="88"/>
  <c r="F62" i="88" s="1"/>
  <c r="F33" i="88"/>
  <c r="F61" i="88" s="1"/>
  <c r="F31" i="88"/>
  <c r="F23" i="88"/>
  <c r="D24" i="88" s="1"/>
  <c r="D23" i="88"/>
  <c r="D22" i="88"/>
  <c r="F21" i="88"/>
  <c r="M20" i="88"/>
  <c r="F20" i="88"/>
  <c r="M19" i="88"/>
  <c r="F18" i="88"/>
  <c r="M17" i="88"/>
  <c r="F17" i="88"/>
  <c r="F15" i="88"/>
  <c r="G1" i="88"/>
  <c r="P74" i="87"/>
  <c r="Q72" i="87"/>
  <c r="Q59" i="87"/>
  <c r="K59" i="87"/>
  <c r="P61" i="87" s="1"/>
  <c r="F59" i="87"/>
  <c r="Q58" i="87"/>
  <c r="Q51" i="87"/>
  <c r="J50" i="87"/>
  <c r="J51" i="87" s="1"/>
  <c r="J49" i="87"/>
  <c r="M47" i="87"/>
  <c r="D46" i="87"/>
  <c r="F34" i="87"/>
  <c r="F62" i="87" s="1"/>
  <c r="F33" i="87"/>
  <c r="F61" i="87" s="1"/>
  <c r="F31" i="87"/>
  <c r="F23" i="87"/>
  <c r="D24" i="87" s="1"/>
  <c r="D23" i="87"/>
  <c r="D22" i="87"/>
  <c r="F21" i="87"/>
  <c r="M20" i="87"/>
  <c r="F20" i="87"/>
  <c r="M19" i="87"/>
  <c r="F18" i="87"/>
  <c r="M17" i="87"/>
  <c r="F17" i="87"/>
  <c r="F15" i="87"/>
  <c r="G1" i="87"/>
  <c r="A120" i="86"/>
  <c r="A118" i="86"/>
  <c r="E111" i="86"/>
  <c r="E109" i="86"/>
  <c r="A124" i="86" s="1"/>
  <c r="E107" i="86"/>
  <c r="A122" i="86" s="1"/>
  <c r="H106" i="86"/>
  <c r="H103" i="86" s="1"/>
  <c r="D120" i="86" s="1"/>
  <c r="H105" i="86"/>
  <c r="H104" i="86"/>
  <c r="D101" i="86"/>
  <c r="C101" i="86"/>
  <c r="C91" i="86"/>
  <c r="E90" i="86"/>
  <c r="D89" i="86"/>
  <c r="C89" i="86"/>
  <c r="C87" i="86"/>
  <c r="C92" i="86" s="1"/>
  <c r="H77" i="86"/>
  <c r="D77" i="86"/>
  <c r="C77" i="86"/>
  <c r="C76" i="86"/>
  <c r="F59" i="86"/>
  <c r="E59" i="86"/>
  <c r="D59" i="86"/>
  <c r="N56" i="86"/>
  <c r="M56" i="86"/>
  <c r="K56" i="86"/>
  <c r="J56" i="86"/>
  <c r="F56" i="86"/>
  <c r="O55" i="86"/>
  <c r="N55" i="86"/>
  <c r="M55" i="86"/>
  <c r="K55" i="86"/>
  <c r="J55" i="86"/>
  <c r="J57" i="86" s="1"/>
  <c r="J59" i="86" s="1"/>
  <c r="J61" i="86" s="1"/>
  <c r="I55" i="86"/>
  <c r="F55" i="86"/>
  <c r="O53" i="86" s="1"/>
  <c r="O54" i="86"/>
  <c r="N54" i="86"/>
  <c r="N53" i="86"/>
  <c r="K49" i="86"/>
  <c r="E48" i="86"/>
  <c r="N52" i="86" s="1"/>
  <c r="M47" i="86"/>
  <c r="F33" i="86"/>
  <c r="D27" i="86"/>
  <c r="C25" i="86"/>
  <c r="C24" i="86"/>
  <c r="M19" i="86"/>
  <c r="C118" i="86" s="1"/>
  <c r="L19" i="86"/>
  <c r="M18" i="86"/>
  <c r="B118" i="86" s="1"/>
  <c r="L18" i="86"/>
  <c r="D17" i="86"/>
  <c r="C17" i="86"/>
  <c r="C18" i="86" s="1"/>
  <c r="D18" i="86" s="1"/>
  <c r="L4" i="86"/>
  <c r="K4" i="86"/>
  <c r="A2" i="86"/>
  <c r="H1" i="86"/>
  <c r="A120" i="85"/>
  <c r="A118" i="85"/>
  <c r="E111" i="85"/>
  <c r="E109" i="85"/>
  <c r="A124" i="85" s="1"/>
  <c r="E107" i="85"/>
  <c r="A122" i="85" s="1"/>
  <c r="H106" i="85"/>
  <c r="H103" i="85" s="1"/>
  <c r="D120" i="85" s="1"/>
  <c r="H105" i="85"/>
  <c r="H104" i="85"/>
  <c r="D101" i="85"/>
  <c r="C101" i="85"/>
  <c r="C91" i="85"/>
  <c r="E90" i="85"/>
  <c r="D89" i="85"/>
  <c r="C89" i="85"/>
  <c r="C87" i="85"/>
  <c r="C92" i="85" s="1"/>
  <c r="H77" i="85"/>
  <c r="D77" i="85"/>
  <c r="C77" i="85"/>
  <c r="C76" i="85"/>
  <c r="F59" i="85"/>
  <c r="E59" i="85"/>
  <c r="D59" i="85"/>
  <c r="N56" i="85"/>
  <c r="M56" i="85"/>
  <c r="K56" i="85"/>
  <c r="J56" i="85"/>
  <c r="F56" i="85"/>
  <c r="O55" i="85"/>
  <c r="N55" i="85"/>
  <c r="M55" i="85"/>
  <c r="K55" i="85"/>
  <c r="J55" i="85"/>
  <c r="J57" i="85" s="1"/>
  <c r="J59" i="85" s="1"/>
  <c r="J61" i="85" s="1"/>
  <c r="I55" i="85"/>
  <c r="F55" i="85"/>
  <c r="O53" i="85" s="1"/>
  <c r="O54" i="85"/>
  <c r="N54" i="85"/>
  <c r="N53" i="85"/>
  <c r="K49" i="85"/>
  <c r="E48" i="85"/>
  <c r="N52" i="85" s="1"/>
  <c r="M47" i="85"/>
  <c r="F33" i="85"/>
  <c r="D27" i="85"/>
  <c r="C25" i="85"/>
  <c r="C24" i="85"/>
  <c r="M19" i="85"/>
  <c r="C118" i="85" s="1"/>
  <c r="L19" i="85"/>
  <c r="M18" i="85"/>
  <c r="B118" i="85" s="1"/>
  <c r="L18" i="85"/>
  <c r="D17" i="85"/>
  <c r="C17" i="85"/>
  <c r="C18" i="85" s="1"/>
  <c r="D18" i="85" s="1"/>
  <c r="L4" i="85"/>
  <c r="K4" i="85"/>
  <c r="A2" i="85"/>
  <c r="H1" i="85"/>
  <c r="A124" i="84"/>
  <c r="A120" i="84"/>
  <c r="A118" i="84"/>
  <c r="E111" i="84"/>
  <c r="A126" i="84" s="1"/>
  <c r="H109" i="84"/>
  <c r="D124" i="84" s="1"/>
  <c r="D125" i="84" s="1"/>
  <c r="E109" i="84"/>
  <c r="E107" i="84"/>
  <c r="A122" i="84" s="1"/>
  <c r="H106" i="84"/>
  <c r="H103" i="84" s="1"/>
  <c r="D120" i="84" s="1"/>
  <c r="H105" i="84"/>
  <c r="H104" i="84"/>
  <c r="D101" i="84"/>
  <c r="C101" i="84"/>
  <c r="C91" i="84"/>
  <c r="E90" i="84"/>
  <c r="D89" i="84"/>
  <c r="C89" i="84"/>
  <c r="C87" i="84"/>
  <c r="C92" i="84" s="1"/>
  <c r="H77" i="84"/>
  <c r="D77" i="84"/>
  <c r="C77" i="84"/>
  <c r="C76" i="84"/>
  <c r="F59" i="84"/>
  <c r="E59" i="84"/>
  <c r="D59" i="84"/>
  <c r="M55" i="84" s="1"/>
  <c r="N56" i="84"/>
  <c r="M56" i="84"/>
  <c r="K56" i="84"/>
  <c r="J56" i="84"/>
  <c r="F56" i="84"/>
  <c r="O55" i="84"/>
  <c r="N55" i="84"/>
  <c r="K55" i="84"/>
  <c r="J55" i="84"/>
  <c r="J57" i="84" s="1"/>
  <c r="J59" i="84" s="1"/>
  <c r="J61" i="84" s="1"/>
  <c r="I55" i="84"/>
  <c r="F55" i="84" s="1"/>
  <c r="O53" i="84" s="1"/>
  <c r="O54" i="84"/>
  <c r="N54" i="84"/>
  <c r="N53" i="84"/>
  <c r="K49" i="84"/>
  <c r="E48" i="84"/>
  <c r="N52" i="84" s="1"/>
  <c r="M47" i="84"/>
  <c r="F33" i="84"/>
  <c r="D27" i="84"/>
  <c r="C25" i="84"/>
  <c r="C24" i="84"/>
  <c r="M19" i="84"/>
  <c r="C118" i="84" s="1"/>
  <c r="L19" i="84"/>
  <c r="M18" i="84"/>
  <c r="B118" i="84" s="1"/>
  <c r="L18" i="84"/>
  <c r="D17" i="84"/>
  <c r="C17" i="84"/>
  <c r="C18" i="84" s="1"/>
  <c r="D18" i="84" s="1"/>
  <c r="L4" i="84"/>
  <c r="K4" i="84"/>
  <c r="A2" i="84"/>
  <c r="H1" i="84"/>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E118" i="83"/>
  <c r="F118" i="83" s="1"/>
  <c r="G118" i="83" s="1"/>
  <c r="D118" i="83"/>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C64" i="83"/>
  <c r="I55" i="83"/>
  <c r="J55" i="83" s="1"/>
  <c r="G55" i="83"/>
  <c r="H55" i="83" s="1"/>
  <c r="F55" i="83"/>
  <c r="E55" i="83"/>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Z37" i="83"/>
  <c r="Q37" i="83"/>
  <c r="J37" i="83"/>
  <c r="AC37" i="83" s="1"/>
  <c r="H37" i="83"/>
  <c r="AB37" i="83" s="1"/>
  <c r="AB36" i="83"/>
  <c r="Q36" i="83"/>
  <c r="Z36" i="83" s="1"/>
  <c r="J36" i="83"/>
  <c r="W36" i="83" s="1"/>
  <c r="H36" i="83"/>
  <c r="U36" i="83" s="1"/>
  <c r="F36" i="83"/>
  <c r="S36" i="83" s="1"/>
  <c r="AA35" i="83"/>
  <c r="Q35" i="83"/>
  <c r="Z35" i="83" s="1"/>
  <c r="J35" i="83"/>
  <c r="AC35" i="83" s="1"/>
  <c r="H35" i="83"/>
  <c r="U35" i="83" s="1"/>
  <c r="F35" i="83"/>
  <c r="S35" i="83" s="1"/>
  <c r="Z34" i="83"/>
  <c r="Q34" i="83"/>
  <c r="C34" i="83"/>
  <c r="H34" i="83" s="1"/>
  <c r="AA33" i="83"/>
  <c r="Z33" i="83"/>
  <c r="Q33" i="83"/>
  <c r="J33" i="83"/>
  <c r="W33" i="83" s="1"/>
  <c r="H33" i="83"/>
  <c r="AB33" i="83" s="1"/>
  <c r="F33" i="83"/>
  <c r="S33" i="83" s="1"/>
  <c r="AB32" i="83"/>
  <c r="U32" i="83"/>
  <c r="Q32" i="83"/>
  <c r="Z32" i="83" s="1"/>
  <c r="J32" i="83"/>
  <c r="AC32" i="83" s="1"/>
  <c r="H32" i="83"/>
  <c r="F32" i="83"/>
  <c r="AA32" i="83" s="1"/>
  <c r="AC31" i="83"/>
  <c r="Q31" i="83"/>
  <c r="Z31" i="83" s="1"/>
  <c r="J31" i="83"/>
  <c r="W31" i="83" s="1"/>
  <c r="H31" i="83"/>
  <c r="U31" i="83" s="1"/>
  <c r="F31" i="83"/>
  <c r="S31" i="83" s="1"/>
  <c r="AA30" i="83"/>
  <c r="Z30" i="83"/>
  <c r="Q30" i="83"/>
  <c r="J30" i="83"/>
  <c r="AC30" i="83" s="1"/>
  <c r="H30" i="83"/>
  <c r="U30" i="83" s="1"/>
  <c r="F30" i="83"/>
  <c r="S30" i="83" s="1"/>
  <c r="AA29" i="83"/>
  <c r="Z29" i="83"/>
  <c r="Q29" i="83"/>
  <c r="J29" i="83"/>
  <c r="AC29" i="83" s="1"/>
  <c r="H29" i="83"/>
  <c r="AB29" i="83" s="1"/>
  <c r="F29" i="83"/>
  <c r="S29" i="83" s="1"/>
  <c r="AC28" i="83"/>
  <c r="AB28" i="83"/>
  <c r="W28" i="83"/>
  <c r="U28" i="83"/>
  <c r="Q28" i="83"/>
  <c r="Z28" i="83" s="1"/>
  <c r="J28" i="83"/>
  <c r="H28" i="83"/>
  <c r="F28" i="83"/>
  <c r="AA28" i="83" s="1"/>
  <c r="Q27" i="83"/>
  <c r="Z27" i="83" s="1"/>
  <c r="H27" i="83"/>
  <c r="U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J7" i="83"/>
  <c r="W7" i="83" s="1"/>
  <c r="H7" i="83"/>
  <c r="U7" i="83" s="1"/>
  <c r="C7" i="83"/>
  <c r="C59" i="83" s="1"/>
  <c r="D59" i="83" s="1"/>
  <c r="E59" i="83" s="1"/>
  <c r="F59" i="83" s="1"/>
  <c r="G59" i="83" s="1"/>
  <c r="H59" i="83" s="1"/>
  <c r="I59" i="83" s="1"/>
  <c r="J59" i="83" s="1"/>
  <c r="K59" i="83" s="1"/>
  <c r="L59" i="83" s="1"/>
  <c r="M59" i="83" s="1"/>
  <c r="N59" i="83" s="1"/>
  <c r="O59" i="83" s="1"/>
  <c r="D3" i="83"/>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H37" i="82"/>
  <c r="AB37" i="82" s="1"/>
  <c r="AC36" i="82"/>
  <c r="Q36" i="82"/>
  <c r="Z36" i="82" s="1"/>
  <c r="J36" i="82"/>
  <c r="W36" i="82" s="1"/>
  <c r="H36" i="82"/>
  <c r="AB36" i="82" s="1"/>
  <c r="F36" i="82"/>
  <c r="S36" i="82" s="1"/>
  <c r="AB35" i="82"/>
  <c r="Q35" i="82"/>
  <c r="Z35" i="82" s="1"/>
  <c r="J35" i="82"/>
  <c r="AC35" i="82" s="1"/>
  <c r="H35" i="82"/>
  <c r="U35" i="82" s="1"/>
  <c r="F35" i="82"/>
  <c r="S35" i="82" s="1"/>
  <c r="Z34" i="82"/>
  <c r="Q34" i="82"/>
  <c r="J34" i="82"/>
  <c r="AC34" i="82" s="1"/>
  <c r="F34" i="82"/>
  <c r="AA34" i="82" s="1"/>
  <c r="H34" i="82"/>
  <c r="Z33" i="82"/>
  <c r="Q33" i="82"/>
  <c r="J33" i="82"/>
  <c r="AC33" i="82" s="1"/>
  <c r="H33" i="82"/>
  <c r="AB33" i="82" s="1"/>
  <c r="F33" i="82"/>
  <c r="S33" i="82" s="1"/>
  <c r="AC32" i="82"/>
  <c r="AB32" i="82"/>
  <c r="W32" i="82"/>
  <c r="Q32" i="82"/>
  <c r="Z32" i="82" s="1"/>
  <c r="J32" i="82"/>
  <c r="H32" i="82"/>
  <c r="U32" i="82" s="1"/>
  <c r="F32" i="82"/>
  <c r="AA32" i="82" s="1"/>
  <c r="AC31" i="82"/>
  <c r="AA31" i="82"/>
  <c r="Q31" i="82"/>
  <c r="Z31" i="82" s="1"/>
  <c r="J31" i="82"/>
  <c r="W31" i="82" s="1"/>
  <c r="H31" i="82"/>
  <c r="U31" i="82" s="1"/>
  <c r="F31" i="82"/>
  <c r="S31" i="82" s="1"/>
  <c r="AB30" i="82"/>
  <c r="Z30" i="82"/>
  <c r="Q30" i="82"/>
  <c r="J30" i="82"/>
  <c r="AC30" i="82" s="1"/>
  <c r="H30" i="82"/>
  <c r="U30" i="82" s="1"/>
  <c r="F30" i="82"/>
  <c r="S30" i="82" s="1"/>
  <c r="AC29" i="82"/>
  <c r="AA29" i="82"/>
  <c r="W29" i="82"/>
  <c r="Q29" i="82"/>
  <c r="Z29" i="82" s="1"/>
  <c r="J29" i="82"/>
  <c r="H29" i="82"/>
  <c r="AB29" i="82" s="1"/>
  <c r="F29" i="82"/>
  <c r="S29" i="82" s="1"/>
  <c r="AC28" i="82"/>
  <c r="Z28" i="82"/>
  <c r="U28" i="82"/>
  <c r="Q28" i="82"/>
  <c r="J28" i="82"/>
  <c r="W28" i="82" s="1"/>
  <c r="H28" i="82"/>
  <c r="AB28" i="82" s="1"/>
  <c r="F28" i="82"/>
  <c r="AA28" i="82" s="1"/>
  <c r="Q27" i="82"/>
  <c r="Z27" i="82" s="1"/>
  <c r="H27" i="82"/>
  <c r="U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J8" i="82"/>
  <c r="AC8" i="82" s="1"/>
  <c r="H8" i="82"/>
  <c r="U8" i="82" s="1"/>
  <c r="F8" i="82"/>
  <c r="S8" i="82" s="1"/>
  <c r="J7" i="82"/>
  <c r="W7" i="82" s="1"/>
  <c r="H7" i="82"/>
  <c r="U7" i="82" s="1"/>
  <c r="C7" i="82"/>
  <c r="C59" i="82" s="1"/>
  <c r="D59" i="82" s="1"/>
  <c r="E59" i="82" s="1"/>
  <c r="F59" i="82" s="1"/>
  <c r="G59" i="82" s="1"/>
  <c r="H59" i="82" s="1"/>
  <c r="I59" i="82" s="1"/>
  <c r="J59" i="82" s="1"/>
  <c r="K59" i="82" s="1"/>
  <c r="L59" i="82" s="1"/>
  <c r="M59" i="82" s="1"/>
  <c r="N59" i="82" s="1"/>
  <c r="O59" i="82" s="1"/>
  <c r="D3" i="82"/>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F55" i="81"/>
  <c r="E55" i="8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U37" i="81"/>
  <c r="Q37" i="81"/>
  <c r="H37" i="81"/>
  <c r="AB37" i="81" s="1"/>
  <c r="Q36" i="81"/>
  <c r="Z36" i="81" s="1"/>
  <c r="J36" i="81"/>
  <c r="W36" i="81" s="1"/>
  <c r="H36" i="81"/>
  <c r="U36" i="81" s="1"/>
  <c r="F36" i="81"/>
  <c r="S36" i="81" s="1"/>
  <c r="AA35" i="81"/>
  <c r="Z35" i="81"/>
  <c r="Q35" i="81"/>
  <c r="J35" i="81"/>
  <c r="AC35" i="81" s="1"/>
  <c r="H35" i="81"/>
  <c r="U35" i="81" s="1"/>
  <c r="F35" i="81"/>
  <c r="S35" i="81" s="1"/>
  <c r="Z34" i="81"/>
  <c r="Q34" i="81"/>
  <c r="J34" i="81"/>
  <c r="AC34" i="81" s="1"/>
  <c r="H34" i="81"/>
  <c r="AC33" i="81"/>
  <c r="W33" i="81"/>
  <c r="Q33" i="81"/>
  <c r="Z33" i="81" s="1"/>
  <c r="J33" i="81"/>
  <c r="H33" i="81"/>
  <c r="AB33" i="81" s="1"/>
  <c r="F33" i="81"/>
  <c r="S33" i="81" s="1"/>
  <c r="AC32" i="81"/>
  <c r="Z32" i="81"/>
  <c r="W32" i="81"/>
  <c r="Q32" i="81"/>
  <c r="J32" i="81"/>
  <c r="H32" i="81"/>
  <c r="U32" i="81" s="1"/>
  <c r="F32" i="81"/>
  <c r="AA32" i="81" s="1"/>
  <c r="AB31" i="81"/>
  <c r="AA31" i="81"/>
  <c r="Q31" i="81"/>
  <c r="Z31" i="81" s="1"/>
  <c r="J31" i="81"/>
  <c r="W31" i="81" s="1"/>
  <c r="H31" i="81"/>
  <c r="U31" i="81" s="1"/>
  <c r="F31" i="81"/>
  <c r="S31" i="81" s="1"/>
  <c r="AB30" i="81"/>
  <c r="Q30" i="81"/>
  <c r="Z30" i="81" s="1"/>
  <c r="J30" i="81"/>
  <c r="AC30" i="81" s="1"/>
  <c r="H30" i="81"/>
  <c r="U30" i="81" s="1"/>
  <c r="F30" i="81"/>
  <c r="S30" i="81" s="1"/>
  <c r="AC29" i="81"/>
  <c r="Z29" i="81"/>
  <c r="W29" i="81"/>
  <c r="Q29" i="81"/>
  <c r="J29" i="81"/>
  <c r="H29" i="81"/>
  <c r="AB29" i="81" s="1"/>
  <c r="F29" i="81"/>
  <c r="S29" i="81" s="1"/>
  <c r="Z28" i="81"/>
  <c r="Q28" i="81"/>
  <c r="J28" i="81"/>
  <c r="W28" i="81" s="1"/>
  <c r="H28" i="81"/>
  <c r="AB28" i="81" s="1"/>
  <c r="F28" i="81"/>
  <c r="AA28" i="81" s="1"/>
  <c r="Q27" i="81"/>
  <c r="Z27" i="81" s="1"/>
  <c r="J27" i="81"/>
  <c r="W27" i="81" s="1"/>
  <c r="H27" i="81"/>
  <c r="U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AA8" i="81" s="1"/>
  <c r="J7" i="81"/>
  <c r="AC7" i="81" s="1"/>
  <c r="H7" i="81"/>
  <c r="U7" i="81" s="1"/>
  <c r="C7" i="81"/>
  <c r="C59" i="81" s="1"/>
  <c r="D59" i="81" s="1"/>
  <c r="E59" i="81" s="1"/>
  <c r="F59" i="81" s="1"/>
  <c r="G59" i="81" s="1"/>
  <c r="H59" i="81" s="1"/>
  <c r="I59" i="81" s="1"/>
  <c r="J59" i="81" s="1"/>
  <c r="K59" i="81" s="1"/>
  <c r="L59" i="81" s="1"/>
  <c r="M59" i="81" s="1"/>
  <c r="N59" i="81" s="1"/>
  <c r="O59" i="81" s="1"/>
  <c r="D3" i="81"/>
  <c r="N9" i="1"/>
  <c r="Y9" i="1" s="1"/>
  <c r="N8" i="1"/>
  <c r="N7" i="1"/>
  <c r="Y7" i="1" s="1"/>
  <c r="Y8" i="1"/>
  <c r="F20" i="6"/>
  <c r="F21" i="6"/>
  <c r="F22" i="6"/>
  <c r="L48" i="89"/>
  <c r="F6" i="88"/>
  <c r="D35" i="84"/>
  <c r="F26" i="89"/>
  <c r="M6" i="89"/>
  <c r="F7" i="87"/>
  <c r="F9" i="89"/>
  <c r="J15" i="88"/>
  <c r="J15" i="89"/>
  <c r="M27" i="88"/>
  <c r="D34" i="86"/>
  <c r="C76" i="87"/>
  <c r="F36" i="89"/>
  <c r="M23" i="89"/>
  <c r="F13" i="89"/>
  <c r="M29" i="89"/>
  <c r="M23" i="87"/>
  <c r="M9" i="87"/>
  <c r="F6" i="89"/>
  <c r="M23" i="88"/>
  <c r="D34" i="85"/>
  <c r="F38" i="89"/>
  <c r="M27" i="87"/>
  <c r="F7" i="89"/>
  <c r="M9" i="88"/>
  <c r="D34" i="84"/>
  <c r="F16" i="89"/>
  <c r="F26" i="87"/>
  <c r="D2" i="82"/>
  <c r="M27" i="89"/>
  <c r="M8" i="89"/>
  <c r="F9" i="87"/>
  <c r="D35" i="85"/>
  <c r="L47" i="89"/>
  <c r="C76" i="88"/>
  <c r="D2" i="83"/>
  <c r="C76" i="89"/>
  <c r="M9" i="89"/>
  <c r="F26" i="88"/>
  <c r="D35" i="86"/>
  <c r="D2" i="81"/>
  <c r="M26" i="89"/>
  <c r="J15" i="87"/>
  <c r="F6" i="87"/>
  <c r="C74" i="86" l="1"/>
  <c r="C74" i="84"/>
  <c r="C74" i="85"/>
  <c r="AC27" i="81"/>
  <c r="AB27" i="81"/>
  <c r="F90" i="83"/>
  <c r="G90" i="83" s="1"/>
  <c r="H90" i="83" s="1"/>
  <c r="I90" i="83" s="1"/>
  <c r="J90" i="83" s="1"/>
  <c r="K90" i="83" s="1"/>
  <c r="L90" i="83" s="1"/>
  <c r="M90" i="83" s="1"/>
  <c r="J27" i="83"/>
  <c r="W27" i="83" s="1"/>
  <c r="AA27" i="83"/>
  <c r="F90" i="82"/>
  <c r="G90" i="82" s="1"/>
  <c r="H90" i="82" s="1"/>
  <c r="I90" i="82" s="1"/>
  <c r="J90" i="82" s="1"/>
  <c r="K90" i="82" s="1"/>
  <c r="L90" i="82" s="1"/>
  <c r="M90" i="82" s="1"/>
  <c r="J27" i="82"/>
  <c r="W27" i="82" s="1"/>
  <c r="AB27" i="82"/>
  <c r="W34" i="82"/>
  <c r="W37" i="83"/>
  <c r="A126" i="85"/>
  <c r="A126" i="86"/>
  <c r="Q71" i="89"/>
  <c r="F64" i="89"/>
  <c r="F66" i="89"/>
  <c r="N59" i="89"/>
  <c r="L58" i="89"/>
  <c r="M59" i="89"/>
  <c r="L59" i="89"/>
  <c r="L57" i="89"/>
  <c r="L56" i="89"/>
  <c r="L60" i="89"/>
  <c r="M7" i="89"/>
  <c r="J6" i="89" s="1"/>
  <c r="F50" i="89"/>
  <c r="I54" i="89"/>
  <c r="D24" i="89"/>
  <c r="P61" i="89"/>
  <c r="C27" i="89"/>
  <c r="J53" i="89"/>
  <c r="J57" i="89"/>
  <c r="J55" i="89" s="1"/>
  <c r="J58" i="89" s="1"/>
  <c r="Q50" i="89" s="1"/>
  <c r="D22" i="89"/>
  <c r="Q71" i="88"/>
  <c r="C27" i="88"/>
  <c r="Q71" i="87"/>
  <c r="M7" i="87"/>
  <c r="F50" i="87"/>
  <c r="C27" i="87"/>
  <c r="D121" i="86"/>
  <c r="K120" i="86"/>
  <c r="C94" i="86"/>
  <c r="H109" i="86"/>
  <c r="D121" i="85"/>
  <c r="K120" i="85"/>
  <c r="C94" i="85"/>
  <c r="H109" i="85"/>
  <c r="D121" i="84"/>
  <c r="K120" i="84"/>
  <c r="C94" i="84"/>
  <c r="H110" i="84"/>
  <c r="W8" i="83"/>
  <c r="S9" i="83"/>
  <c r="U10" i="83"/>
  <c r="W11" i="83"/>
  <c r="S13" i="83"/>
  <c r="U14" i="83"/>
  <c r="U15" i="83"/>
  <c r="U17" i="83"/>
  <c r="U19" i="83"/>
  <c r="U21" i="83"/>
  <c r="U23" i="83"/>
  <c r="W25" i="83"/>
  <c r="AB27" i="83"/>
  <c r="W29" i="83"/>
  <c r="AB30" i="83"/>
  <c r="AA31" i="83"/>
  <c r="W32" i="83"/>
  <c r="AC33" i="83"/>
  <c r="AC36" i="83"/>
  <c r="U37" i="83"/>
  <c r="AA8" i="83"/>
  <c r="W10" i="83"/>
  <c r="S12" i="83"/>
  <c r="U13" i="83"/>
  <c r="W14" i="83"/>
  <c r="W15" i="83"/>
  <c r="W17" i="83"/>
  <c r="W19" i="83"/>
  <c r="W21" i="83"/>
  <c r="W23" i="83"/>
  <c r="AB31" i="83"/>
  <c r="AB34" i="83"/>
  <c r="U34" i="83"/>
  <c r="S38" i="83"/>
  <c r="AB7" i="83"/>
  <c r="U9" i="83"/>
  <c r="F7" i="83"/>
  <c r="AC7" i="83"/>
  <c r="AB8" i="83"/>
  <c r="W9" i="83"/>
  <c r="S11" i="83"/>
  <c r="U12" i="83"/>
  <c r="W13" i="83"/>
  <c r="S25" i="83"/>
  <c r="F34" i="83"/>
  <c r="AB35" i="83"/>
  <c r="AA36" i="83"/>
  <c r="T49" i="83"/>
  <c r="G49" i="83" s="1"/>
  <c r="G112" i="83"/>
  <c r="H112" i="83" s="1"/>
  <c r="I112" i="83" s="1"/>
  <c r="J112" i="83" s="1"/>
  <c r="K112" i="83" s="1"/>
  <c r="L112" i="83" s="1"/>
  <c r="M112" i="83" s="1"/>
  <c r="F37" i="83"/>
  <c r="S10" i="83"/>
  <c r="U11" i="83"/>
  <c r="W12" i="83"/>
  <c r="S14" i="83"/>
  <c r="S15" i="83"/>
  <c r="S17" i="83"/>
  <c r="S19" i="83"/>
  <c r="S21" i="83"/>
  <c r="S23" i="83"/>
  <c r="U25" i="83"/>
  <c r="J34" i="83"/>
  <c r="S28" i="83"/>
  <c r="U29" i="83"/>
  <c r="W30" i="83"/>
  <c r="S32" i="83"/>
  <c r="U33" i="83"/>
  <c r="W35" i="83"/>
  <c r="U38" i="83"/>
  <c r="W39" i="83"/>
  <c r="S41" i="83"/>
  <c r="U42" i="83"/>
  <c r="W43" i="83"/>
  <c r="S45" i="83"/>
  <c r="U46" i="83"/>
  <c r="W47" i="83"/>
  <c r="W38" i="83"/>
  <c r="S40" i="83"/>
  <c r="U41" i="83"/>
  <c r="W42" i="83"/>
  <c r="S44" i="83"/>
  <c r="U45" i="83"/>
  <c r="W46" i="83"/>
  <c r="S39" i="83"/>
  <c r="U40" i="83"/>
  <c r="W41" i="83"/>
  <c r="S43" i="83"/>
  <c r="U44" i="83"/>
  <c r="W45" i="83"/>
  <c r="S47" i="83"/>
  <c r="U39" i="83"/>
  <c r="W40" i="83"/>
  <c r="S42" i="83"/>
  <c r="U43" i="83"/>
  <c r="W44" i="83"/>
  <c r="S46" i="83"/>
  <c r="U47" i="83"/>
  <c r="S9" i="82"/>
  <c r="AA8" i="82"/>
  <c r="U9" i="82"/>
  <c r="W10" i="82"/>
  <c r="S12" i="82"/>
  <c r="U13" i="82"/>
  <c r="W14" i="82"/>
  <c r="W15" i="82"/>
  <c r="W17" i="82"/>
  <c r="W19" i="82"/>
  <c r="W21" i="82"/>
  <c r="W23" i="82"/>
  <c r="AC27" i="82"/>
  <c r="AB31" i="82"/>
  <c r="W33" i="82"/>
  <c r="AB34" i="82"/>
  <c r="T49" i="82" s="1"/>
  <c r="G49" i="82" s="1"/>
  <c r="U34" i="82"/>
  <c r="S34" i="82"/>
  <c r="AA35" i="82"/>
  <c r="AA36" i="82"/>
  <c r="U37" i="82"/>
  <c r="AB7" i="82"/>
  <c r="F7" i="82"/>
  <c r="AC7" i="82"/>
  <c r="AB8" i="82"/>
  <c r="W9" i="82"/>
  <c r="S11" i="82"/>
  <c r="U12" i="82"/>
  <c r="W13" i="82"/>
  <c r="S25" i="82"/>
  <c r="S10" i="82"/>
  <c r="U11" i="82"/>
  <c r="W12" i="82"/>
  <c r="S14" i="82"/>
  <c r="S15" i="82"/>
  <c r="S17" i="82"/>
  <c r="S19" i="82"/>
  <c r="S21" i="82"/>
  <c r="S23" i="82"/>
  <c r="U25" i="82"/>
  <c r="AA27" i="82"/>
  <c r="AA30" i="82"/>
  <c r="AA33" i="82"/>
  <c r="G112" i="82"/>
  <c r="H112" i="82" s="1"/>
  <c r="I112" i="82" s="1"/>
  <c r="J112" i="82" s="1"/>
  <c r="K112" i="82" s="1"/>
  <c r="L112" i="82" s="1"/>
  <c r="M112" i="82" s="1"/>
  <c r="J37" i="82"/>
  <c r="F37" i="82"/>
  <c r="U10" i="82"/>
  <c r="W11" i="82"/>
  <c r="S13" i="82"/>
  <c r="U14" i="82"/>
  <c r="U15" i="82"/>
  <c r="U17" i="82"/>
  <c r="U19" i="82"/>
  <c r="U21" i="82"/>
  <c r="U23" i="82"/>
  <c r="W25" i="82"/>
  <c r="S28" i="82"/>
  <c r="U29" i="82"/>
  <c r="W30" i="82"/>
  <c r="S32" i="82"/>
  <c r="U33" i="82"/>
  <c r="W35" i="82"/>
  <c r="U38" i="82"/>
  <c r="W39" i="82"/>
  <c r="S41" i="82"/>
  <c r="U42" i="82"/>
  <c r="W43" i="82"/>
  <c r="S45" i="82"/>
  <c r="U46" i="82"/>
  <c r="W47" i="82"/>
  <c r="W38" i="82"/>
  <c r="S40" i="82"/>
  <c r="U41" i="82"/>
  <c r="W42" i="82"/>
  <c r="S44" i="82"/>
  <c r="U45" i="82"/>
  <c r="W46" i="82"/>
  <c r="U36" i="82"/>
  <c r="S39" i="82"/>
  <c r="U40" i="82"/>
  <c r="W41" i="82"/>
  <c r="S43" i="82"/>
  <c r="U44" i="82"/>
  <c r="W45" i="82"/>
  <c r="S47" i="82"/>
  <c r="S38" i="82"/>
  <c r="U39" i="82"/>
  <c r="W40" i="82"/>
  <c r="S42" i="82"/>
  <c r="U43" i="82"/>
  <c r="W44" i="82"/>
  <c r="S46" i="82"/>
  <c r="U47" i="82"/>
  <c r="W7" i="81"/>
  <c r="U10" i="81"/>
  <c r="W11" i="81"/>
  <c r="S13" i="81"/>
  <c r="U14" i="81"/>
  <c r="AB7" i="81"/>
  <c r="W10" i="81"/>
  <c r="S12" i="81"/>
  <c r="W14" i="81"/>
  <c r="W17" i="81"/>
  <c r="F7" i="81"/>
  <c r="S8" i="81"/>
  <c r="W9" i="81"/>
  <c r="S11" i="81"/>
  <c r="U12" i="81"/>
  <c r="W13" i="81"/>
  <c r="S25" i="81"/>
  <c r="U28" i="81"/>
  <c r="AC28" i="81"/>
  <c r="AA29" i="81"/>
  <c r="AC31" i="81"/>
  <c r="AB32" i="81"/>
  <c r="F34" i="81"/>
  <c r="W34" i="81"/>
  <c r="AB35" i="81"/>
  <c r="AA36" i="81"/>
  <c r="S10" i="81"/>
  <c r="U11" i="81"/>
  <c r="W12" i="81"/>
  <c r="S14" i="81"/>
  <c r="S15" i="81"/>
  <c r="S17" i="81"/>
  <c r="S19" i="81"/>
  <c r="S21" i="81"/>
  <c r="S23" i="81"/>
  <c r="U25" i="81"/>
  <c r="AA27" i="81"/>
  <c r="AA30" i="81"/>
  <c r="AA33" i="81"/>
  <c r="AB36" i="81"/>
  <c r="U15" i="81"/>
  <c r="U19" i="81"/>
  <c r="U21" i="81"/>
  <c r="U23" i="81"/>
  <c r="W25" i="81"/>
  <c r="AC36" i="81"/>
  <c r="G112" i="81"/>
  <c r="H112" i="81" s="1"/>
  <c r="I112" i="81" s="1"/>
  <c r="J112" i="81" s="1"/>
  <c r="K112" i="81" s="1"/>
  <c r="L112" i="81" s="1"/>
  <c r="M112" i="81" s="1"/>
  <c r="J37" i="81"/>
  <c r="F37" i="81"/>
  <c r="S9" i="81"/>
  <c r="U17" i="81"/>
  <c r="U9" i="81"/>
  <c r="U13" i="81"/>
  <c r="W15" i="81"/>
  <c r="W19" i="81"/>
  <c r="W21" i="81"/>
  <c r="W23" i="81"/>
  <c r="AB34" i="81"/>
  <c r="U34" i="81"/>
  <c r="S28" i="81"/>
  <c r="U29" i="81"/>
  <c r="W30" i="81"/>
  <c r="S32" i="81"/>
  <c r="U33" i="81"/>
  <c r="W35" i="81"/>
  <c r="U38" i="81"/>
  <c r="W39" i="81"/>
  <c r="S41" i="81"/>
  <c r="U42" i="81"/>
  <c r="W43" i="81"/>
  <c r="S45" i="81"/>
  <c r="U46" i="81"/>
  <c r="W47" i="81"/>
  <c r="W38" i="81"/>
  <c r="S40" i="81"/>
  <c r="U41" i="81"/>
  <c r="W42" i="81"/>
  <c r="S44" i="81"/>
  <c r="U45" i="81"/>
  <c r="W46" i="81"/>
  <c r="S39" i="81"/>
  <c r="U40" i="81"/>
  <c r="W41" i="81"/>
  <c r="S43" i="81"/>
  <c r="U44" i="81"/>
  <c r="W45" i="81"/>
  <c r="S47" i="81"/>
  <c r="S38" i="81"/>
  <c r="U39" i="81"/>
  <c r="W40" i="81"/>
  <c r="S42" i="81"/>
  <c r="U43" i="81"/>
  <c r="W44" i="81"/>
  <c r="S46" i="81"/>
  <c r="U47" i="81"/>
  <c r="M8" i="88"/>
  <c r="F42" i="89"/>
  <c r="F38" i="88"/>
  <c r="F13" i="87"/>
  <c r="F40" i="89"/>
  <c r="L47" i="87"/>
  <c r="L48" i="87"/>
  <c r="F43" i="89"/>
  <c r="F43" i="88"/>
  <c r="F37" i="87"/>
  <c r="F37" i="88"/>
  <c r="M24" i="89"/>
  <c r="M22" i="87"/>
  <c r="F38" i="87"/>
  <c r="L47" i="88"/>
  <c r="F36" i="88"/>
  <c r="F8" i="89"/>
  <c r="M29" i="88"/>
  <c r="F16" i="87"/>
  <c r="M24" i="88"/>
  <c r="M28" i="87"/>
  <c r="L48" i="88"/>
  <c r="F9" i="88"/>
  <c r="M28" i="88"/>
  <c r="M26" i="87"/>
  <c r="M29" i="87"/>
  <c r="M6" i="88"/>
  <c r="M6" i="87"/>
  <c r="M24" i="87"/>
  <c r="F36" i="87"/>
  <c r="F42" i="88"/>
  <c r="F37" i="89"/>
  <c r="F43" i="87"/>
  <c r="F16" i="88"/>
  <c r="F13" i="88"/>
  <c r="F8" i="87"/>
  <c r="M22" i="88"/>
  <c r="M28" i="89"/>
  <c r="F7" i="88"/>
  <c r="M26" i="88"/>
  <c r="M22" i="89"/>
  <c r="F40" i="88"/>
  <c r="M8" i="87"/>
  <c r="F8" i="88"/>
  <c r="F40" i="87"/>
  <c r="F42" i="87"/>
  <c r="AC27" i="83" l="1"/>
  <c r="T49" i="81"/>
  <c r="G49" i="81" s="1"/>
  <c r="F71" i="89"/>
  <c r="F68" i="89"/>
  <c r="F51" i="89"/>
  <c r="C49" i="89" s="1"/>
  <c r="C6" i="89"/>
  <c r="F65" i="89"/>
  <c r="Q61" i="89"/>
  <c r="Q74" i="89"/>
  <c r="Q66" i="89"/>
  <c r="Q57" i="89"/>
  <c r="Q73" i="89"/>
  <c r="Q60" i="89"/>
  <c r="J19" i="89"/>
  <c r="F1" i="89"/>
  <c r="Q52" i="89"/>
  <c r="M7" i="88"/>
  <c r="J6" i="88" s="1"/>
  <c r="F50" i="88"/>
  <c r="N59" i="88"/>
  <c r="L58" i="88"/>
  <c r="M59" i="88"/>
  <c r="L59" i="88"/>
  <c r="F71" i="88"/>
  <c r="F51" i="88"/>
  <c r="C6" i="88"/>
  <c r="F65" i="88"/>
  <c r="F68" i="88"/>
  <c r="F66" i="88"/>
  <c r="L57" i="88"/>
  <c r="L56" i="88"/>
  <c r="J53" i="88"/>
  <c r="I54" i="88"/>
  <c r="J57" i="88"/>
  <c r="J55" i="88" s="1"/>
  <c r="J58" i="88" s="1"/>
  <c r="Q50" i="88" s="1"/>
  <c r="L60" i="88"/>
  <c r="F64" i="88"/>
  <c r="F66" i="87"/>
  <c r="J6" i="87"/>
  <c r="F71" i="87"/>
  <c r="F51" i="87"/>
  <c r="C49" i="87" s="1"/>
  <c r="C6" i="87"/>
  <c r="F65" i="87"/>
  <c r="L57" i="87"/>
  <c r="L56" i="87"/>
  <c r="L60" i="87"/>
  <c r="J53" i="87"/>
  <c r="J57" i="87"/>
  <c r="J55" i="87" s="1"/>
  <c r="J58" i="87" s="1"/>
  <c r="Q50" i="87" s="1"/>
  <c r="I54" i="87"/>
  <c r="F64" i="87"/>
  <c r="F68" i="87"/>
  <c r="N59" i="87"/>
  <c r="L58" i="87"/>
  <c r="M59" i="87"/>
  <c r="L59" i="87"/>
  <c r="D124" i="86"/>
  <c r="D125" i="86" s="1"/>
  <c r="H110" i="86"/>
  <c r="D124" i="85"/>
  <c r="D125" i="85" s="1"/>
  <c r="H110" i="85"/>
  <c r="AA37" i="83"/>
  <c r="S37" i="83"/>
  <c r="V49" i="83"/>
  <c r="I49" i="83" s="1"/>
  <c r="G54" i="83" s="1"/>
  <c r="H54" i="83" s="1"/>
  <c r="W34" i="83"/>
  <c r="AC34" i="83"/>
  <c r="S34" i="83"/>
  <c r="AA34" i="83"/>
  <c r="S7" i="83"/>
  <c r="AA7" i="83"/>
  <c r="G53" i="83"/>
  <c r="H53" i="83" s="1"/>
  <c r="AA37" i="82"/>
  <c r="S37" i="82"/>
  <c r="V49" i="82"/>
  <c r="I49" i="82" s="1"/>
  <c r="AA7" i="82"/>
  <c r="R49" i="82" s="1"/>
  <c r="S7" i="82"/>
  <c r="AC37" i="82"/>
  <c r="W37" i="82"/>
  <c r="G53" i="82"/>
  <c r="H53" i="82" s="1"/>
  <c r="G53" i="81"/>
  <c r="H53" i="81" s="1"/>
  <c r="AA37" i="81"/>
  <c r="S37" i="81"/>
  <c r="S34" i="81"/>
  <c r="AA34" i="81"/>
  <c r="AA7" i="81"/>
  <c r="S7" i="81"/>
  <c r="AC37" i="81"/>
  <c r="V49" i="81" s="1"/>
  <c r="I49" i="81" s="1"/>
  <c r="W37" i="81"/>
  <c r="C16" i="87"/>
  <c r="C17" i="89"/>
  <c r="C14" i="89"/>
  <c r="C16" i="88"/>
  <c r="C17" i="88"/>
  <c r="C17" i="87"/>
  <c r="C14" i="87"/>
  <c r="C14" i="88"/>
  <c r="C16" i="89"/>
  <c r="C49" i="88" l="1"/>
  <c r="C61" i="88" s="1"/>
  <c r="C18" i="89"/>
  <c r="C15" i="89"/>
  <c r="C33" i="89"/>
  <c r="C61" i="89"/>
  <c r="C18" i="88"/>
  <c r="C15" i="88"/>
  <c r="Q66" i="88"/>
  <c r="Q57" i="88"/>
  <c r="J19" i="88"/>
  <c r="C33" i="88"/>
  <c r="Q73" i="88"/>
  <c r="Q60" i="88"/>
  <c r="F1" i="88"/>
  <c r="Q52" i="88"/>
  <c r="Q61" i="88"/>
  <c r="Q74" i="88"/>
  <c r="C18" i="87"/>
  <c r="C15" i="87"/>
  <c r="Q73" i="87"/>
  <c r="Q60" i="87"/>
  <c r="J19" i="87"/>
  <c r="Q66" i="87"/>
  <c r="Q57" i="87"/>
  <c r="Q61" i="87"/>
  <c r="Q74" i="87"/>
  <c r="C33" i="87"/>
  <c r="C61" i="87"/>
  <c r="F1" i="87"/>
  <c r="Q52" i="87"/>
  <c r="I53" i="83"/>
  <c r="J53" i="83" s="1"/>
  <c r="R49" i="83"/>
  <c r="E49" i="82"/>
  <c r="R50" i="82"/>
  <c r="I54" i="82"/>
  <c r="J54" i="82" s="1"/>
  <c r="I53" i="82"/>
  <c r="J53" i="82" s="1"/>
  <c r="G54" i="82"/>
  <c r="H54" i="82" s="1"/>
  <c r="I53" i="81"/>
  <c r="J53" i="81" s="1"/>
  <c r="G54" i="81"/>
  <c r="H54" i="81" s="1"/>
  <c r="R49" i="81"/>
  <c r="C19" i="89" l="1"/>
  <c r="C20" i="89" s="1"/>
  <c r="C26" i="89" s="1"/>
  <c r="C19" i="88"/>
  <c r="C20" i="88" s="1"/>
  <c r="C26" i="88" s="1"/>
  <c r="C19" i="87"/>
  <c r="C20" i="87" s="1"/>
  <c r="C26" i="87" s="1"/>
  <c r="E49" i="83"/>
  <c r="R50" i="83"/>
  <c r="C50" i="82"/>
  <c r="C49" i="82"/>
  <c r="E54" i="82"/>
  <c r="F54" i="82" s="1"/>
  <c r="E53" i="82"/>
  <c r="F53" i="82" s="1"/>
  <c r="E49" i="81"/>
  <c r="R50" i="81"/>
  <c r="C50" i="83" l="1"/>
  <c r="C49" i="83"/>
  <c r="E54" i="83"/>
  <c r="F54" i="83" s="1"/>
  <c r="E53" i="83"/>
  <c r="F53" i="83" s="1"/>
  <c r="I54" i="83"/>
  <c r="J54" i="83" s="1"/>
  <c r="B3" i="82"/>
  <c r="B2" i="82"/>
  <c r="C50" i="81"/>
  <c r="C49" i="81"/>
  <c r="E54" i="81"/>
  <c r="F54" i="81" s="1"/>
  <c r="E53" i="81"/>
  <c r="F53" i="81" s="1"/>
  <c r="I54" i="81"/>
  <c r="J54" i="81" s="1"/>
  <c r="C20" i="85"/>
  <c r="C19" i="85"/>
  <c r="C21" i="85" l="1"/>
  <c r="C102" i="85"/>
  <c r="C103" i="85"/>
  <c r="B3" i="83"/>
  <c r="B2" i="83"/>
  <c r="B2" i="81"/>
  <c r="B3" i="81"/>
  <c r="C20" i="84"/>
  <c r="C19" i="84"/>
  <c r="C103" i="84" l="1"/>
  <c r="C102" i="84"/>
  <c r="C21" i="84"/>
  <c r="G22" i="4" l="1"/>
  <c r="I47" i="33" l="1"/>
  <c r="G47" i="33"/>
  <c r="I36" i="33" l="1"/>
  <c r="G36" i="33"/>
  <c r="E36" i="33"/>
  <c r="E104" i="33"/>
  <c r="F104" i="33"/>
  <c r="D104" i="33"/>
  <c r="J49" i="67"/>
  <c r="N6" i="1"/>
  <c r="Y6" i="1" s="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A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S76" i="31" s="1"/>
  <c r="R77" i="31"/>
  <c r="R78" i="31"/>
  <c r="S78" i="31" s="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S448" i="31" s="1"/>
  <c r="R449" i="31"/>
  <c r="R450" i="31"/>
  <c r="S450" i="31" s="1"/>
  <c r="R451" i="31"/>
  <c r="S451" i="31" s="1"/>
  <c r="R452" i="31"/>
  <c r="R453" i="31"/>
  <c r="R454" i="31"/>
  <c r="S454" i="31" s="1"/>
  <c r="R455" i="31"/>
  <c r="S455" i="31" s="1"/>
  <c r="R456" i="31"/>
  <c r="S456" i="31" s="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8" i="31"/>
  <c r="S402" i="31"/>
  <c r="S396" i="31"/>
  <c r="S394" i="31"/>
  <c r="S386" i="31"/>
  <c r="S378" i="31"/>
  <c r="S376" i="31"/>
  <c r="S370"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4" i="31"/>
  <c r="S282" i="31"/>
  <c r="S278" i="31"/>
  <c r="S276" i="31"/>
  <c r="S260" i="31"/>
  <c r="S253" i="31"/>
  <c r="S249" i="31"/>
  <c r="S245" i="31"/>
  <c r="S241" i="31"/>
  <c r="S237" i="31"/>
  <c r="S233" i="31"/>
  <c r="S229" i="31"/>
  <c r="S225" i="31"/>
  <c r="S429" i="31"/>
  <c r="S425" i="31"/>
  <c r="S222" i="31"/>
  <c r="S221" i="31"/>
  <c r="S218" i="31"/>
  <c r="S217" i="31"/>
  <c r="S214" i="31"/>
  <c r="S213" i="31"/>
  <c r="S210" i="31"/>
  <c r="S209" i="31"/>
  <c r="S208" i="31"/>
  <c r="S206" i="31"/>
  <c r="S205" i="31"/>
  <c r="S202" i="31"/>
  <c r="S201" i="31"/>
  <c r="S198" i="31"/>
  <c r="S197" i="31"/>
  <c r="S194" i="31"/>
  <c r="S193" i="31"/>
  <c r="S192" i="31"/>
  <c r="S190" i="31"/>
  <c r="S189" i="31"/>
  <c r="S186" i="31"/>
  <c r="S185" i="31"/>
  <c r="S182" i="31"/>
  <c r="S181" i="31"/>
  <c r="S178" i="31"/>
  <c r="S177" i="31"/>
  <c r="S176" i="31"/>
  <c r="S174" i="31"/>
  <c r="S173" i="31"/>
  <c r="S170" i="31"/>
  <c r="S169" i="31"/>
  <c r="S166" i="31"/>
  <c r="S165" i="31"/>
  <c r="S162" i="31"/>
  <c r="S161" i="31"/>
  <c r="S160" i="31"/>
  <c r="S158" i="31"/>
  <c r="S157" i="31"/>
  <c r="S154" i="31"/>
  <c r="S153" i="31"/>
  <c r="S150" i="31"/>
  <c r="S149" i="31"/>
  <c r="S146" i="31"/>
  <c r="S145" i="31"/>
  <c r="S144" i="31"/>
  <c r="S142" i="31"/>
  <c r="S141" i="31"/>
  <c r="S138" i="31"/>
  <c r="S137" i="31"/>
  <c r="S134" i="31"/>
  <c r="S133" i="31"/>
  <c r="S130" i="31"/>
  <c r="S129" i="31"/>
  <c r="S128" i="31"/>
  <c r="S126" i="31"/>
  <c r="S125" i="31"/>
  <c r="S497" i="31"/>
  <c r="S493" i="31"/>
  <c r="S489" i="31"/>
  <c r="S485" i="31"/>
  <c r="S481" i="31"/>
  <c r="S477" i="31"/>
  <c r="S473" i="31"/>
  <c r="S469" i="31"/>
  <c r="S444" i="31"/>
  <c r="S442" i="31"/>
  <c r="S441" i="31"/>
  <c r="S438" i="31"/>
  <c r="S437" i="31"/>
  <c r="S434" i="31"/>
  <c r="S433" i="31"/>
  <c r="S430" i="31"/>
  <c r="S121" i="31"/>
  <c r="S120" i="31"/>
  <c r="S117" i="31"/>
  <c r="S113" i="31"/>
  <c r="S112" i="31"/>
  <c r="S506" i="31"/>
  <c r="S498" i="31"/>
  <c r="S465" i="31"/>
  <c r="S461" i="31"/>
  <c r="S460" i="31"/>
  <c r="S457" i="31"/>
  <c r="S453" i="31"/>
  <c r="S452" i="31"/>
  <c r="S77" i="31"/>
  <c r="S97" i="31"/>
  <c r="S96" i="31"/>
  <c r="S93" i="31"/>
  <c r="S89" i="31"/>
  <c r="S88" i="31"/>
  <c r="S85" i="31"/>
  <c r="S81" i="31"/>
  <c r="S80" i="31"/>
  <c r="S101" i="31"/>
  <c r="S105" i="31"/>
  <c r="S109" i="31"/>
  <c r="S445" i="31"/>
  <c r="S446"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AB40" i="34" s="1"/>
  <c r="E114" i="34"/>
  <c r="H36" i="34"/>
  <c r="U36" i="34" s="1"/>
  <c r="F28" i="34"/>
  <c r="AA28" i="34"/>
  <c r="F25" i="34"/>
  <c r="S25" i="34" s="1"/>
  <c r="H23" i="34"/>
  <c r="U23" i="34" s="1"/>
  <c r="J23" i="34"/>
  <c r="AC23" i="34" s="1"/>
  <c r="F19" i="34"/>
  <c r="H17" i="34"/>
  <c r="AB17" i="34" s="1"/>
  <c r="F15" i="34"/>
  <c r="AA15" i="34" s="1"/>
  <c r="J15" i="34"/>
  <c r="W15" i="34" s="1"/>
  <c r="H15" i="34"/>
  <c r="AB15" i="34" s="1"/>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U27" i="34" s="1"/>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0" i="34"/>
  <c r="AA40" i="34" s="1"/>
  <c r="F43" i="34"/>
  <c r="S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W41" i="34"/>
  <c r="AC42" i="34"/>
  <c r="AB41" i="34"/>
  <c r="AA45" i="34"/>
  <c r="U28" i="34"/>
  <c r="AA29"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AB36" i="34"/>
  <c r="AC14" i="34"/>
  <c r="AC32" i="34"/>
  <c r="AC29" i="34"/>
  <c r="W29" i="34"/>
  <c r="W46" i="34"/>
  <c r="AC46" i="34"/>
  <c r="S32" i="34"/>
  <c r="AA32" i="34"/>
  <c r="U30" i="34"/>
  <c r="AB30" i="34"/>
  <c r="AA19" i="34"/>
  <c r="S19" i="34"/>
  <c r="AA36" i="34"/>
  <c r="AA8" i="34"/>
  <c r="S8" i="34"/>
  <c r="S46" i="34"/>
  <c r="AA46" i="34"/>
  <c r="U32" i="34"/>
  <c r="AB32" i="34"/>
  <c r="U14" i="34"/>
  <c r="AB14" i="34"/>
  <c r="W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F38" i="15"/>
  <c r="M22" i="67"/>
  <c r="AO13" i="1"/>
  <c r="F37" i="15"/>
  <c r="M6" i="67"/>
  <c r="F5" i="73"/>
  <c r="M8" i="15"/>
  <c r="B7" i="76"/>
  <c r="M29" i="67"/>
  <c r="B10" i="76"/>
  <c r="E10" i="76"/>
  <c r="M23" i="67"/>
  <c r="F6" i="67"/>
  <c r="F6" i="73"/>
  <c r="F26" i="15"/>
  <c r="B9" i="76"/>
  <c r="F20" i="31"/>
  <c r="E9" i="76"/>
  <c r="F37" i="67"/>
  <c r="D7" i="73"/>
  <c r="M28" i="15"/>
  <c r="F7" i="67"/>
  <c r="M9" i="67"/>
  <c r="E8" i="76"/>
  <c r="M26" i="15"/>
  <c r="F16" i="67"/>
  <c r="M24" i="15"/>
  <c r="D4" i="73"/>
  <c r="M9" i="15"/>
  <c r="F3" i="73"/>
  <c r="L47" i="15"/>
  <c r="F13" i="67"/>
  <c r="M28" i="67"/>
  <c r="F9" i="15"/>
  <c r="B8" i="76"/>
  <c r="F42" i="15"/>
  <c r="E2" i="68"/>
  <c r="B13" i="76"/>
  <c r="M29" i="15"/>
  <c r="F36" i="67"/>
  <c r="D5" i="73"/>
  <c r="F7" i="73"/>
  <c r="F8" i="15"/>
  <c r="M24" i="67"/>
  <c r="M26" i="67"/>
  <c r="F4" i="73"/>
  <c r="D6" i="73"/>
  <c r="F43" i="15"/>
  <c r="B11" i="76"/>
  <c r="B12" i="76"/>
  <c r="F38" i="67"/>
  <c r="E2" i="69"/>
  <c r="E11" i="76"/>
  <c r="F8" i="67"/>
  <c r="F42" i="67"/>
  <c r="J15" i="67"/>
  <c r="F16" i="15"/>
  <c r="E12" i="76"/>
  <c r="E13" i="76"/>
  <c r="M8" i="67"/>
  <c r="M6" i="15"/>
  <c r="L47" i="67"/>
  <c r="F9" i="67"/>
  <c r="C76" i="67"/>
  <c r="L48" i="15"/>
  <c r="D3" i="73"/>
  <c r="F13" i="15"/>
  <c r="L48" i="67"/>
  <c r="C76" i="15"/>
  <c r="E7" i="76"/>
  <c r="F36" i="15"/>
  <c r="F7" i="15"/>
  <c r="F40" i="15"/>
  <c r="F6" i="15"/>
  <c r="F40" i="67"/>
  <c r="M22" i="15"/>
  <c r="J15" i="15"/>
  <c r="F43" i="67"/>
  <c r="M23" i="15"/>
  <c r="F48" i="9" l="1"/>
  <c r="O52" i="9" s="1"/>
  <c r="F32" i="89"/>
  <c r="M18" i="89"/>
  <c r="J18" i="89" s="1"/>
  <c r="M18" i="87"/>
  <c r="J18" i="87" s="1"/>
  <c r="F52" i="86"/>
  <c r="D68" i="85"/>
  <c r="F53" i="85"/>
  <c r="F48" i="84"/>
  <c r="O52" i="84" s="1"/>
  <c r="F28" i="88"/>
  <c r="C28" i="88" s="1"/>
  <c r="F32" i="87"/>
  <c r="F54" i="86"/>
  <c r="F52" i="85"/>
  <c r="F53" i="84"/>
  <c r="F28" i="89"/>
  <c r="C28" i="89" s="1"/>
  <c r="M18" i="88"/>
  <c r="J18" i="88" s="1"/>
  <c r="F48" i="86"/>
  <c r="O52" i="86" s="1"/>
  <c r="F54" i="85"/>
  <c r="F52" i="84"/>
  <c r="F32" i="88"/>
  <c r="F28" i="87"/>
  <c r="C28" i="87" s="1"/>
  <c r="D68" i="86"/>
  <c r="F53" i="86"/>
  <c r="F48" i="85"/>
  <c r="O52" i="85" s="1"/>
  <c r="D68" i="84"/>
  <c r="F54" i="84"/>
  <c r="D78" i="9"/>
  <c r="D93" i="86"/>
  <c r="D93" i="84"/>
  <c r="D93" i="85"/>
  <c r="D78" i="86"/>
  <c r="D78" i="84"/>
  <c r="D78" i="85"/>
  <c r="BL5" i="3"/>
  <c r="G5" i="3"/>
  <c r="B3" i="3" s="1"/>
  <c r="E22" i="3" s="1"/>
  <c r="C18" i="9"/>
  <c r="D18" i="9" s="1"/>
  <c r="F27" i="34"/>
  <c r="AA27" i="34" s="1"/>
  <c r="J27" i="34"/>
  <c r="AC27" i="34" s="1"/>
  <c r="G112" i="34"/>
  <c r="H112" i="34" s="1"/>
  <c r="I112" i="34" s="1"/>
  <c r="J112" i="34" s="1"/>
  <c r="K112" i="34" s="1"/>
  <c r="L112" i="34" s="1"/>
  <c r="M112" i="34" s="1"/>
  <c r="H37" i="34"/>
  <c r="U37" i="34" s="1"/>
  <c r="F37" i="34"/>
  <c r="AA37" i="34" s="1"/>
  <c r="J37" i="34"/>
  <c r="AC37" i="34" s="1"/>
  <c r="AB35" i="34"/>
  <c r="S35" i="34"/>
  <c r="W44" i="34"/>
  <c r="AA41" i="34"/>
  <c r="U44" i="34"/>
  <c r="AC36" i="34"/>
  <c r="AB33" i="34"/>
  <c r="W27" i="34"/>
  <c r="S21" i="34"/>
  <c r="AB23" i="34"/>
  <c r="AC17" i="34"/>
  <c r="AA17" i="34"/>
  <c r="U17" i="34"/>
  <c r="S15" i="34"/>
  <c r="AC15" i="34"/>
  <c r="AC43" i="34"/>
  <c r="AA43" i="34"/>
  <c r="W40" i="34"/>
  <c r="S40" i="34"/>
  <c r="U40" i="34"/>
  <c r="S39" i="34"/>
  <c r="U39" i="34"/>
  <c r="AC39" i="34"/>
  <c r="U38" i="34"/>
  <c r="AA33" i="34"/>
  <c r="AC33" i="34"/>
  <c r="AB27" i="34"/>
  <c r="AA25" i="34"/>
  <c r="U25" i="34"/>
  <c r="W25" i="34"/>
  <c r="W8" i="34"/>
  <c r="J9" i="34"/>
  <c r="U9" i="34"/>
  <c r="E81" i="3"/>
  <c r="E87" i="3"/>
  <c r="E307" i="3"/>
  <c r="E65" i="3"/>
  <c r="E94" i="3"/>
  <c r="E281" i="3"/>
  <c r="E26" i="3"/>
  <c r="I3" i="6"/>
  <c r="E502" i="3"/>
  <c r="E148" i="3"/>
  <c r="W33" i="33"/>
  <c r="E513" i="3"/>
  <c r="E19" i="3"/>
  <c r="E232" i="3"/>
  <c r="E23" i="3"/>
  <c r="E209" i="3"/>
  <c r="E78" i="3"/>
  <c r="E409" i="3"/>
  <c r="E378" i="3"/>
  <c r="E139" i="3"/>
  <c r="E479" i="3"/>
  <c r="E520" i="3"/>
  <c r="E500" i="3"/>
  <c r="E556" i="3"/>
  <c r="E255" i="3"/>
  <c r="E512" i="3"/>
  <c r="E466" i="3"/>
  <c r="E421"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60" i="88" l="1"/>
  <c r="C32" i="88"/>
  <c r="F60" i="87"/>
  <c r="C32" i="87"/>
  <c r="F60" i="89"/>
  <c r="C32" i="89"/>
  <c r="M11" i="89"/>
  <c r="J10" i="89" s="1"/>
  <c r="J5" i="89" s="1"/>
  <c r="F11" i="89"/>
  <c r="M11" i="88"/>
  <c r="J10" i="88" s="1"/>
  <c r="J5" i="88" s="1"/>
  <c r="F11" i="88"/>
  <c r="M11" i="87"/>
  <c r="J10" i="87" s="1"/>
  <c r="J5" i="87" s="1"/>
  <c r="F11" i="87"/>
  <c r="T6" i="3"/>
  <c r="E416" i="3"/>
  <c r="E517" i="3"/>
  <c r="E104" i="3"/>
  <c r="E240" i="3"/>
  <c r="E389" i="3"/>
  <c r="E482" i="3"/>
  <c r="E138" i="3"/>
  <c r="E300" i="3"/>
  <c r="E86" i="3"/>
  <c r="E284" i="3"/>
  <c r="E118" i="3"/>
  <c r="E83" i="3"/>
  <c r="E167" i="3"/>
  <c r="E464" i="3"/>
  <c r="E554" i="3"/>
  <c r="E37" i="3"/>
  <c r="E292" i="3"/>
  <c r="E428" i="3"/>
  <c r="E190" i="3"/>
  <c r="E342" i="3"/>
  <c r="E250" i="3"/>
  <c r="E179" i="3"/>
  <c r="E452" i="3"/>
  <c r="E57" i="3"/>
  <c r="E241" i="3"/>
  <c r="E42" i="3"/>
  <c r="E446" i="3"/>
  <c r="E142" i="3"/>
  <c r="E383" i="3"/>
  <c r="E48" i="3"/>
  <c r="E381" i="3"/>
  <c r="E287" i="3"/>
  <c r="E369" i="3"/>
  <c r="E398" i="3"/>
  <c r="E413" i="3"/>
  <c r="E131" i="3"/>
  <c r="E349" i="3"/>
  <c r="E425" i="3"/>
  <c r="E200" i="3"/>
  <c r="E35" i="3"/>
  <c r="E370" i="3"/>
  <c r="E308" i="3"/>
  <c r="E152" i="3"/>
  <c r="E332" i="3"/>
  <c r="E110" i="3"/>
  <c r="E64" i="3"/>
  <c r="E220" i="3"/>
  <c r="E354" i="3"/>
  <c r="E144" i="3"/>
  <c r="E102" i="3"/>
  <c r="E323" i="3"/>
  <c r="E539" i="3"/>
  <c r="E534" i="3"/>
  <c r="E451" i="3"/>
  <c r="E470" i="3"/>
  <c r="E155" i="3"/>
  <c r="E504" i="3"/>
  <c r="E47" i="3"/>
  <c r="E249" i="3"/>
  <c r="E67" i="3"/>
  <c r="E68" i="3"/>
  <c r="E510" i="3"/>
  <c r="E140" i="3"/>
  <c r="E141" i="3"/>
  <c r="AD6" i="3"/>
  <c r="E405" i="3"/>
  <c r="E487" i="3"/>
  <c r="E449" i="3"/>
  <c r="E566" i="3"/>
  <c r="E582" i="3"/>
  <c r="E491" i="3"/>
  <c r="E39" i="3"/>
  <c r="E95" i="3"/>
  <c r="E132" i="3"/>
  <c r="E297" i="3"/>
  <c r="E363" i="3"/>
  <c r="AL6" i="3"/>
  <c r="E59" i="3"/>
  <c r="E484" i="3"/>
  <c r="E18" i="3"/>
  <c r="E103" i="3"/>
  <c r="E174" i="3"/>
  <c r="E275" i="3"/>
  <c r="E371" i="3"/>
  <c r="E522" i="3"/>
  <c r="E24" i="3"/>
  <c r="E206" i="3"/>
  <c r="E251" i="3"/>
  <c r="Y6" i="3"/>
  <c r="E113" i="3"/>
  <c r="E222" i="3"/>
  <c r="E373" i="3"/>
  <c r="E296" i="3"/>
  <c r="E199" i="3"/>
  <c r="E552" i="3"/>
  <c r="E408" i="3"/>
  <c r="E13" i="3"/>
  <c r="E436" i="3"/>
  <c r="E187" i="3"/>
  <c r="E348" i="3"/>
  <c r="E76" i="3"/>
  <c r="E467" i="3"/>
  <c r="E46" i="3"/>
  <c r="E324" i="3"/>
  <c r="E84" i="3"/>
  <c r="E233" i="3"/>
  <c r="AF6" i="3"/>
  <c r="E264" i="3"/>
  <c r="E165" i="3"/>
  <c r="E149" i="3"/>
  <c r="E286" i="3"/>
  <c r="E542" i="3"/>
  <c r="E442" i="3"/>
  <c r="E541" i="3"/>
  <c r="E459" i="3"/>
  <c r="AP6" i="3"/>
  <c r="E494" i="3"/>
  <c r="E417" i="3"/>
  <c r="E56" i="3"/>
  <c r="E115" i="3"/>
  <c r="E192" i="3"/>
  <c r="E243" i="3"/>
  <c r="E391" i="3"/>
  <c r="E544" i="3"/>
  <c r="E75" i="3"/>
  <c r="E521" i="3"/>
  <c r="E96" i="3"/>
  <c r="E129" i="3"/>
  <c r="E163" i="3"/>
  <c r="E235" i="3"/>
  <c r="E386" i="3"/>
  <c r="E584" i="3"/>
  <c r="E34" i="3"/>
  <c r="E127" i="3"/>
  <c r="E355" i="3"/>
  <c r="E51" i="3"/>
  <c r="E154" i="3"/>
  <c r="E283" i="3"/>
  <c r="E82" i="3"/>
  <c r="E33" i="3"/>
  <c r="E341" i="3"/>
  <c r="E158" i="3"/>
  <c r="E21" i="3"/>
  <c r="E525" i="3"/>
  <c r="E469" i="3"/>
  <c r="E374" i="3"/>
  <c r="E460" i="3"/>
  <c r="E41" i="3"/>
  <c r="E258" i="3"/>
  <c r="E375" i="3"/>
  <c r="E462" i="3"/>
  <c r="E195" i="3"/>
  <c r="E492" i="3"/>
  <c r="E49" i="3"/>
  <c r="E80" i="3"/>
  <c r="E326" i="3"/>
  <c r="E536" i="3"/>
  <c r="E197" i="3"/>
  <c r="E575" i="3"/>
  <c r="R6" i="3"/>
  <c r="E456" i="3"/>
  <c r="E430" i="3"/>
  <c r="E360" i="3"/>
  <c r="E497" i="3"/>
  <c r="E435" i="3"/>
  <c r="E420" i="3"/>
  <c r="E90" i="3"/>
  <c r="E198" i="3"/>
  <c r="E225" i="3"/>
  <c r="E259" i="3"/>
  <c r="E356" i="3"/>
  <c r="E58" i="3"/>
  <c r="E488" i="3"/>
  <c r="E412" i="3"/>
  <c r="E98" i="3"/>
  <c r="E160" i="3"/>
  <c r="E248" i="3"/>
  <c r="E266" i="3"/>
  <c r="E310" i="3"/>
  <c r="E66" i="3"/>
  <c r="E184" i="3"/>
  <c r="E63" i="3"/>
  <c r="E309" i="3"/>
  <c r="E267" i="3"/>
  <c r="S27" i="34"/>
  <c r="W37" i="34"/>
  <c r="S37" i="34"/>
  <c r="AC9" i="34"/>
  <c r="W9" i="34"/>
  <c r="H7" i="36"/>
  <c r="U7" i="36" s="1"/>
  <c r="F7" i="36"/>
  <c r="S7" i="36" s="1"/>
  <c r="J7" i="36"/>
  <c r="AC7" i="36" s="1"/>
  <c r="V36" i="36" s="1"/>
  <c r="I36" i="36" s="1"/>
  <c r="C30" i="68"/>
  <c r="C31" i="12"/>
  <c r="C28" i="67"/>
  <c r="C48" i="69"/>
  <c r="C48" i="68"/>
  <c r="P6" i="1"/>
  <c r="C13" i="12" s="1"/>
  <c r="K16" i="1"/>
  <c r="B29" i="1" s="1"/>
  <c r="C8" i="68" s="1"/>
  <c r="C5" i="68" s="1"/>
  <c r="D18" i="53"/>
  <c r="B35" i="72" s="1"/>
  <c r="C7" i="74"/>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AA7" i="36"/>
  <c r="R36" i="36" s="1"/>
  <c r="AC7" i="37"/>
  <c r="V42" i="37" s="1"/>
  <c r="I42" i="37" s="1"/>
  <c r="AB7" i="36"/>
  <c r="T36" i="36" s="1"/>
  <c r="G36" i="36" s="1"/>
  <c r="F7" i="33"/>
  <c r="E58" i="2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6" i="1"/>
  <c r="AE7" i="1"/>
  <c r="AE8" i="1"/>
  <c r="AE9" i="1"/>
  <c r="F24" i="88" l="1"/>
  <c r="C24" i="88" s="1"/>
  <c r="F24" i="89"/>
  <c r="C53" i="89"/>
  <c r="C48" i="89" s="1"/>
  <c r="C10" i="89"/>
  <c r="C5" i="89" s="1"/>
  <c r="J26" i="89"/>
  <c r="J24" i="89"/>
  <c r="C53" i="88"/>
  <c r="C48" i="88" s="1"/>
  <c r="C10" i="88"/>
  <c r="C5" i="88" s="1"/>
  <c r="J26" i="88"/>
  <c r="J24" i="88"/>
  <c r="L36" i="43"/>
  <c r="Q36" i="43" s="1"/>
  <c r="F24" i="87"/>
  <c r="C53" i="87"/>
  <c r="C48" i="87" s="1"/>
  <c r="C10" i="87"/>
  <c r="C5" i="87" s="1"/>
  <c r="J26" i="87"/>
  <c r="J24" i="87"/>
  <c r="E65" i="39"/>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8"/>
  <c r="M27" i="15"/>
  <c r="F41" i="67"/>
  <c r="F41" i="87"/>
  <c r="F41" i="89"/>
  <c r="M27" i="67"/>
  <c r="F41" i="15"/>
  <c r="F69" i="87" l="1"/>
  <c r="F69" i="88"/>
  <c r="J29" i="88"/>
  <c r="J29" i="87"/>
  <c r="F69" i="89"/>
  <c r="J29" i="89"/>
  <c r="L37" i="43"/>
  <c r="O37" i="43" s="1"/>
  <c r="C23" i="88"/>
  <c r="C29" i="88" s="1"/>
  <c r="N36" i="43"/>
  <c r="O36" i="43"/>
  <c r="C66" i="89"/>
  <c r="C60" i="89"/>
  <c r="C24" i="89"/>
  <c r="C23" i="89"/>
  <c r="C38" i="89"/>
  <c r="C66" i="88"/>
  <c r="C60" i="88"/>
  <c r="C38" i="88"/>
  <c r="M36" i="43"/>
  <c r="P36" i="43"/>
  <c r="C66" i="87"/>
  <c r="C60" i="87"/>
  <c r="C24" i="87"/>
  <c r="C23" i="87"/>
  <c r="C38" i="87"/>
  <c r="F69" i="67"/>
  <c r="R50" i="34"/>
  <c r="C49" i="34" s="1"/>
  <c r="E49" i="34"/>
  <c r="I54" i="34" s="1"/>
  <c r="J54" i="34" s="1"/>
  <c r="D116" i="43"/>
  <c r="G54" i="34"/>
  <c r="H54" i="34" s="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M37" i="43" l="1"/>
  <c r="N37" i="43"/>
  <c r="Q37" i="43"/>
  <c r="J14" i="88"/>
  <c r="J22" i="88" s="1"/>
  <c r="J59" i="88"/>
  <c r="J60" i="88" s="1"/>
  <c r="Q48" i="88" s="1"/>
  <c r="C57" i="88"/>
  <c r="C64" i="88" s="1"/>
  <c r="C13" i="88"/>
  <c r="C56" i="88" s="1"/>
  <c r="C65" i="88" s="1"/>
  <c r="C36" i="88"/>
  <c r="Q49" i="88"/>
  <c r="C29" i="87"/>
  <c r="C36" i="87" s="1"/>
  <c r="C29" i="89"/>
  <c r="C13" i="89" s="1"/>
  <c r="C50" i="34"/>
  <c r="E53" i="34"/>
  <c r="F53" i="34" s="1"/>
  <c r="E54" i="34"/>
  <c r="F54" i="34" s="1"/>
  <c r="H21" i="6"/>
  <c r="R21" i="6" s="1"/>
  <c r="H22" i="6"/>
  <c r="R22" i="6" s="1"/>
  <c r="H25" i="6"/>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37" i="88" l="1"/>
  <c r="Q70" i="88"/>
  <c r="C75" i="88"/>
  <c r="J59" i="89"/>
  <c r="J60" i="89" s="1"/>
  <c r="L46" i="89" s="1"/>
  <c r="Q49" i="89"/>
  <c r="C57" i="89"/>
  <c r="C64" i="89" s="1"/>
  <c r="J14" i="89"/>
  <c r="J13" i="89" s="1"/>
  <c r="J23" i="89" s="1"/>
  <c r="C57" i="87"/>
  <c r="C64" i="87" s="1"/>
  <c r="J59" i="87"/>
  <c r="J60" i="87" s="1"/>
  <c r="L46" i="87" s="1"/>
  <c r="C13" i="87"/>
  <c r="C75" i="87" s="1"/>
  <c r="J14" i="87"/>
  <c r="J13" i="87" s="1"/>
  <c r="J23" i="87" s="1"/>
  <c r="C36" i="89"/>
  <c r="J13" i="88"/>
  <c r="J23" i="88" s="1"/>
  <c r="Q49" i="87"/>
  <c r="L46" i="88"/>
  <c r="C56" i="89"/>
  <c r="C65" i="89" s="1"/>
  <c r="C75" i="89"/>
  <c r="Q70" i="89"/>
  <c r="C37" i="8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Q48" i="89" l="1"/>
  <c r="Q48" i="87"/>
  <c r="J22" i="89"/>
  <c r="J22" i="87"/>
  <c r="C37" i="87"/>
  <c r="Q70" i="87"/>
  <c r="C56" i="87"/>
  <c r="C65" i="87"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9" i="1"/>
  <c r="R7" i="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89"/>
  <c r="F35" i="87"/>
  <c r="M21" i="67"/>
  <c r="F35" i="89"/>
  <c r="M21" i="87"/>
  <c r="M21" i="88"/>
  <c r="F35" i="67"/>
  <c r="F35" i="88"/>
  <c r="F35" i="15"/>
  <c r="J20" i="89" l="1"/>
  <c r="J17" i="89" s="1"/>
  <c r="J16" i="89" s="1"/>
  <c r="J25" i="89" s="1"/>
  <c r="F63" i="89"/>
  <c r="C62" i="89" s="1"/>
  <c r="C59" i="89" s="1"/>
  <c r="C58" i="89" s="1"/>
  <c r="C67" i="89" s="1"/>
  <c r="C68" i="89" s="1"/>
  <c r="C34" i="89"/>
  <c r="C31" i="89" s="1"/>
  <c r="C30" i="89" s="1"/>
  <c r="C39" i="89" s="1"/>
  <c r="J20" i="88"/>
  <c r="J17" i="88" s="1"/>
  <c r="J16" i="88" s="1"/>
  <c r="J25" i="88" s="1"/>
  <c r="F63" i="88"/>
  <c r="C62" i="88" s="1"/>
  <c r="C59" i="88" s="1"/>
  <c r="C58" i="88" s="1"/>
  <c r="C67" i="88" s="1"/>
  <c r="C68" i="88" s="1"/>
  <c r="C34" i="88"/>
  <c r="C31" i="88" s="1"/>
  <c r="C30" i="88" s="1"/>
  <c r="C39" i="88" s="1"/>
  <c r="J20" i="87"/>
  <c r="J17" i="87" s="1"/>
  <c r="J16" i="87" s="1"/>
  <c r="J25" i="87" s="1"/>
  <c r="F63" i="87"/>
  <c r="C62" i="87" s="1"/>
  <c r="C59" i="87" s="1"/>
  <c r="C58" i="87" s="1"/>
  <c r="C67" i="87" s="1"/>
  <c r="C68" i="87" s="1"/>
  <c r="C34" i="87"/>
  <c r="C31" i="87" s="1"/>
  <c r="C30" i="87" s="1"/>
  <c r="C39"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0" i="89" l="1"/>
  <c r="Q69" i="89"/>
  <c r="Q68" i="89" s="1"/>
  <c r="C80" i="89"/>
  <c r="C79" i="89" s="1"/>
  <c r="C71" i="89"/>
  <c r="C40" i="88"/>
  <c r="C45" i="88" s="1"/>
  <c r="C46" i="88" s="1"/>
  <c r="Q69" i="88"/>
  <c r="Q68" i="88" s="1"/>
  <c r="C80" i="88"/>
  <c r="C79" i="88" s="1"/>
  <c r="C71" i="88"/>
  <c r="C40" i="87"/>
  <c r="C45" i="87" s="1"/>
  <c r="C46" i="87" s="1"/>
  <c r="Q69" i="87"/>
  <c r="Q68" i="87" s="1"/>
  <c r="C80" i="87"/>
  <c r="C79" i="87" s="1"/>
  <c r="C71" i="87"/>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9"/>
  <c r="L51" i="87"/>
  <c r="L51" i="88"/>
  <c r="D2" i="21"/>
  <c r="Q67" i="89" l="1"/>
  <c r="Q65" i="89"/>
  <c r="Q75" i="89" s="1"/>
  <c r="Q47" i="89"/>
  <c r="Q53" i="89" s="1"/>
  <c r="C43" i="89"/>
  <c r="D2" i="89"/>
  <c r="Q56" i="89"/>
  <c r="Q62" i="89" s="1"/>
  <c r="C83" i="89"/>
  <c r="C82" i="89" s="1"/>
  <c r="C45" i="89"/>
  <c r="C46" i="89" s="1"/>
  <c r="Q67" i="88"/>
  <c r="Q65" i="88"/>
  <c r="Q75" i="88" s="1"/>
  <c r="Q47" i="88"/>
  <c r="Q53" i="88" s="1"/>
  <c r="C43" i="88"/>
  <c r="D2" i="88"/>
  <c r="Q56" i="88"/>
  <c r="Q62" i="88" s="1"/>
  <c r="C83" i="88"/>
  <c r="C82" i="88" s="1"/>
  <c r="Q67" i="87"/>
  <c r="Q65" i="87"/>
  <c r="Q75" i="87" s="1"/>
  <c r="Q47" i="87"/>
  <c r="Q53" i="87" s="1"/>
  <c r="C43" i="87"/>
  <c r="D2" i="87"/>
  <c r="Q56" i="87"/>
  <c r="Q62" i="87" s="1"/>
  <c r="C83" i="87"/>
  <c r="C82" i="8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9" l="1"/>
  <c r="B2" i="89"/>
  <c r="B3" i="88"/>
  <c r="B2" i="88"/>
  <c r="B3" i="87"/>
  <c r="B2" i="87"/>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4"/>
  <c r="D19" i="85"/>
  <c r="D19" i="9"/>
  <c r="D2" i="36"/>
  <c r="D2" i="35"/>
  <c r="L51" i="15"/>
  <c r="D2" i="34"/>
  <c r="D2" i="37"/>
  <c r="D19" i="86"/>
  <c r="D21" i="86" l="1"/>
  <c r="D102" i="86"/>
  <c r="D21" i="85"/>
  <c r="D102" i="85"/>
  <c r="D22" i="85"/>
  <c r="G19" i="85"/>
  <c r="G21" i="85" s="1"/>
  <c r="D21" i="84"/>
  <c r="D102" i="84"/>
  <c r="D22" i="84"/>
  <c r="G19" i="84"/>
  <c r="G21" i="84" s="1"/>
  <c r="B3" i="33"/>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D35" i="9"/>
  <c r="AO11" i="1"/>
  <c r="AO10" i="1"/>
  <c r="D20" i="9"/>
  <c r="D34" i="9"/>
  <c r="D20" i="85"/>
  <c r="C19" i="86"/>
  <c r="C19" i="9"/>
  <c r="AO12" i="1"/>
  <c r="D20" i="84"/>
  <c r="D20" i="86"/>
  <c r="AO9" i="1"/>
  <c r="AO8" i="1"/>
  <c r="AO6" i="1"/>
  <c r="C21" i="86" l="1"/>
  <c r="C102" i="86"/>
  <c r="D22" i="86"/>
  <c r="G19" i="86"/>
  <c r="G21" i="86" s="1"/>
  <c r="D103" i="86"/>
  <c r="D103" i="85"/>
  <c r="G20" i="85"/>
  <c r="C32" i="85" s="1"/>
  <c r="D103" i="84"/>
  <c r="G20" i="84"/>
  <c r="C32" i="84" s="1"/>
  <c r="C102" i="9"/>
  <c r="D22" i="9"/>
  <c r="C21"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6"/>
  <c r="C103" i="86" l="1"/>
  <c r="G20" i="86"/>
  <c r="C32" i="86" s="1"/>
  <c r="C35" i="86" s="1"/>
  <c r="G118" i="86" s="1"/>
  <c r="F118" i="86" s="1"/>
  <c r="F119" i="86" s="1"/>
  <c r="I118" i="85"/>
  <c r="C35" i="85"/>
  <c r="G118" i="85" s="1"/>
  <c r="F118" i="85" s="1"/>
  <c r="F119" i="85" s="1"/>
  <c r="I118" i="84"/>
  <c r="C35" i="84"/>
  <c r="G118" i="84" s="1"/>
  <c r="F118" i="84" s="1"/>
  <c r="F119" i="84"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86" l="1"/>
  <c r="E118" i="86" s="1"/>
  <c r="D118" i="86" s="1"/>
  <c r="D119" i="86" s="1"/>
  <c r="C34" i="86"/>
  <c r="C34" i="85"/>
  <c r="E118" i="85"/>
  <c r="D118" i="85" s="1"/>
  <c r="D119" i="85" s="1"/>
  <c r="C105" i="85"/>
  <c r="H118" i="85"/>
  <c r="H102" i="85"/>
  <c r="C34" i="84"/>
  <c r="E118" i="84"/>
  <c r="D118" i="84" s="1"/>
  <c r="D119" i="84" s="1"/>
  <c r="C105" i="84"/>
  <c r="H118" i="84"/>
  <c r="H102" i="84"/>
  <c r="C32" i="9"/>
  <c r="C35" i="9" s="1"/>
  <c r="C34" i="9" s="1"/>
  <c r="R24" i="31"/>
  <c r="R62" i="31"/>
  <c r="S62" i="31" s="1"/>
  <c r="R30" i="31"/>
  <c r="S30" i="31" s="1"/>
  <c r="R68" i="31"/>
  <c r="S68" i="31" s="1"/>
  <c r="R52" i="31"/>
  <c r="S52" i="31" s="1"/>
  <c r="R51" i="31"/>
  <c r="S51" i="31" s="1"/>
  <c r="R42" i="31"/>
  <c r="S42" i="31" s="1"/>
  <c r="R29" i="31"/>
  <c r="S29" i="31" s="1"/>
  <c r="R63" i="31"/>
  <c r="S63" i="31" s="1"/>
  <c r="R47" i="31"/>
  <c r="S47" i="31" s="1"/>
  <c r="R54" i="31"/>
  <c r="S54" i="31" s="1"/>
  <c r="R38" i="31"/>
  <c r="S38" i="31" s="1"/>
  <c r="R41" i="31"/>
  <c r="S41" i="31" s="1"/>
  <c r="R28" i="31"/>
  <c r="S28" i="31" s="1"/>
  <c r="R59" i="31"/>
  <c r="S59" i="31" s="1"/>
  <c r="R66" i="31"/>
  <c r="S66" i="31" s="1"/>
  <c r="R50" i="31"/>
  <c r="S50" i="31" s="1"/>
  <c r="R53" i="31"/>
  <c r="S53" i="31" s="1"/>
  <c r="R37" i="31"/>
  <c r="S37" i="31" s="1"/>
  <c r="R40" i="31"/>
  <c r="S40" i="31" s="1"/>
  <c r="R71" i="31"/>
  <c r="S71" i="31" s="1"/>
  <c r="C42" i="40"/>
  <c r="C43" i="40"/>
  <c r="E47" i="40"/>
  <c r="F47" i="40" s="1"/>
  <c r="E46" i="40"/>
  <c r="F46" i="40" s="1"/>
  <c r="I47" i="40"/>
  <c r="J47" i="40" s="1"/>
  <c r="H102" i="86" l="1"/>
  <c r="H118" i="86"/>
  <c r="H119" i="86" s="1"/>
  <c r="C105" i="86"/>
  <c r="H119" i="85"/>
  <c r="H101" i="85"/>
  <c r="D15" i="74" s="1"/>
  <c r="G15" i="74" s="1"/>
  <c r="C104" i="85"/>
  <c r="H119" i="84"/>
  <c r="H101" i="84"/>
  <c r="C104" i="84"/>
  <c r="S24" i="31"/>
  <c r="R26" i="31"/>
  <c r="S26" i="31" s="1"/>
  <c r="R25" i="31"/>
  <c r="S25" i="31" s="1"/>
  <c r="R64" i="31"/>
  <c r="S64" i="31" s="1"/>
  <c r="R35" i="31"/>
  <c r="S35" i="31" s="1"/>
  <c r="R65" i="31"/>
  <c r="S65" i="31" s="1"/>
  <c r="R39" i="31"/>
  <c r="S39" i="31" s="1"/>
  <c r="R56" i="31"/>
  <c r="S56" i="31" s="1"/>
  <c r="R69" i="31"/>
  <c r="S69" i="31" s="1"/>
  <c r="R27" i="31"/>
  <c r="S27" i="31" s="1"/>
  <c r="R44" i="31"/>
  <c r="S44" i="31" s="1"/>
  <c r="R57" i="31"/>
  <c r="S57" i="31" s="1"/>
  <c r="R70" i="31"/>
  <c r="S70" i="31" s="1"/>
  <c r="R32" i="31"/>
  <c r="S32" i="31" s="1"/>
  <c r="R45" i="31"/>
  <c r="S45" i="31" s="1"/>
  <c r="R58" i="31"/>
  <c r="S58" i="31" s="1"/>
  <c r="R67" i="31"/>
  <c r="S67" i="31" s="1"/>
  <c r="R33" i="31"/>
  <c r="S33" i="31" s="1"/>
  <c r="R46" i="31"/>
  <c r="S46" i="31" s="1"/>
  <c r="R55" i="31"/>
  <c r="S55" i="31" s="1"/>
  <c r="R72" i="31"/>
  <c r="S72" i="31" s="1"/>
  <c r="R34" i="31"/>
  <c r="S34" i="31" s="1"/>
  <c r="R43" i="31"/>
  <c r="S43" i="31" s="1"/>
  <c r="R60" i="31"/>
  <c r="S60" i="31" s="1"/>
  <c r="R73" i="31"/>
  <c r="S73" i="31" s="1"/>
  <c r="R31" i="31"/>
  <c r="S31" i="31" s="1"/>
  <c r="R48" i="31"/>
  <c r="S48" i="31" s="1"/>
  <c r="R61" i="31"/>
  <c r="S61" i="31" s="1"/>
  <c r="R74" i="31"/>
  <c r="S74" i="31" s="1"/>
  <c r="R36" i="31"/>
  <c r="S36" i="31" s="1"/>
  <c r="R49" i="31"/>
  <c r="S49" i="31" s="1"/>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F15" i="74"/>
  <c r="C104" i="86"/>
  <c r="H101" i="86"/>
  <c r="D45" i="86" s="1"/>
  <c r="M48" i="85"/>
  <c r="D45" i="85"/>
  <c r="H107" i="85"/>
  <c r="G40" i="80" s="1"/>
  <c r="M48" i="84"/>
  <c r="D45" i="84"/>
  <c r="H107" i="84"/>
  <c r="S22" i="31"/>
  <c r="G41" i="80" l="1"/>
  <c r="D16" i="74"/>
  <c r="G16" i="74" s="1"/>
  <c r="M48" i="86"/>
  <c r="H107" i="86"/>
  <c r="D17" i="74" s="1"/>
  <c r="G17" i="74" s="1"/>
  <c r="C72" i="86"/>
  <c r="C64" i="86"/>
  <c r="C63" i="86" s="1"/>
  <c r="C67" i="86" s="1"/>
  <c r="C68" i="86" s="1"/>
  <c r="D54" i="86" s="1"/>
  <c r="D48" i="86" s="1"/>
  <c r="M52" i="86" s="1"/>
  <c r="D53" i="86"/>
  <c r="C78" i="86"/>
  <c r="C73" i="86" s="1"/>
  <c r="D52" i="86"/>
  <c r="C93" i="86"/>
  <c r="C86" i="86" s="1"/>
  <c r="C85" i="86"/>
  <c r="D55" i="86"/>
  <c r="M53" i="86" s="1"/>
  <c r="D122" i="85"/>
  <c r="D123" i="85" s="1"/>
  <c r="H108" i="85"/>
  <c r="M49" i="85"/>
  <c r="C72" i="85"/>
  <c r="C64" i="85"/>
  <c r="C63" i="85" s="1"/>
  <c r="C67" i="85" s="1"/>
  <c r="C68" i="85" s="1"/>
  <c r="D54" i="85" s="1"/>
  <c r="D48" i="85" s="1"/>
  <c r="M52" i="85" s="1"/>
  <c r="D53" i="85"/>
  <c r="C78" i="85"/>
  <c r="C73" i="85" s="1"/>
  <c r="D52" i="85"/>
  <c r="C93" i="85"/>
  <c r="C86" i="85" s="1"/>
  <c r="C85" i="85"/>
  <c r="D55" i="85"/>
  <c r="M53" i="85" s="1"/>
  <c r="D122" i="84"/>
  <c r="D123" i="84" s="1"/>
  <c r="H108" i="84"/>
  <c r="M49" i="84"/>
  <c r="C72" i="84"/>
  <c r="C64" i="84"/>
  <c r="C63" i="84" s="1"/>
  <c r="C67" i="84" s="1"/>
  <c r="C68" i="84" s="1"/>
  <c r="D54" i="84" s="1"/>
  <c r="D48" i="84" s="1"/>
  <c r="M52" i="84" s="1"/>
  <c r="D53" i="84"/>
  <c r="C78" i="84"/>
  <c r="C73" i="84" s="1"/>
  <c r="D52" i="84"/>
  <c r="C93" i="84"/>
  <c r="C86" i="84" s="1"/>
  <c r="C85" i="84"/>
  <c r="D55" i="84"/>
  <c r="M53" i="84" s="1"/>
  <c r="B20" i="31"/>
  <c r="B21" i="31" s="1"/>
  <c r="R22" i="31"/>
  <c r="G118" i="9"/>
  <c r="F118" i="9" s="1"/>
  <c r="I118" i="9"/>
  <c r="C105" i="9" s="1"/>
  <c r="F17" i="74" l="1"/>
  <c r="E17" i="74"/>
  <c r="E16" i="74"/>
  <c r="F16" i="74"/>
  <c r="D122" i="86"/>
  <c r="D123" i="86" s="1"/>
  <c r="G42" i="80"/>
  <c r="M49" i="86"/>
  <c r="L66" i="86" s="1"/>
  <c r="M66" i="86" s="1"/>
  <c r="H108" i="86"/>
  <c r="C79" i="86"/>
  <c r="C95" i="86"/>
  <c r="C95" i="85"/>
  <c r="C95" i="84"/>
  <c r="C79" i="85"/>
  <c r="L66" i="85"/>
  <c r="M66" i="85" s="1"/>
  <c r="L64" i="85"/>
  <c r="M64" i="85" s="1"/>
  <c r="L68" i="85"/>
  <c r="M68" i="85" s="1"/>
  <c r="L67" i="85"/>
  <c r="M67" i="85" s="1"/>
  <c r="L65" i="85"/>
  <c r="M65" i="85" s="1"/>
  <c r="L63" i="85"/>
  <c r="M63" i="85" s="1"/>
  <c r="C79" i="84"/>
  <c r="L66" i="84"/>
  <c r="M66" i="84" s="1"/>
  <c r="L64" i="84"/>
  <c r="M64" i="84" s="1"/>
  <c r="L68" i="84"/>
  <c r="M68" i="84" s="1"/>
  <c r="L67" i="84"/>
  <c r="M67" i="84" s="1"/>
  <c r="L65" i="84"/>
  <c r="M65" i="84" s="1"/>
  <c r="L63" i="84"/>
  <c r="M63" i="84" s="1"/>
  <c r="E118" i="9"/>
  <c r="E4" i="52" s="1"/>
  <c r="B48" i="72" s="1"/>
  <c r="F4" i="52"/>
  <c r="B51" i="72" s="1"/>
  <c r="F119" i="9"/>
  <c r="F5" i="52" s="1"/>
  <c r="B53" i="72" s="1"/>
  <c r="I4" i="52"/>
  <c r="G4" i="52"/>
  <c r="B52" i="72" s="1"/>
  <c r="H118" i="9"/>
  <c r="H102" i="9"/>
  <c r="L63" i="86" l="1"/>
  <c r="M63" i="86" s="1"/>
  <c r="L67" i="86"/>
  <c r="M67" i="86" s="1"/>
  <c r="L68" i="86"/>
  <c r="M68" i="86" s="1"/>
  <c r="L64" i="86"/>
  <c r="M64" i="86" s="1"/>
  <c r="L65" i="86"/>
  <c r="M65" i="86" s="1"/>
  <c r="M69" i="84"/>
  <c r="N69" i="84" s="1"/>
  <c r="M69" i="85"/>
  <c r="N69" i="85" s="1"/>
  <c r="C96" i="84"/>
  <c r="E96" i="84" s="1"/>
  <c r="E97" i="84" s="1"/>
  <c r="C96" i="85"/>
  <c r="E96" i="85" s="1"/>
  <c r="E97" i="85" s="1"/>
  <c r="C96" i="86"/>
  <c r="E96" i="86" s="1"/>
  <c r="E97" i="86" s="1"/>
  <c r="C80" i="86"/>
  <c r="E80" i="86" s="1"/>
  <c r="E81" i="86" s="1"/>
  <c r="C80" i="85"/>
  <c r="E80" i="85" s="1"/>
  <c r="E81" i="85" s="1"/>
  <c r="C80" i="84"/>
  <c r="E80" i="84" s="1"/>
  <c r="E81" i="84" s="1"/>
  <c r="D118" i="9"/>
  <c r="D4" i="52" s="1"/>
  <c r="B47" i="72" s="1"/>
  <c r="D7" i="53"/>
  <c r="B21" i="72" s="1"/>
  <c r="H4" i="52"/>
  <c r="H101" i="9"/>
  <c r="C104" i="9"/>
  <c r="H119" i="9"/>
  <c r="H5" i="52" s="1"/>
  <c r="M69" i="86" l="1"/>
  <c r="N69" i="86" s="1"/>
  <c r="C81" i="86"/>
  <c r="D58" i="86" s="1"/>
  <c r="D56" i="86" s="1"/>
  <c r="M54" i="86" s="1"/>
  <c r="N57" i="86" s="1"/>
  <c r="P57" i="86" s="1"/>
  <c r="C97" i="86"/>
  <c r="C81" i="84"/>
  <c r="D58" i="84" s="1"/>
  <c r="D56" i="84" s="1"/>
  <c r="M54" i="84" s="1"/>
  <c r="N57" i="84" s="1"/>
  <c r="N58" i="84" s="1"/>
  <c r="C97" i="84"/>
  <c r="C97" i="85"/>
  <c r="C81" i="85"/>
  <c r="D58" i="85" s="1"/>
  <c r="D56" i="85" s="1"/>
  <c r="M54" i="85" s="1"/>
  <c r="N57" i="85" s="1"/>
  <c r="N59" i="85" s="1"/>
  <c r="H111" i="85" s="1"/>
  <c r="D119" i="9"/>
  <c r="D5" i="52" s="1"/>
  <c r="B49" i="72" s="1"/>
  <c r="H107" i="9"/>
  <c r="D5" i="53"/>
  <c r="D45" i="9"/>
  <c r="M48" i="9"/>
  <c r="I14" i="74" l="1"/>
  <c r="I15" i="74"/>
  <c r="D126" i="85"/>
  <c r="D127" i="85" s="1"/>
  <c r="H40" i="80"/>
  <c r="D14" i="74"/>
  <c r="G39" i="80"/>
  <c r="N58" i="86"/>
  <c r="N59" i="86"/>
  <c r="H111" i="86" s="1"/>
  <c r="I17" i="74" s="1"/>
  <c r="P57" i="85"/>
  <c r="P57" i="84"/>
  <c r="N59" i="84"/>
  <c r="H111" i="84" s="1"/>
  <c r="I16" i="74" s="1"/>
  <c r="N58" i="85"/>
  <c r="N61" i="85"/>
  <c r="H112" i="85" s="1"/>
  <c r="N60" i="85"/>
  <c r="B20" i="72"/>
  <c r="D6" i="53"/>
  <c r="B22" i="72" s="1"/>
  <c r="C93" i="9"/>
  <c r="C86" i="9" s="1"/>
  <c r="D52" i="9"/>
  <c r="D55" i="9"/>
  <c r="M53" i="9" s="1"/>
  <c r="D53" i="9"/>
  <c r="C85" i="9"/>
  <c r="C64" i="9"/>
  <c r="C63" i="9" s="1"/>
  <c r="C67" i="9" s="1"/>
  <c r="C78" i="9"/>
  <c r="C73" i="9" s="1"/>
  <c r="C72" i="9"/>
  <c r="D13" i="53"/>
  <c r="D122" i="9"/>
  <c r="H108" i="9"/>
  <c r="M49" i="9"/>
  <c r="B5" i="74" l="1"/>
  <c r="C5" i="74" s="1"/>
  <c r="G14" i="74"/>
  <c r="B6" i="74" s="1"/>
  <c r="D6" i="74" s="1"/>
  <c r="B8" i="74"/>
  <c r="G43" i="80"/>
  <c r="H45" i="80" s="1"/>
  <c r="D126" i="84"/>
  <c r="D127" i="84" s="1"/>
  <c r="H41" i="80"/>
  <c r="D126" i="86"/>
  <c r="D127" i="86" s="1"/>
  <c r="H42" i="80"/>
  <c r="E14" i="74"/>
  <c r="F14" i="74"/>
  <c r="N60" i="86"/>
  <c r="N61" i="86"/>
  <c r="H112" i="86" s="1"/>
  <c r="N60" i="84"/>
  <c r="N61" i="84"/>
  <c r="H112" i="84" s="1"/>
  <c r="C79" i="9"/>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48" i="9" s="1"/>
  <c r="M52" i="9" s="1"/>
  <c r="D59" i="9"/>
  <c r="M55" i="9" s="1"/>
  <c r="B30" i="72"/>
  <c r="D14" i="53"/>
  <c r="B32" i="72" s="1"/>
  <c r="D15" i="53"/>
  <c r="B31" i="72" s="1"/>
  <c r="D8" i="74" l="1"/>
  <c r="F8" i="74"/>
  <c r="D5" i="74"/>
  <c r="F5" i="74"/>
  <c r="C6" i="74"/>
  <c r="G45" i="80"/>
  <c r="C81" i="9"/>
  <c r="C97" i="9"/>
  <c r="M69" i="9"/>
  <c r="N69" i="9" s="1"/>
  <c r="D58" i="9" l="1"/>
  <c r="D56" i="9" s="1"/>
  <c r="M54" i="9" s="1"/>
  <c r="N57" i="9" s="1"/>
  <c r="P57" i="9" s="1"/>
  <c r="N59" i="9" l="1"/>
  <c r="N58" i="9"/>
  <c r="N61" i="9" l="1"/>
  <c r="H112" i="9" s="1"/>
  <c r="H111" i="9"/>
  <c r="N60" i="9"/>
  <c r="H39" i="80" l="1"/>
  <c r="H43" i="80" s="1"/>
  <c r="C8" i="74"/>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<sst xmlns="http://schemas.openxmlformats.org/spreadsheetml/2006/main" count="11119" uniqueCount="3467">
  <si>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</si>
  <si>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</si>
  <si>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</si>
  <si>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</si>
  <si>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</si>
  <si>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</si>
  <si>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</si>
  <si>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</si>
  <si>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</si>
  <si>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</si>
  <si>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</si>
  <si>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</si>
  <si>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</si>
  <si>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</si>
  <si>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</si>
  <si>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</si>
  <si>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</si>
  <si>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</si>
  <si>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</si>
  <si>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</si>
  <si>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</si>
  <si>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</si>
  <si>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</si>
  <si>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</si>
  <si>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</si>
  <si>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</si>
  <si>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</si>
  <si>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</si>
  <si>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</si>
  <si>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</si>
  <si>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</si>
  <si>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</si>
  <si>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</si>
  <si>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</si>
  <si>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</si>
  <si>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</si>
  <si>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</si>
  <si>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</si>
  <si>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</si>
  <si>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</si>
  <si>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</si>
  <si>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</si>
  <si>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</si>
  <si>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</si>
  <si>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</si>
  <si>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</si>
  <si>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</si>
  <si>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</si>
  <si>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</si>
  <si>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</si>
  <si>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</si>
  <si>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</si>
  <si>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</si>
  <si>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</si>
  <si>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</si>
  <si>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</si>
  <si>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</si>
  <si>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</si>
  <si>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</si>
  <si>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</si>
  <si>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</si>
  <si>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</si>
  <si>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</si>
  <si>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</si>
  <si>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</si>
  <si>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</si>
  <si>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</si>
  <si>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</si>
  <si>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</si>
  <si>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</si>
  <si>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</si>
  <si>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</si>
  <si>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</si>
  <si>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</si>
  <si>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</si>
  <si>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</si>
  <si>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</si>
  <si>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</si>
  <si>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</si>
  <si>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</si>
  <si>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</si>
  <si>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</si>
  <si>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</si>
  <si>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</si>
  <si>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</si>
  <si>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</si>
  <si>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</si>
  <si>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</si>
  <si>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</si>
  <si>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</si>
  <si>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</si>
  <si>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</si>
  <si>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</si>
  <si>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</si>
  <si>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</si>
  <si>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</si>
  <si>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</si>
  <si>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</si>
  <si>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</si>
  <si>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</si>
  <si>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</si>
  <si>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</si>
  <si>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</si>
  <si>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</si>
  <si>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</si>
  <si>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</si>
  <si>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</si>
  <si>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</si>
  <si>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</si>
  <si>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</si>
  <si>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</si>
  <si>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</si>
  <si>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</si>
  <si>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</si>
  <si>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</si>
  <si>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</si>
  <si>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</si>
  <si>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</si>
  <si>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</si>
  <si>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</si>
  <si>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</si>
  <si>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</si>
  <si>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</si>
  <si>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</si>
  <si>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</si>
  <si>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</si>
  <si>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</si>
  <si>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</si>
  <si>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</si>
  <si>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</si>
  <si>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</si>
  <si>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</si>
  <si>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</si>
  <si>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</si>
  <si>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</si>
  <si>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</si>
  <si>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</si>
  <si>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</si>
  <si>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</si>
  <si>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</si>
  <si>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</si>
  <si>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</si>
  <si>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</si>
  <si>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</si>
  <si>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</si>
  <si>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</si>
  <si>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</si>
  <si>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</si>
  <si>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</si>
  <si>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</si>
  <si>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</si>
  <si>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</si>
  <si>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</si>
  <si>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</si>
  <si>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</si>
  <si>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</si>
  <si>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</si>
  <si>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</si>
  <si>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</si>
  <si>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</si>
  <si>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</si>
  <si>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</si>
  <si>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</si>
  <si>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</si>
  <si>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</si>
  <si>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</si>
  <si>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</si>
  <si>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</si>
  <si>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</si>
  <si>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</si>
  <si>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</si>
  <si>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</si>
  <si>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</si>
  <si>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</si>
  <si>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</si>
  <si>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</si>
  <si>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</si>
  <si>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</si>
  <si>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</si>
  <si>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</si>
  <si>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</si>
  <si>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</si>
  <si>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</si>
  <si>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</si>
  <si>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</si>
  <si>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</si>
  <si>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</si>
  <si>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</si>
  <si>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</si>
  <si>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</si>
  <si>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</si>
  <si>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</si>
  <si>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</si>
  <si>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</si>
  <si>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</si>
  <si>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</si>
  <si>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</si>
  <si>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</si>
  <si>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</si>
  <si>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</si>
  <si>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</si>
  <si>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</si>
  <si>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</si>
  <si>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</si>
  <si>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</si>
  <si>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</si>
  <si>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</si>
  <si>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</si>
  <si>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</si>
  <si>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</si>
  <si>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</si>
  <si>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</si>
  <si>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</si>
  <si>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</si>
  <si>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</si>
  <si>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</si>
  <si>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</si>
  <si>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</si>
  <si>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</si>
  <si>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</si>
  <si>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</si>
  <si>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</si>
  <si>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</si>
  <si>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</si>
  <si>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</si>
  <si>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</si>
  <si>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</si>
  <si>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</si>
  <si>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</si>
  <si>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</si>
  <si>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</si>
  <si>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</si>
  <si>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</si>
  <si>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</si>
  <si>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</si>
  <si>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</si>
  <si>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</si>
  <si>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</si>
  <si>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</si>
  <si>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</si>
  <si>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</si>
  <si>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</si>
  <si>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</si>
  <si>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</si>
  <si>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</si>
  <si>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</si>
  <si>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</si>
  <si>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</si>
  <si>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</si>
  <si>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</si>
  <si>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</si>
  <si>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</si>
  <si>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</si>
  <si>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</si>
  <si>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</si>
  <si>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</si>
  <si>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</si>
  <si>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</si>
  <si>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</si>
  <si>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</si>
  <si>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</si>
  <si>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</si>
  <si>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</si>
  <si>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</si>
  <si>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</si>
  <si>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</si>
  <si>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</si>
  <si>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</si>
  <si>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</si>
  <si>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</si>
  <si>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</si>
  <si>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</si>
  <si>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</si>
  <si>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</si>
  <si>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</si>
  <si>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</si>
  <si>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</si>
  <si>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</si>
  <si>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</si>
  <si>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</si>
  <si>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</si>
  <si>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</si>
  <si>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</si>
  <si>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</si>
  <si>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</si>
  <si>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</si>
  <si>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</si>
  <si>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</si>
  <si>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</si>
  <si>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</si>
  <si>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</si>
  <si>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</si>
  <si>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</si>
  <si>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</si>
  <si>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</si>
  <si>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</si>
  <si>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</si>
  <si>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</si>
  <si>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</si>
  <si>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</si>
  <si>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</si>
  <si>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</si>
  <si>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</si>
  <si>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</si>
  <si>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</si>
  <si>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</si>
  <si>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</si>
  <si>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</si>
  <si>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</si>
  <si>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</si>
  <si>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</si>
  <si>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</si>
  <si>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</si>
  <si>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</si>
  <si>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</si>
  <si>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</si>
  <si>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</si>
  <si>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</si>
  <si>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</si>
  <si>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</si>
  <si>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</si>
  <si>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</si>
  <si>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</si>
  <si>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</si>
  <si>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</si>
  <si>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</si>
  <si>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</si>
  <si>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</si>
  <si>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</si>
  <si>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</si>
  <si>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</si>
  <si>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</si>
  <si>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</si>
  <si>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</si>
  <si>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</si>
  <si>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</si>
  <si>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</si>
  <si>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</si>
  <si>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</si>
  <si>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</si>
  <si>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</si>
  <si>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</si>
  <si>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</si>
  <si>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</si>
  <si>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</si>
  <si>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</si>
  <si>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</si>
  <si>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</si>
  <si>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</si>
  <si>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</si>
  <si>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</si>
  <si>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</si>
  <si>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</si>
  <si>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</si>
  <si>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</si>
  <si>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</si>
  <si>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</si>
  <si>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</si>
  <si>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</si>
  <si>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</si>
  <si>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</si>
  <si>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</si>
  <si>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</si>
  <si>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</si>
  <si>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</si>
  <si>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</si>
  <si>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</si>
  <si>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</si>
  <si>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</si>
  <si>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</si>
  <si>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</si>
  <si>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</si>
  <si>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</si>
  <si>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</si>
  <si>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</si>
  <si>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</si>
  <si>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</si>
  <si>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</si>
  <si>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</si>
  <si>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</si>
  <si>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</si>
  <si>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</si>
  <si>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</si>
  <si>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</si>
  <si>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</si>
  <si>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</si>
  <si>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</si>
  <si>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</si>
  <si>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</si>
  <si>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</si>
  <si>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</si>
  <si>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</si>
  <si>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</si>
  <si>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</si>
  <si>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</si>
  <si>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</si>
  <si>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</si>
  <si>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</si>
  <si>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</si>
  <si>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</si>
  <si>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</si>
  <si>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</si>
  <si>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</si>
  <si>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</si>
  <si>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</si>
  <si>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</si>
  <si>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</si>
  <si>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</si>
  <si>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</si>
  <si>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</si>
  <si>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</si>
  <si>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</si>
  <si>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</si>
  <si>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</si>
  <si>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</si>
  <si>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</si>
  <si>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</si>
  <si>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</si>
  <si>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</si>
  <si>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</si>
  <si>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</si>
  <si>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</si>
  <si>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</si>
  <si>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</si>
  <si>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</si>
  <si>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</si>
  <si>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</si>
  <si>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</si>
  <si>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</si>
  <si>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</si>
  <si>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</si>
  <si>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</si>
  <si>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</si>
  <si>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</si>
  <si>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</si>
  <si>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</si>
  <si>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</si>
  <si>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</si>
  <si>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</si>
  <si>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</si>
  <si>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</si>
  <si>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</si>
  <si>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</si>
  <si>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</si>
  <si>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</si>
  <si>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</si>
  <si>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</si>
  <si>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</si>
  <si>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</si>
  <si>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</si>
  <si>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</si>
  <si>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</si>
  <si>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</si>
  <si>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</si>
  <si>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</si>
  <si>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</si>
  <si>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</si>
  <si>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</si>
  <si>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</si>
  <si>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</si>
  <si>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</si>
  <si>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</si>
  <si>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</si>
  <si>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</si>
  <si>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</si>
  <si>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</si>
  <si>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</si>
  <si>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</si>
  <si>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</si>
  <si>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</si>
  <si>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</si>
  <si>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</si>
  <si>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</si>
  <si>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</si>
  <si>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</si>
  <si>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</si>
  <si>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</si>
  <si>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</si>
  <si>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</si>
  <si>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</si>
  <si>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</si>
  <si>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</si>
  <si>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</si>
  <si>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</si>
  <si>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</si>
  <si>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</si>
  <si>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</si>
  <si>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</si>
  <si>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</si>
  <si>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</si>
  <si>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</si>
  <si>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</si>
  <si>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</si>
  <si>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</si>
  <si>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</si>
  <si>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</si>
  <si>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</si>
  <si>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</si>
  <si>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</si>
  <si>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</si>
  <si>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</si>
  <si>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</si>
  <si>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</si>
  <si>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</si>
  <si>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</si>
  <si>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</si>
  <si>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</si>
  <si>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</si>
  <si>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</si>
  <si>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</si>
  <si>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</si>
  <si>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</si>
  <si>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</si>
  <si>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</si>
  <si>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</si>
  <si>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</si>
  <si>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</si>
  <si>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</si>
  <si>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</si>
  <si>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</si>
  <si>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</si>
  <si>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</si>
  <si>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</si>
  <si>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</si>
  <si>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</si>
  <si>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</si>
  <si>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</si>
  <si>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</si>
  <si>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</si>
  <si>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</si>
  <si>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</si>
  <si>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</si>
  <si>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</si>
  <si>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</si>
  <si>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</si>
  <si>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</si>
  <si>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</si>
  <si>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</si>
  <si>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</si>
  <si>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</si>
  <si>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</si>
  <si>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</si>
  <si>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</si>
  <si>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</si>
  <si>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</si>
  <si>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</si>
  <si>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</si>
  <si>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</si>
  <si>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</si>
  <si>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</si>
  <si>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</si>
  <si>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</si>
  <si>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</si>
  <si>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</si>
  <si>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</si>
  <si>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</si>
  <si>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</si>
  <si>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</si>
  <si>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</si>
  <si>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</si>
  <si>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</si>
  <si>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</si>
  <si>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</si>
  <si>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</si>
  <si>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</si>
  <si>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</si>
  <si>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</si>
  <si>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</si>
  <si>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</si>
  <si>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</si>
  <si>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</si>
  <si>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</si>
  <si>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</si>
  <si>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</si>
  <si>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</si>
  <si>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</si>
  <si>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</si>
  <si>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</si>
  <si>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</si>
  <si>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</si>
  <si>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</si>
  <si>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</si>
  <si>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</si>
  <si>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</si>
  <si>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</si>
  <si>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</si>
  <si>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</si>
  <si>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</si>
  <si>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</si>
  <si>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</si>
  <si>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</si>
  <si>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</si>
  <si>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</si>
  <si>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</si>
  <si>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</si>
  <si>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</si>
  <si>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</si>
  <si>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</si>
  <si>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</si>
  <si>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</si>
  <si>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</si>
  <si>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</si>
  <si>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</si>
  <si>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</si>
  <si>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</si>
  <si>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</si>
  <si>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</si>
  <si>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</si>
  <si>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</si>
  <si>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</si>
  <si>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</si>
  <si>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</si>
  <si>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</si>
  <si>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</si>
  <si>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</si>
  <si>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</si>
  <si>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</si>
  <si>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</si>
  <si>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</si>
  <si>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</si>
  <si>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</si>
  <si>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</si>
  <si>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</si>
  <si>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</si>
  <si>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</si>
  <si>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</si>
  <si>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</si>
  <si>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</si>
  <si>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</si>
  <si>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</si>
  <si>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</si>
  <si>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</si>
  <si>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</si>
  <si>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</si>
  <si>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</si>
  <si>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</si>
  <si>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</si>
  <si>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</si>
  <si>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</si>
  <si>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</si>
  <si>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</si>
  <si>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</si>
  <si>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</si>
  <si>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</si>
  <si>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</si>
  <si>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</si>
  <si>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</si>
  <si>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</si>
  <si>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</si>
  <si>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</si>
  <si>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</si>
  <si>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</si>
  <si>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</si>
  <si>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</si>
  <si>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</si>
  <si>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</si>
  <si>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</si>
  <si>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</si>
  <si>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</si>
  <si>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</si>
  <si>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</si>
  <si>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</si>
  <si>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</si>
  <si>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</si>
  <si>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</si>
  <si>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</si>
  <si>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</si>
  <si>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</si>
  <si>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</si>
  <si>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</si>
  <si>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</si>
  <si>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</si>
  <si>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</si>
  <si>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</si>
  <si>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</si>
  <si>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</si>
  <si>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</si>
  <si>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</si>
  <si>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</si>
  <si>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</si>
  <si>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</si>
  <si>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</si>
  <si>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</si>
  <si>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</si>
  <si>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</si>
  <si>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</si>
  <si>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</si>
  <si>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</si>
  <si>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</si>
  <si>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</si>
  <si>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</si>
  <si>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</si>
  <si>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</si>
  <si>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</si>
  <si>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</si>
  <si>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</si>
  <si>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</si>
  <si>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</si>
  <si>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</si>
  <si>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</si>
  <si>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</si>
  <si>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</si>
  <si>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</si>
  <si>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</si>
  <si>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</si>
  <si>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</si>
  <si>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</si>
  <si>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</si>
  <si>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</si>
  <si>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</si>
  <si>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</si>
  <si>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</si>
  <si>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</si>
  <si>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</si>
  <si>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</si>
  <si>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</si>
  <si>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</si>
  <si>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</si>
  <si>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</si>
  <si>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</si>
  <si>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</si>
  <si>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</si>
  <si>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</si>
  <si>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</si>
  <si>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</si>
  <si>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</si>
  <si>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</si>
  <si>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</si>
  <si>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</si>
  <si>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</si>
  <si>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</si>
  <si>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</si>
  <si>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</si>
  <si>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</si>
  <si>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</si>
  <si>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</si>
  <si>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</si>
  <si>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</si>
  <si>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</si>
  <si>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</si>
  <si>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</si>
  <si>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</si>
  <si>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</si>
  <si>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</si>
  <si>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</si>
  <si>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</si>
  <si>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</si>
  <si>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</si>
  <si>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</si>
  <si>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</si>
  <si>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</si>
  <si>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</si>
  <si>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</si>
  <si>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</si>
  <si>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</si>
  <si>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</si>
  <si>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</si>
  <si>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</si>
  <si>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</si>
  <si>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</si>
  <si>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</si>
  <si>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</si>
  <si>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</si>
  <si>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</si>
  <si>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</si>
  <si>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</si>
  <si>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</si>
  <si>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</si>
  <si>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</si>
  <si>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</si>
  <si>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</si>
  <si>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</si>
  <si>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</si>
  <si>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</si>
  <si>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</si>
  <si>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</si>
  <si>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</si>
  <si>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</si>
  <si>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</si>
  <si>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</si>
  <si>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</si>
  <si>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</si>
  <si>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</si>
  <si>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</si>
  <si>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</si>
  <si>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</si>
  <si>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</si>
  <si>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</si>
  <si>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</si>
  <si>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</si>
  <si>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</si>
  <si>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</si>
  <si>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</si>
  <si>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</si>
  <si>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</si>
  <si>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</si>
  <si>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</si>
  <si>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</si>
  <si>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</si>
  <si>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</si>
  <si>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</si>
  <si>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</si>
  <si>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</si>
  <si>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</si>
  <si>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</si>
  <si>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</si>
  <si>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</si>
  <si>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</si>
  <si>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</si>
  <si>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</si>
  <si>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</si>
  <si>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</si>
  <si>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</si>
  <si>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</si>
  <si>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</si>
  <si>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</si>
  <si>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</si>
  <si>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</si>
  <si>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</si>
  <si>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</si>
  <si>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</si>
  <si>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</si>
  <si>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</si>
  <si>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</si>
  <si>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</si>
  <si>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</si>
  <si>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</si>
  <si>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</si>
  <si>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</si>
  <si>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</si>
  <si>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</si>
  <si>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</si>
  <si>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</si>
  <si>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</si>
  <si>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</si>
  <si>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</si>
  <si>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</si>
  <si>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</si>
  <si>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</si>
  <si>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</si>
  <si>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</si>
  <si>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</si>
  <si>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</si>
  <si>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</si>
  <si>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</si>
  <si>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</si>
  <si>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</si>
  <si>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</si>
  <si>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</si>
  <si>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</si>
  <si>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</si>
  <si>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</si>
  <si>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</si>
  <si>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</si>
  <si>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</si>
  <si>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</si>
  <si>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</si>
  <si>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</si>
  <si>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</si>
  <si>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</si>
  <si>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</si>
  <si>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</si>
  <si>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</si>
  <si>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</si>
  <si>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</si>
  <si>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</si>
  <si>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</si>
  <si>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</si>
  <si>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</si>
  <si>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</si>
  <si>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</si>
  <si>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</si>
  <si>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</si>
  <si>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</si>
  <si>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</si>
  <si>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</si>
  <si>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</si>
  <si>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</si>
  <si>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</si>
  <si>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</si>
  <si>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</si>
  <si>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</si>
  <si>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</si>
  <si>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</si>
  <si>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</si>
  <si>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</si>
  <si>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</si>
  <si>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</si>
  <si>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</si>
  <si>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</si>
  <si>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</si>
  <si>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</si>
  <si>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</si>
  <si>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</si>
  <si>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</si>
  <si>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</si>
  <si>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</si>
  <si>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</si>
  <si>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</si>
  <si>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</si>
  <si>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</si>
  <si>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</si>
  <si>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</si>
  <si>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</si>
  <si>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</si>
  <si>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</si>
  <si>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</si>
  <si>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</si>
  <si>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</si>
  <si>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</si>
  <si>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</si>
  <si>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</si>
  <si>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</si>
  <si>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</si>
  <si>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</si>
  <si>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</si>
  <si>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</si>
  <si>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</si>
  <si>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</si>
  <si>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</si>
  <si>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</si>
  <si>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</si>
  <si>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</si>
  <si>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</si>
  <si>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</si>
  <si>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</si>
  <si>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</si>
  <si>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</si>
  <si>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</si>
  <si>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</si>
  <si>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</si>
  <si>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</si>
  <si>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</si>
  <si>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</si>
  <si>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</si>
  <si>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</si>
  <si>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</si>
  <si>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</si>
  <si>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</si>
  <si>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</si>
  <si>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</si>
  <si>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</si>
  <si>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</si>
  <si>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</si>
  <si>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</si>
  <si>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</si>
  <si>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</si>
  <si>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</si>
  <si>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</si>
  <si>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</si>
  <si>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</si>
  <si>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</si>
  <si>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</si>
  <si>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</si>
  <si>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</si>
  <si>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</si>
  <si>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</si>
  <si>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</si>
  <si>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</si>
  <si>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</si>
  <si>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</si>
  <si>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</si>
  <si>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</si>
  <si>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</si>
  <si>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</si>
  <si>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</si>
  <si>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</si>
  <si>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</si>
  <si>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</si>
  <si>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</si>
  <si>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</si>
  <si>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</si>
  <si>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</si>
  <si>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</si>
  <si>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</si>
  <si>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</si>
  <si>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</si>
  <si>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</si>
  <si>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</si>
  <si>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</si>
  <si>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</si>
  <si>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</si>
  <si>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</si>
  <si>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</si>
  <si>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</si>
  <si>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</si>
  <si>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</si>
  <si>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</si>
  <si>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</si>
  <si>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</si>
  <si>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</si>
  <si>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</si>
  <si>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</si>
  <si>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</si>
  <si>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</si>
  <si>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</si>
  <si>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</si>
  <si>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</si>
  <si>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</si>
  <si>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</si>
  <si>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</si>
  <si>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</si>
  <si>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</si>
  <si>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</si>
  <si>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</si>
  <si>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</si>
  <si>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</si>
  <si>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</si>
  <si>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</si>
  <si>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</si>
  <si>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</si>
  <si>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</si>
  <si>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</si>
  <si>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</si>
  <si>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</si>
  <si>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</si>
  <si>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</si>
  <si>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</si>
  <si>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</si>
  <si>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</si>
  <si>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</si>
  <si>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</si>
  <si>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</si>
  <si>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</si>
  <si>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</si>
  <si>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</si>
  <si>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</si>
  <si>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</si>
  <si>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</si>
  <si>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</si>
  <si>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</si>
  <si>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</si>
  <si>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</si>
  <si>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</si>
  <si>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</si>
  <si>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</si>
  <si>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</si>
  <si>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</si>
  <si>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</si>
  <si>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</si>
  <si>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</si>
  <si>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</si>
  <si>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</si>
  <si>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</si>
  <si>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</si>
  <si>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</si>
  <si>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</si>
  <si>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</si>
  <si>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</si>
  <si>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</si>
  <si>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</si>
  <si>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</si>
  <si>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</si>
  <si>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</si>
  <si>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</si>
  <si>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</si>
  <si>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</si>
  <si>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</si>
  <si>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</si>
  <si>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</si>
  <si>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</si>
  <si>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</si>
  <si>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</si>
  <si>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</si>
  <si>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</si>
  <si>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</si>
  <si>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</si>
  <si>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</si>
  <si>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</si>
  <si>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</si>
  <si>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</si>
  <si>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</si>
  <si>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</si>
  <si>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</si>
  <si>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</si>
  <si>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</si>
  <si>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</si>
  <si>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</si>
  <si>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</si>
  <si>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</si>
  <si>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</si>
  <si>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</si>
  <si>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</si>
  <si>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</si>
  <si>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</si>
  <si>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</si>
  <si>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</si>
  <si>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</si>
  <si>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</si>
  <si>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</si>
  <si>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</si>
  <si>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</si>
  <si>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</si>
  <si>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</si>
  <si>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</si>
  <si>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</si>
  <si>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</si>
  <si>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</si>
  <si>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</si>
  <si>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</si>
  <si>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</si>
  <si>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</si>
  <si>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</si>
  <si>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</si>
  <si>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</si>
  <si>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</si>
  <si>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</si>
  <si>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</si>
  <si>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</si>
  <si>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</si>
  <si>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</si>
  <si>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</si>
  <si>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</si>
  <si>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</si>
  <si>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</si>
  <si>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</si>
  <si>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</si>
  <si>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</si>
  <si>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</si>
  <si>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</si>
  <si>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</si>
  <si>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</si>
  <si>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</si>
  <si>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</si>
  <si>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</si>
  <si>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</si>
  <si>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</si>
  <si>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</si>
  <si>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</si>
  <si>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</si>
  <si>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</si>
  <si>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</si>
  <si>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</si>
  <si>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</si>
  <si>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</si>
  <si>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</si>
  <si>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</si>
  <si>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</si>
  <si>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</si>
  <si>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</si>
  <si>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</si>
  <si>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</si>
  <si>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</si>
  <si>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</si>
  <si>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</si>
  <si>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</si>
  <si>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</si>
  <si>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</si>
  <si>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</si>
  <si>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</si>
  <si>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</si>
  <si>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</si>
  <si>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</si>
  <si>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</si>
  <si>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</si>
  <si>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</si>
  <si>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</si>
  <si>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</si>
  <si>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</si>
  <si>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</si>
  <si>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</si>
  <si>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</si>
  <si>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</si>
  <si>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</si>
  <si>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</si>
  <si>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</si>
  <si>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</si>
  <si>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</si>
  <si>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</si>
  <si>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</si>
  <si>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</si>
  <si>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</si>
  <si>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</si>
  <si>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</si>
  <si>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</si>
  <si>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</si>
  <si>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</si>
  <si>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</si>
  <si>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</si>
  <si>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</si>
  <si>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</si>
  <si>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</si>
  <si>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</si>
  <si>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</si>
  <si>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</si>
  <si>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</si>
  <si>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</si>
  <si>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</si>
  <si>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</si>
  <si>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</si>
  <si>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</si>
  <si>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</si>
  <si>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</si>
  <si>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</si>
  <si>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</si>
  <si>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</si>
  <si>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</si>
  <si>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</si>
  <si>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</si>
  <si>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</si>
  <si>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</si>
  <si>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</si>
  <si>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</si>
  <si>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</si>
  <si>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</si>
  <si>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</si>
  <si>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</si>
  <si>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</si>
  <si>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</si>
  <si>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</si>
  <si>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</si>
  <si>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</si>
  <si>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</si>
  <si>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</si>
  <si>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</si>
  <si>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</si>
  <si>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</si>
  <si>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</si>
  <si>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</si>
  <si>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</si>
  <si>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</si>
  <si>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</si>
  <si>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</si>
  <si>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</si>
  <si>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</si>
  <si>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</si>
  <si>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</si>
  <si>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</si>
  <si>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</si>
  <si>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</si>
  <si>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</si>
  <si>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</si>
  <si>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</si>
  <si>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</si>
  <si>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</si>
  <si>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</si>
  <si>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</si>
  <si>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</si>
  <si>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</si>
  <si>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</si>
  <si>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</si>
  <si>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</si>
  <si>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</si>
  <si>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</si>
  <si>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</si>
  <si>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</si>
  <si>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</si>
  <si>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</si>
  <si>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</si>
  <si>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</si>
  <si>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</si>
  <si>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</si>
  <si>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</si>
  <si>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</si>
  <si>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</si>
  <si>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</si>
  <si>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</si>
  <si>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</si>
  <si>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</si>
  <si>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</si>
  <si>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</si>
  <si>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</si>
  <si>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</si>
  <si>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</si>
  <si>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</si>
  <si>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</si>
  <si>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</si>
  <si>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</si>
  <si>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</si>
  <si>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</si>
  <si>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</si>
  <si>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</si>
  <si>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</si>
  <si>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</si>
  <si>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</si>
  <si>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</si>
  <si>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</si>
  <si>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</si>
  <si>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</si>
  <si>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</si>
  <si>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</si>
  <si>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</si>
  <si>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</si>
  <si>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</si>
  <si>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</si>
  <si>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</si>
  <si>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</si>
  <si>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</si>
  <si>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</si>
  <si>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</si>
  <si>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</si>
  <si>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</si>
  <si>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</si>
  <si>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</si>
  <si>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</si>
  <si>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</si>
  <si>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</si>
  <si>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</si>
  <si>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</si>
  <si>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</si>
  <si>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</si>
  <si>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</si>
  <si>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</si>
  <si>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</si>
  <si>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</si>
  <si>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</si>
  <si>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</si>
  <si>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</si>
  <si>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</si>
  <si>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</si>
  <si>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</si>
  <si>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</si>
  <si>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</si>
  <si>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</si>
  <si>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</si>
  <si>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</si>
  <si>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</si>
  <si>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</si>
  <si>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</si>
  <si>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</si>
  <si>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</si>
  <si>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</si>
  <si>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</si>
  <si>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</si>
  <si>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</si>
  <si>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</si>
  <si>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</si>
  <si>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</si>
  <si>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</si>
  <si>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</si>
  <si>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</si>
  <si>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</si>
  <si>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</si>
  <si>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</si>
  <si>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</si>
  <si>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</si>
  <si>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</si>
  <si>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</si>
  <si>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</si>
  <si>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</si>
  <si>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</si>
  <si>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</si>
  <si>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</si>
  <si>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</si>
  <si>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</si>
  <si>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</si>
  <si>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</si>
  <si>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</si>
  <si>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</si>
  <si>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</si>
  <si>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</si>
  <si>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</si>
  <si>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</si>
  <si>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</si>
  <si>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</si>
  <si>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</si>
  <si>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</si>
  <si>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</si>
  <si>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</si>
  <si>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</si>
  <si>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</si>
  <si>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</si>
  <si>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</si>
  <si>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</si>
  <si>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</si>
  <si>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</si>
  <si>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</si>
  <si>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</si>
  <si>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</si>
  <si>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</si>
  <si>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</si>
  <si>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</si>
  <si>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</si>
  <si>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</si>
  <si>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</si>
  <si>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</si>
  <si>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</si>
  <si>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</si>
  <si>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</si>
  <si>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</si>
  <si>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</si>
  <si>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</si>
  <si>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</si>
  <si>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</si>
  <si>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</si>
  <si>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</si>
  <si>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</si>
  <si>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</si>
  <si>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</si>
  <si>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</si>
  <si>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</si>
  <si>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</si>
  <si>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</si>
  <si>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</si>
  <si>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</si>
  <si>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</si>
  <si>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</si>
  <si>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</si>
  <si>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</si>
  <si>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</si>
  <si>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</si>
  <si>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</si>
  <si>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</si>
  <si>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</si>
  <si>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</si>
  <si>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</si>
  <si>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</si>
  <si>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</si>
  <si>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</si>
  <si>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</si>
  <si>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</si>
  <si>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</si>
  <si>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</si>
  <si>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</si>
  <si>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</si>
  <si>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</si>
  <si>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</si>
  <si>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</si>
  <si>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</si>
  <si>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</si>
  <si>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</si>
  <si>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</si>
  <si>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</si>
  <si>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</si>
  <si>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</si>
  <si>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</si>
  <si>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</si>
  <si>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</si>
  <si>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</si>
  <si>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</si>
  <si>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</si>
  <si>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</si>
  <si>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</si>
  <si>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</si>
  <si>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</si>
  <si>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</si>
  <si>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</si>
  <si>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</si>
  <si>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</si>
  <si>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</si>
  <si>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</si>
  <si>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</si>
  <si>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</si>
  <si>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</si>
  <si>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</si>
  <si>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</si>
  <si>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</si>
  <si>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</si>
  <si>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</si>
  <si>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</si>
  <si>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</si>
  <si>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</si>
  <si>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</si>
  <si>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</si>
  <si>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</si>
  <si>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</si>
  <si>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</si>
  <si>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</si>
  <si>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</si>
  <si>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</si>
  <si>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</si>
  <si>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</si>
  <si>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</si>
  <si>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</si>
  <si>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</si>
  <si>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</si>
  <si>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</si>
  <si>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</si>
  <si>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</si>
  <si>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</si>
  <si>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</si>
  <si>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</si>
  <si>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</si>
  <si>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</si>
  <si>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</si>
  <si>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</si>
  <si>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</si>
  <si>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</si>
  <si>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</si>
  <si>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</si>
  <si>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</si>
  <si>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</si>
  <si>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</si>
  <si>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</si>
  <si>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</si>
  <si>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</si>
  <si>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</si>
  <si>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</si>
  <si>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</si>
  <si>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</si>
  <si>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</si>
  <si>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</si>
  <si>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</si>
  <si>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</si>
  <si>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</si>
  <si>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</si>
  <si>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</si>
  <si>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</si>
  <si>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</si>
  <si>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</si>
  <si>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</si>
  <si>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</si>
  <si>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</si>
  <si>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</si>
  <si>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</si>
  <si>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</si>
  <si>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</si>
  <si>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</si>
  <si>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</si>
  <si>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</si>
  <si>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</si>
  <si>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</si>
  <si>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</si>
  <si>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</si>
  <si>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</si>
  <si>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</si>
  <si>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</si>
  <si>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</si>
  <si>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</si>
  <si>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</si>
  <si>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</si>
  <si>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</si>
  <si>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</si>
  <si>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</si>
  <si>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</si>
  <si>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</si>
  <si>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</si>
  <si>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</si>
  <si>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</si>
  <si>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</si>
  <si>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</si>
  <si>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</si>
  <si>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</si>
  <si>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</si>
  <si>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</si>
  <si>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</si>
  <si>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</si>
  <si>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</si>
  <si>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</si>
  <si>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</si>
  <si>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</si>
  <si>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</si>
  <si>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</si>
  <si>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</si>
  <si>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</si>
  <si>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</si>
  <si>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</si>
  <si>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</si>
  <si>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</si>
  <si>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</si>
  <si>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</si>
  <si>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</si>
  <si>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</si>
  <si>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</si>
  <si>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</si>
  <si>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</si>
  <si>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</si>
  <si>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</si>
  <si>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</si>
  <si>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</si>
  <si>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</si>
  <si>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</si>
  <si>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</si>
  <si>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</si>
  <si>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</si>
  <si>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</si>
  <si>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</si>
  <si>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</si>
  <si>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</si>
  <si>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</si>
  <si>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</si>
  <si>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</si>
  <si>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</si>
  <si>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</si>
  <si>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</si>
  <si>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</si>
  <si>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</si>
  <si>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</si>
  <si>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</si>
  <si>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</si>
  <si>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</si>
  <si>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</si>
  <si>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</si>
  <si>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</si>
  <si>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</si>
  <si>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</si>
  <si>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</si>
  <si>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</si>
  <si>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</si>
  <si>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</si>
  <si>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</si>
  <si>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</si>
  <si>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</si>
  <si>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</si>
  <si>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</si>
  <si>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</si>
  <si>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</si>
  <si>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</si>
  <si>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</si>
  <si>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</si>
  <si>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</si>
  <si>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</si>
  <si>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</si>
  <si>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</si>
  <si>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</si>
  <si>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</si>
  <si>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</si>
  <si>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</si>
  <si>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</si>
  <si>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</si>
  <si>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</si>
  <si>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</si>
  <si>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</si>
  <si>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</si>
  <si>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</si>
  <si>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</si>
  <si>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</si>
  <si>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</si>
  <si>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</si>
  <si>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</si>
  <si>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</si>
  <si>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</si>
  <si>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</si>
  <si>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</si>
  <si>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</si>
  <si>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</si>
  <si>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</si>
  <si>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</si>
  <si>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</si>
  <si>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</si>
  <si>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</si>
  <si>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</si>
  <si>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</si>
  <si>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</si>
  <si>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</si>
  <si>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</si>
  <si>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</si>
  <si>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</si>
  <si>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</si>
  <si>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</si>
  <si>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</si>
  <si>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</si>
  <si>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</si>
  <si>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</si>
  <si>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</si>
  <si>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</si>
  <si>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</si>
  <si>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</si>
  <si>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</si>
  <si>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</si>
  <si>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</si>
  <si>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</si>
  <si>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</si>
  <si>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</si>
  <si>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</si>
  <si>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</si>
  <si>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</si>
  <si>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</si>
  <si>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</si>
  <si>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</si>
  <si>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</si>
  <si>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</si>
  <si>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</si>
  <si>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</si>
  <si>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</si>
  <si>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</si>
  <si>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</si>
  <si>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</si>
  <si>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</si>
  <si>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</si>
  <si>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</si>
  <si>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</si>
  <si>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</si>
  <si>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</si>
  <si>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</si>
  <si>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</si>
  <si>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</si>
  <si>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</si>
  <si>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</si>
  <si>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</si>
  <si>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</si>
  <si>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</si>
  <si>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</si>
  <si>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</si>
  <si>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</si>
  <si>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</si>
  <si>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</si>
  <si>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</si>
  <si>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</si>
  <si>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</si>
  <si>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</si>
  <si>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</si>
  <si>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</si>
  <si>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</si>
  <si>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</si>
  <si>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</si>
  <si>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</si>
  <si>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</si>
  <si>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</si>
  <si>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</si>
  <si>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</si>
  <si>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</si>
  <si>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</si>
  <si>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</si>
  <si>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</si>
  <si>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</si>
  <si>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</si>
  <si>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</si>
  <si>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</si>
  <si>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</si>
  <si>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</si>
  <si>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</si>
  <si>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</si>
  <si>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</si>
  <si>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</si>
  <si>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</si>
  <si>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</si>
  <si>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</si>
  <si>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</si>
  <si>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</si>
  <si>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</si>
  <si>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</si>
  <si>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</si>
  <si>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</si>
  <si>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</si>
  <si>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</si>
  <si>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</si>
  <si>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</si>
  <si>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</si>
  <si>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</si>
  <si>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</si>
  <si>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</si>
  <si>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</si>
  <si>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</si>
  <si>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</si>
  <si>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</si>
  <si>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</si>
  <si>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</si>
  <si>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</si>
  <si>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</si>
  <si>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</si>
  <si>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</si>
  <si>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</si>
  <si>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</si>
  <si>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</si>
  <si>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</si>
  <si>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</si>
  <si>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</si>
  <si>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</si>
  <si>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</si>
  <si>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</si>
  <si>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</si>
  <si>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</si>
  <si>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</si>
  <si>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</si>
  <si>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</si>
  <si>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</si>
  <si>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</si>
  <si>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</si>
  <si>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</si>
  <si>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</si>
  <si>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</si>
  <si>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</si>
  <si>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</si>
  <si>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</si>
  <si>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</si>
  <si>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</si>
  <si>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</si>
  <si>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</si>
  <si>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</si>
  <si>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</si>
  <si>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</si>
  <si>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</si>
  <si>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</si>
  <si>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</si>
  <si>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</si>
  <si>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</si>
  <si>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</si>
  <si>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</si>
  <si>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</si>
  <si>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</si>
  <si>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</si>
  <si>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</si>
  <si>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</si>
  <si>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</si>
  <si>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</si>
  <si>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</si>
  <si>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</si>
  <si>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</si>
  <si>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</si>
  <si>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</si>
  <si>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</si>
  <si>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</si>
  <si>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</si>
  <si>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</si>
  <si>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</si>
  <si>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</si>
  <si>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</si>
  <si>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</si>
  <si>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</si>
  <si>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</si>
  <si>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</si>
  <si>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</si>
  <si>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</si>
  <si>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</si>
  <si>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</si>
  <si>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</si>
  <si>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</si>
  <si>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</si>
  <si>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</si>
  <si>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</si>
  <si>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</si>
  <si>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</si>
  <si>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</si>
  <si>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</si>
  <si>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</si>
  <si>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</si>
  <si>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</si>
  <si>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</si>
  <si>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</si>
  <si>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</si>
  <si>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</si>
  <si>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</si>
  <si>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</si>
  <si>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</si>
  <si>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</si>
  <si>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</si>
  <si>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</si>
  <si>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</si>
  <si>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</si>
  <si>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</si>
  <si>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</si>
  <si>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</si>
  <si>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</si>
  <si>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</si>
  <si>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</si>
  <si>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</si>
  <si>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</si>
  <si>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</si>
  <si>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</si>
  <si>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</si>
  <si>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</si>
  <si>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</si>
  <si>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</si>
  <si>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</si>
  <si>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</si>
  <si>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</si>
  <si>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</si>
  <si>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</si>
  <si>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</si>
  <si>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</si>
  <si>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</si>
  <si>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</si>
  <si>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</si>
  <si>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</si>
  <si>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</si>
  <si>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</si>
  <si>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</si>
  <si>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</si>
  <si>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</si>
  <si>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</si>
  <si>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</si>
  <si>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</si>
  <si>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</si>
  <si>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</si>
  <si>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</si>
  <si>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</si>
  <si>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</si>
  <si>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</si>
  <si>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</si>
  <si>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</si>
  <si>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</si>
  <si>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</si>
  <si>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</si>
  <si>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</si>
  <si>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</si>
  <si>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</si>
  <si>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</si>
  <si>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</si>
  <si>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</si>
  <si>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</si>
  <si>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</si>
  <si>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</si>
  <si>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</si>
  <si>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</si>
  <si>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</si>
  <si>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</si>
  <si>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</si>
  <si>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</si>
  <si>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</si>
  <si>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</si>
  <si>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</si>
  <si>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</si>
  <si>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</si>
  <si>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</si>
  <si>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</si>
  <si>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</si>
  <si>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</si>
  <si>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</si>
  <si>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</si>
  <si>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</si>
  <si>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</si>
  <si>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</si>
  <si>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</si>
  <si>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</si>
  <si>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</si>
  <si>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</si>
  <si>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</si>
  <si>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</si>
  <si>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</si>
  <si>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</si>
  <si>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</si>
  <si>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</si>
  <si>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</si>
  <si>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</si>
  <si>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</si>
  <si>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</si>
  <si>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</si>
  <si>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</si>
  <si>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</si>
  <si>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</si>
  <si>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</si>
  <si>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</si>
  <si>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</si>
  <si>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</si>
  <si>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</si>
  <si>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</si>
  <si>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</si>
  <si>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</si>
  <si>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</si>
  <si>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</si>
  <si>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</si>
  <si>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</si>
  <si>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</si>
  <si>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</si>
  <si>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</si>
  <si>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</si>
  <si>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</si>
  <si>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</si>
  <si>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</si>
  <si>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</si>
  <si>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</si>
  <si>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</si>
  <si>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</si>
  <si>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</si>
  <si>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</si>
  <si>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</si>
  <si>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</si>
  <si>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</si>
  <si>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</si>
  <si>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</si>
  <si>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</si>
  <si>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</si>
  <si>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</si>
  <si>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</si>
  <si>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</si>
  <si>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</si>
  <si>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</si>
  <si>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</si>
  <si>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</si>
  <si>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</si>
  <si>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</si>
  <si>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</si>
  <si>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</si>
  <si>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</si>
  <si>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</si>
  <si>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</si>
  <si>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</si>
  <si>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</si>
  <si>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</si>
  <si>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</si>
  <si>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</si>
  <si>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</si>
  <si>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</si>
  <si>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</si>
  <si>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</si>
  <si>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</si>
  <si>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</si>
  <si>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</si>
  <si>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</si>
  <si>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</si>
  <si>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</si>
  <si>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</si>
  <si>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</si>
  <si>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</si>
  <si>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</si>
  <si>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</si>
  <si>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</si>
  <si>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</si>
  <si>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</si>
  <si>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</si>
  <si>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</si>
  <si>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</si>
  <si>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</si>
  <si>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</si>
  <si>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</si>
  <si>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</si>
  <si>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</si>
  <si>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</si>
  <si>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</si>
  <si>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</si>
  <si>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</si>
  <si>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</si>
  <si>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</si>
  <si>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</si>
  <si>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</si>
  <si>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</si>
  <si>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</si>
  <si>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</si>
  <si>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</si>
  <si>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</si>
  <si>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</si>
  <si>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</si>
  <si>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</si>
  <si>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</si>
  <si>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</si>
  <si>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</si>
  <si>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</si>
  <si>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</si>
  <si>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</si>
  <si>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</si>
  <si>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</si>
  <si>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</si>
  <si>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</si>
  <si>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</si>
  <si>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</si>
  <si>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</si>
  <si>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</si>
  <si>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</si>
  <si>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</si>
  <si>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</si>
  <si>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</si>
  <si>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</si>
  <si>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</si>
  <si>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</si>
  <si>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</si>
  <si>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</si>
  <si>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</si>
  <si>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</si>
  <si>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</si>
  <si>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</si>
  <si>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</si>
  <si>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</si>
  <si>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</si>
  <si>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</si>
  <si>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</si>
  <si>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</si>
  <si>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</si>
  <si>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</si>
  <si>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</si>
  <si>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</si>
  <si>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</si>
  <si>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</si>
  <si>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</si>
  <si>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</si>
  <si>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</si>
  <si>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</si>
  <si>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</si>
  <si>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</si>
  <si>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</si>
  <si>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</si>
  <si>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</si>
  <si>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</si>
  <si>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</si>
  <si>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</si>
  <si>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</si>
  <si>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</si>
  <si>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</si>
  <si>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</si>
  <si>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</si>
  <si>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</si>
  <si>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</si>
  <si>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</si>
  <si>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</si>
  <si>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</si>
  <si>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</si>
  <si>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</si>
  <si>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</si>
  <si>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</si>
  <si>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</si>
  <si>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</si>
  <si>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</si>
  <si>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</si>
  <si>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</si>
  <si>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</si>
  <si>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</si>
  <si>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</si>
  <si>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</si>
  <si>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</si>
  <si>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</si>
  <si>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</si>
  <si>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</si>
  <si>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</si>
  <si>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</si>
  <si>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</si>
  <si>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</si>
  <si>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</si>
  <si>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</si>
  <si>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</si>
  <si>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</si>
  <si>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</si>
  <si>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</si>
  <si>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</si>
  <si>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</si>
  <si>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</si>
  <si>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</si>
  <si>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</si>
  <si>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</si>
  <si>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</si>
  <si>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</si>
  <si>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</si>
  <si>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</si>
  <si>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</si>
  <si>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</si>
  <si>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</si>
  <si>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</si>
  <si>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</si>
  <si>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</si>
  <si>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</si>
  <si>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</si>
  <si>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</si>
  <si>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</si>
  <si>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</si>
  <si>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</si>
  <si>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</si>
  <si>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</si>
  <si>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</si>
  <si>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</si>
  <si>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</si>
  <si>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</si>
  <si>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</si>
  <si>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</si>
  <si>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</si>
  <si>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</si>
  <si>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</si>
  <si>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</si>
  <si>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</si>
  <si>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</si>
  <si>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</si>
  <si>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</si>
  <si>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</si>
  <si>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</si>
  <si>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</si>
  <si>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</si>
  <si>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</si>
  <si>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</si>
  <si>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</si>
  <si>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</si>
  <si>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</si>
  <si>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</si>
  <si>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</si>
  <si>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</si>
  <si>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</si>
  <si>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</si>
  <si>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</si>
  <si>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</si>
  <si>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</si>
  <si>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</si>
  <si>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</si>
  <si>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</si>
  <si>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</si>
  <si>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</si>
  <si>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</si>
  <si>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</si>
  <si>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</si>
  <si>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</si>
  <si>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</si>
  <si>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</si>
  <si>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</si>
  <si>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</si>
  <si>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</si>
  <si>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</si>
  <si>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</si>
  <si>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</si>
  <si>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</si>
  <si>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</si>
  <si>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</si>
  <si>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</si>
  <si>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</si>
  <si>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</si>
  <si>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</si>
  <si>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</si>
  <si>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</si>
  <si>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</si>
  <si>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</si>
  <si>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</si>
  <si>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</si>
  <si>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</si>
  <si>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</si>
  <si>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</si>
  <si>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</si>
  <si>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</si>
  <si>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</si>
  <si>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</si>
  <si>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</si>
  <si>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</si>
  <si>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</si>
  <si>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</si>
  <si>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</si>
  <si>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</si>
  <si>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</si>
  <si>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</si>
  <si>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</si>
  <si>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</si>
  <si>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</si>
  <si>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</si>
  <si>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</si>
  <si>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</si>
  <si>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</si>
  <si>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</si>
  <si>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</si>
  <si>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</si>
  <si>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</si>
  <si>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</si>
  <si>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</si>
  <si>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</si>
  <si>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</si>
  <si>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</si>
  <si>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</si>
  <si>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</si>
  <si>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</si>
  <si>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</si>
  <si>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</si>
  <si>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</si>
  <si>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</si>
  <si>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</si>
  <si>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</si>
  <si>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</si>
  <si>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</si>
  <si>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</si>
  <si>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</si>
  <si>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</si>
  <si>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</si>
  <si>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</si>
  <si>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</si>
  <si>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</si>
  <si>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</si>
  <si>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</si>
  <si>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</si>
  <si>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</si>
  <si>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</si>
  <si>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</si>
  <si>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</si>
  <si>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</si>
  <si>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</si>
  <si>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</si>
  <si>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</si>
  <si>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</si>
  <si>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</si>
  <si>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</si>
  <si>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</si>
  <si>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</si>
  <si>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</si>
  <si>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</si>
  <si>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</si>
  <si>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</si>
  <si>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</si>
  <si>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</si>
  <si>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</si>
  <si>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</si>
  <si>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</si>
  <si>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</si>
  <si>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</si>
  <si>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</si>
  <si>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</si>
  <si>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</si>
  <si>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</si>
  <si>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</si>
  <si>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</si>
  <si>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</si>
  <si>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</si>
  <si>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</si>
  <si>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</si>
  <si>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</si>
  <si>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</si>
  <si>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</si>
  <si>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</si>
  <si>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</si>
  <si>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</si>
  <si>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</si>
  <si>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</si>
  <si>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</si>
  <si>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</si>
  <si>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</si>
  <si>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</si>
  <si>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</si>
  <si>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</si>
  <si>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</si>
  <si>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</si>
  <si>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</si>
  <si>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</si>
  <si>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</si>
  <si>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</si>
  <si>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</si>
  <si>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</si>
  <si>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</si>
  <si>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</si>
  <si>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</si>
  <si>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</si>
  <si>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</si>
  <si>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</si>
  <si>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</si>
  <si>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</si>
  <si>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</si>
  <si>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</si>
  <si>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</si>
  <si>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</si>
  <si>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</si>
  <si>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</si>
  <si>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</si>
  <si>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</si>
  <si>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</si>
  <si>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</si>
  <si>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</si>
  <si>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</si>
  <si>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</si>
  <si>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</si>
  <si>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</si>
  <si>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</si>
  <si>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</si>
  <si>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</si>
  <si>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</si>
  <si>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</si>
  <si>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</si>
  <si>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</si>
  <si>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</si>
  <si>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</si>
  <si>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</si>
  <si>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</si>
  <si>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</si>
  <si>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</si>
  <si>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</si>
  <si>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</si>
  <si>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</si>
  <si>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</si>
  <si>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</si>
  <si>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</si>
  <si>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</si>
  <si>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</si>
  <si>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</si>
  <si>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</si>
  <si>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</si>
  <si>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</si>
  <si>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</si>
  <si>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</si>
  <si>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</si>
  <si>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</si>
  <si>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</si>
  <si>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</si>
  <si>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</si>
  <si>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</si>
  <si>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</si>
  <si>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</si>
  <si>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</si>
  <si>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</si>
  <si>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</si>
  <si>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</si>
  <si>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</si>
  <si>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</si>
  <si>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</si>
  <si>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</si>
  <si>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</si>
  <si>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</si>
  <si>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</si>
  <si>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</si>
  <si>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</si>
  <si>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</si>
  <si>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</si>
  <si>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</si>
  <si>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</si>
  <si>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</si>
  <si>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</si>
  <si>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</si>
  <si>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</si>
  <si>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</si>
  <si>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</si>
  <si>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</si>
  <si>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</si>
  <si>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</si>
  <si>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</si>
  <si>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</si>
  <si>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</si>
  <si>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</si>
  <si>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</si>
  <si>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</si>
  <si>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</si>
  <si>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</si>
  <si>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</si>
  <si>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</si>
  <si>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</si>
  <si>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</si>
  <si>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</si>
  <si>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</si>
  <si>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</si>
  <si>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</si>
  <si>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</si>
  <si>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</si>
  <si>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</si>
  <si>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</si>
  <si>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</si>
  <si>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</si>
  <si>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</si>
  <si>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</si>
  <si>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</si>
  <si>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</si>
  <si>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</si>
  <si>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</si>
  <si>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</si>
  <si>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</si>
  <si>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</si>
  <si>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</si>
  <si>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</si>
  <si>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</si>
  <si>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</si>
  <si>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</si>
  <si>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</si>
  <si>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</si>
  <si>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</si>
  <si>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</si>
  <si>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</si>
  <si>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</si>
  <si>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</si>
  <si>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</si>
  <si>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</si>
  <si>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</si>
  <si>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</si>
  <si>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</si>
  <si>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</si>
  <si>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</si>
  <si>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</si>
  <si>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</si>
  <si>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</si>
  <si>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</si>
  <si>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</si>
  <si>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</si>
  <si>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</si>
  <si>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</si>
  <si>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</si>
  <si>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</si>
  <si>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</si>
  <si>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</si>
  <si>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</si>
  <si>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</si>
  <si>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</si>
  <si>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</si>
  <si>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</si>
  <si>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</si>
  <si>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</si>
  <si>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</si>
  <si>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</si>
  <si>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</si>
  <si>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</si>
  <si>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</si>
  <si>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</si>
  <si>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</si>
  <si>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</si>
  <si>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</si>
  <si>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</si>
  <si>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</si>
  <si>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</si>
  <si>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</si>
  <si>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</si>
  <si>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</si>
  <si>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</si>
  <si>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</si>
  <si>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</si>
  <si>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</si>
  <si>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</si>
  <si>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</si>
  <si>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</si>
  <si>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</si>
  <si>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</si>
  <si>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</si>
  <si>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</si>
  <si>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</si>
  <si>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</si>
  <si>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</si>
  <si>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</si>
  <si>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</si>
  <si>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</si>
  <si>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</si>
  <si>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</si>
  <si>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</si>
  <si>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</si>
  <si>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</si>
  <si>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</si>
  <si>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</si>
  <si>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</si>
  <si>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</si>
  <si>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</si>
  <si>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</si>
  <si>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</si>
  <si>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</si>
  <si>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</si>
  <si>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</si>
  <si>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</si>
  <si>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</si>
  <si>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</si>
  <si>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</si>
  <si>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</si>
  <si>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</si>
  <si>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</si>
  <si>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</si>
  <si>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</si>
  <si>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</si>
  <si>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</si>
  <si>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</si>
  <si>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</si>
  <si>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</si>
  <si>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</si>
  <si>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</si>
  <si>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</si>
  <si>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</si>
  <si>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</si>
  <si>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</si>
  <si>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</si>
  <si>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</si>
  <si>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</si>
  <si>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</si>
  <si>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</si>
  <si>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</si>
  <si>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</si>
  <si>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</si>
  <si>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</si>
  <si>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</si>
  <si>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</si>
  <si>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</si>
  <si>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</si>
  <si>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</si>
  <si>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</si>
  <si>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</si>
  <si>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</si>
  <si>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</si>
  <si>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</si>
  <si>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</si>
  <si>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</si>
  <si>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</si>
  <si>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</si>
  <si>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</si>
  <si>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</si>
  <si>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</si>
  <si>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</si>
  <si>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</si>
  <si>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</si>
  <si>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</si>
  <si>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</si>
  <si>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</si>
  <si>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</si>
  <si>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</si>
  <si>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</si>
  <si>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</si>
  <si>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</si>
  <si>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</si>
  <si>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</si>
  <si>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</si>
  <si>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</si>
  <si>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</si>
  <si>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</si>
  <si>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</si>
  <si>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</si>
  <si>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</si>
  <si>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</si>
  <si>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</si>
  <si>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</si>
  <si>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</si>
  <si>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</si>
  <si>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</si>
  <si>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</si>
  <si>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</si>
  <si>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</si>
  <si>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</si>
  <si>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</si>
  <si>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</si>
  <si>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</si>
  <si>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</si>
  <si>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</si>
  <si>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</si>
  <si>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</si>
  <si>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</si>
  <si>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</si>
  <si>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</si>
  <si>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</si>
  <si>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</si>
  <si>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</si>
  <si>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</si>
  <si>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</si>
  <si>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</si>
  <si>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</si>
  <si>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</si>
  <si>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</si>
  <si>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</si>
  <si>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</si>
  <si>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</si>
  <si>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</si>
  <si>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</si>
  <si>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</si>
  <si>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</si>
  <si>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</si>
  <si>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</si>
  <si>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</si>
  <si>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</si>
  <si>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</si>
  <si>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</si>
  <si>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</si>
  <si>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</si>
  <si>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</si>
  <si>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</si>
  <si>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</si>
  <si>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</si>
  <si>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</si>
  <si>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</si>
  <si>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</si>
  <si>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</si>
  <si>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</si>
  <si>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</si>
  <si>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</si>
  <si>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</si>
  <si>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</si>
  <si>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</si>
  <si>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</si>
  <si>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</si>
  <si>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</si>
  <si>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</si>
  <si>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</si>
  <si>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</si>
  <si>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</si>
  <si>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</si>
  <si>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</si>
  <si>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</si>
  <si>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</si>
  <si>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</si>
  <si>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</si>
  <si>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</si>
  <si>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</si>
  <si>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</si>
  <si>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</si>
  <si>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</si>
  <si>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</si>
  <si>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</si>
  <si>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</si>
  <si>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</si>
  <si>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</si>
  <si>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</si>
  <si>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</si>
  <si>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</si>
  <si>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</si>
  <si>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</si>
  <si>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</si>
  <si>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</si>
  <si>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</si>
  <si>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</si>
  <si>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</si>
  <si>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</si>
  <si>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</si>
  <si>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</si>
  <si>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</si>
  <si>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</si>
  <si>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</si>
  <si>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</si>
  <si>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</si>
  <si>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</si>
  <si>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</si>
  <si>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</si>
  <si>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</si>
  <si>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</si>
  <si>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</si>
  <si>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</si>
  <si>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</si>
  <si>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</si>
  <si>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</si>
  <si>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</si>
  <si>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</si>
  <si>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</si>
  <si>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</si>
  <si>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</si>
  <si>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</si>
  <si>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</si>
  <si>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</si>
  <si>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</si>
  <si>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</si>
  <si>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</si>
  <si>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</si>
  <si>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</si>
  <si>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</si>
  <si>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</si>
  <si>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</si>
  <si>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</si>
  <si>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</si>
  <si>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</si>
  <si>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</si>
  <si>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</si>
  <si>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</si>
  <si>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</si>
  <si>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</si>
  <si>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</si>
  <si>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</si>
  <si>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</si>
  <si>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</si>
  <si>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</si>
  <si>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</si>
  <si>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</si>
  <si>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</si>
  <si>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</si>
  <si>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</si>
  <si>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</si>
  <si>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</si>
  <si>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</si>
  <si>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</si>
  <si>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</si>
  <si>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</si>
  <si>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</si>
  <si>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</si>
  <si>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</si>
  <si>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</si>
  <si>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</si>
  <si>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</si>
  <si>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</si>
  <si>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</si>
  <si>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</si>
  <si>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</si>
  <si>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</si>
  <si>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</si>
  <si>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</si>
  <si>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</si>
  <si>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</si>
  <si>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</si>
  <si>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</si>
  <si>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</si>
  <si>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</si>
  <si>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</si>
  <si>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</si>
  <si>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</si>
  <si>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</si>
  <si>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</si>
  <si>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</si>
  <si>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</si>
  <si>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</si>
  <si>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</si>
  <si>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</si>
  <si>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</si>
  <si>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</si>
  <si>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</si>
  <si>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</si>
  <si>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</si>
  <si>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</si>
  <si>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</si>
  <si>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</si>
  <si>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</si>
  <si>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</si>
  <si>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</si>
  <si>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</si>
  <si>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</si>
  <si>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</si>
  <si>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</si>
  <si>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</si>
  <si>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</si>
  <si>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</si>
  <si>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</si>
  <si>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</si>
  <si>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</si>
  <si>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</si>
  <si>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</si>
  <si>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</si>
  <si>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</si>
  <si>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</si>
  <si>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</si>
  <si>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</si>
  <si>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</si>
  <si>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</si>
  <si>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</si>
  <si>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</si>
  <si>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</si>
  <si>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</si>
  <si>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</si>
  <si>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</si>
  <si>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</si>
  <si>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</si>
  <si>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</si>
  <si>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</si>
  <si>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</si>
  <si>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</si>
  <si>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</si>
  <si>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</si>
  <si>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</si>
  <si>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</si>
  <si>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</si>
  <si>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</si>
  <si>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</si>
  <si>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</si>
  <si>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</si>
  <si>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</si>
  <si>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</si>
  <si>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</si>
  <si>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</si>
  <si>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</si>
  <si>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</si>
  <si>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</si>
  <si>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</si>
  <si>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</si>
  <si>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</si>
  <si>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</si>
  <si>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</si>
  <si>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</si>
  <si>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</si>
  <si>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</si>
  <si>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</si>
  <si>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</si>
  <si>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</si>
  <si>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</si>
  <si>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</si>
  <si>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</si>
  <si>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</si>
  <si>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</si>
  <si>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</si>
  <si>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</si>
  <si>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</si>
  <si>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</si>
  <si>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</si>
  <si>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</si>
  <si>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</si>
  <si>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</si>
  <si>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</si>
  <si>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</si>
  <si>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</si>
  <si>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</si>
  <si>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</si>
  <si>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</si>
  <si>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</si>
  <si>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</si>
  <si>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</si>
  <si>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</si>
  <si>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</si>
  <si>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</si>
  <si>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</si>
  <si>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</si>
  <si>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</si>
  <si>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</si>
  <si>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</si>
  <si>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</si>
  <si>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</si>
  <si>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</si>
  <si>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</si>
  <si>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</si>
  <si>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</si>
  <si>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</si>
  <si>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</si>
  <si>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</si>
  <si>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</si>
  <si>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</si>
  <si>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</si>
  <si>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</si>
  <si>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</si>
  <si>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</si>
  <si>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</si>
  <si>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</si>
  <si>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</si>
  <si>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</si>
  <si>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</si>
  <si>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</si>
  <si>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</si>
  <si>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</si>
  <si>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</si>
  <si>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</si>
  <si>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</si>
  <si>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</si>
  <si>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</si>
  <si>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</si>
  <si>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</si>
  <si>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</si>
  <si>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</si>
  <si>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</si>
  <si>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</si>
  <si>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</si>
  <si>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</si>
  <si>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</si>
  <si>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</si>
  <si>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</si>
  <si>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</si>
  <si>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</si>
  <si>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</si>
  <si>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</si>
  <si>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</si>
  <si>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</si>
  <si>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</si>
  <si>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</si>
  <si>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</si>
  <si>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</si>
  <si>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</si>
  <si>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</si>
  <si>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</si>
  <si>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</si>
  <si>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</si>
  <si>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</si>
  <si>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</si>
  <si>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</si>
  <si>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</si>
  <si>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</si>
  <si>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</si>
  <si>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</si>
  <si>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</si>
  <si>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</si>
  <si>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</si>
  <si>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</si>
  <si>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</si>
  <si>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</si>
  <si>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</si>
  <si>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</si>
  <si>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</si>
  <si>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</si>
  <si>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</si>
  <si>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</si>
  <si>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</si>
  <si>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</si>
  <si>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</si>
  <si>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</si>
  <si>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</si>
  <si>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</si>
  <si>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</si>
  <si>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</si>
  <si>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</si>
  <si>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</si>
  <si>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</si>
  <si>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</si>
  <si>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</si>
  <si>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</si>
  <si>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</si>
  <si>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</si>
  <si>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</si>
  <si>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</si>
  <si>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</si>
  <si>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</si>
  <si>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</si>
  <si>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</si>
  <si>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</si>
  <si>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</si>
  <si>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</si>
  <si>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</si>
  <si>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</si>
  <si>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</si>
  <si>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</si>
  <si>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</si>
  <si>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</si>
  <si>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</si>
  <si>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</si>
  <si>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</si>
  <si>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</si>
  <si>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</si>
  <si>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</si>
  <si>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</si>
  <si>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</si>
  <si>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</si>
  <si>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</si>
  <si>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</si>
  <si>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</si>
  <si>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</si>
  <si>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</si>
  <si>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</si>
  <si>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</si>
  <si>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</si>
  <si>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</si>
  <si>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</si>
  <si>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</si>
  <si>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</si>
  <si>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</si>
  <si>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</si>
  <si>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</si>
  <si>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</si>
  <si>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</si>
  <si>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</si>
  <si>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</si>
  <si>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</si>
  <si>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</si>
  <si>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</si>
  <si>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</si>
  <si>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</si>
  <si>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</si>
  <si>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</si>
  <si>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</si>
  <si>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</si>
  <si>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</si>
  <si>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</si>
  <si>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</si>
  <si>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</si>
  <si>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</si>
  <si>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</si>
  <si>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</si>
  <si>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</si>
  <si>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</si>
  <si>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</si>
  <si>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</si>
  <si>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</si>
  <si>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</si>
  <si>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</si>
  <si>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</si>
  <si>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</si>
  <si>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</si>
  <si>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</si>
  <si>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</si>
  <si>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</si>
  <si>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</si>
  <si>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</si>
  <si>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</si>
  <si>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</si>
  <si>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</si>
  <si>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</si>
  <si>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</si>
  <si>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</si>
  <si>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</si>
  <si>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</si>
  <si>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</si>
  <si>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</si>
  <si>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</si>
  <si>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</si>
  <si>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</si>
  <si>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</si>
  <si>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</si>
  <si>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</si>
  <si>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</si>
  <si>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</si>
  <si>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</si>
  <si>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</si>
  <si>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</si>
  <si>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</si>
  <si>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</si>
  <si>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</si>
  <si>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</si>
  <si>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</si>
  <si>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</si>
  <si>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</si>
  <si>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</si>
  <si>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</si>
  <si>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</si>
  <si>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</si>
  <si>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</si>
  <si>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</si>
  <si>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</si>
  <si>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</si>
  <si>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</si>
  <si>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</si>
  <si>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</si>
  <si>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</si>
  <si>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</si>
  <si>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</si>
  <si>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</si>
  <si>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</si>
  <si>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</si>
  <si>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</si>
  <si>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</si>
  <si>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</si>
  <si>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</si>
  <si>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</si>
  <si>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</si>
  <si>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</si>
  <si>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</si>
  <si>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</si>
  <si>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</si>
  <si>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</si>
  <si>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</si>
  <si>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</si>
  <si>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</si>
  <si>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</si>
  <si>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</si>
  <si>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</si>
  <si>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</si>
  <si>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</si>
  <si>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</si>
  <si>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</si>
  <si>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</si>
  <si>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</si>
  <si>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</si>
  <si>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</si>
  <si>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</si>
  <si>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</si>
  <si>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</si>
  <si>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</si>
  <si>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</si>
  <si>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</si>
  <si>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</si>
  <si>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</si>
  <si>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</si>
  <si>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</si>
  <si>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</si>
  <si>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</si>
  <si>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</si>
  <si>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</si>
  <si>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</si>
  <si>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</si>
  <si>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</si>
  <si>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</si>
  <si>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</si>
  <si>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</si>
  <si>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</si>
  <si>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</si>
  <si>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</si>
  <si>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</si>
  <si>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</si>
  <si>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</si>
  <si>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</si>
  <si>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</si>
  <si>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</si>
  <si>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</si>
  <si>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</si>
  <si>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</si>
  <si>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</si>
  <si>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</si>
  <si>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</si>
  <si>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</si>
  <si>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</si>
  <si>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</si>
  <si>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</si>
  <si>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</si>
  <si>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</si>
  <si>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</si>
  <si>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</si>
  <si>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</si>
  <si>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</si>
  <si>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</si>
  <si>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</si>
  <si>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</si>
  <si>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</si>
  <si>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</si>
  <si>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</si>
  <si>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</si>
  <si>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</si>
  <si>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</si>
  <si>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</si>
  <si>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</si>
  <si>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</si>
  <si>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</si>
  <si>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</si>
  <si>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</si>
  <si>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</si>
  <si>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</si>
  <si>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</si>
  <si>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</si>
  <si>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</si>
  <si>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</si>
  <si>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</si>
  <si>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</si>
  <si>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</si>
  <si>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</si>
  <si>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</si>
  <si>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</si>
  <si>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</si>
  <si>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</si>
  <si>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</si>
  <si>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</si>
  <si>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</si>
  <si>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</si>
  <si>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</si>
  <si>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</si>
  <si>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</si>
  <si>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</si>
  <si>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</si>
  <si>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</si>
  <si>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</si>
  <si>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</si>
  <si>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</si>
  <si>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</si>
  <si>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</si>
  <si>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</si>
  <si>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</si>
  <si>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</si>
  <si>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</si>
  <si>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</si>
  <si>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</si>
  <si>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</si>
  <si>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</si>
  <si>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</si>
  <si>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</si>
  <si>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</si>
  <si>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</si>
  <si>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</si>
  <si>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</si>
  <si>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</si>
  <si>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</si>
  <si>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</si>
  <si>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</si>
  <si>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</si>
  <si>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</si>
  <si>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</si>
  <si>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</si>
  <si>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</si>
  <si>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</si>
  <si>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</si>
  <si>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</si>
  <si>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</si>
  <si>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</si>
  <si>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</si>
  <si>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</si>
  <si>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</si>
  <si>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</si>
  <si>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</si>
  <si>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</si>
  <si>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</si>
  <si>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</si>
  <si>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</si>
  <si>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</si>
  <si>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</si>
  <si>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</si>
  <si>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</si>
  <si>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</si>
  <si>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</si>
  <si>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</si>
  <si>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</si>
  <si>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</si>
  <si>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</si>
  <si>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</si>
  <si>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</si>
  <si>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</si>
  <si>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</si>
  <si>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</si>
  <si>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</si>
  <si>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</si>
  <si>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</si>
  <si>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</si>
  <si>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</si>
  <si>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</si>
  <si>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</si>
  <si>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</si>
  <si>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</si>
  <si>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</si>
  <si>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</si>
  <si>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</si>
  <si>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</si>
  <si>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</si>
  <si>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</si>
  <si>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</si>
  <si>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</si>
  <si>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</si>
  <si>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</si>
  <si>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</si>
  <si>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</si>
  <si>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</si>
  <si>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</si>
  <si>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</si>
  <si>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</si>
  <si>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</si>
  <si>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</si>
  <si>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</si>
  <si>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</si>
  <si>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</si>
  <si>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</si>
  <si>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</si>
  <si>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</si>
  <si>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</si>
  <si>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</si>
  <si>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</si>
  <si>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</si>
  <si>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</si>
  <si>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</si>
  <si>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</si>
  <si>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</si>
  <si>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</si>
  <si>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</si>
  <si>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</si>
  <si>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</si>
  <si>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</si>
  <si>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</si>
  <si>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</si>
  <si>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</si>
  <si>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</si>
  <si>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</si>
  <si>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</si>
  <si>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</si>
  <si>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</si>
  <si>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</si>
  <si>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</si>
  <si>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</si>
  <si>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</si>
  <si>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</si>
  <si>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</si>
  <si>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</si>
  <si>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</si>
  <si>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</si>
  <si>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</si>
  <si>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</si>
  <si>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</si>
  <si>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</si>
  <si>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</si>
  <si>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</si>
  <si>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</si>
  <si>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</si>
  <si>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</si>
  <si>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</si>
  <si>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</si>
  <si>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</si>
  <si>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</si>
  <si>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</si>
  <si>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</si>
  <si>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</si>
  <si>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</si>
  <si>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</si>
  <si>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</si>
  <si>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</si>
  <si>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</si>
  <si>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</si>
  <si>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</si>
  <si>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</si>
  <si>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</si>
  <si>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</si>
  <si>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</si>
  <si>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</si>
  <si>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</si>
  <si>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</si>
  <si>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</si>
  <si>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</si>
  <si>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</si>
  <si>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</si>
  <si>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</si>
  <si>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</si>
  <si>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</si>
  <si>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</si>
  <si>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</si>
  <si>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</si>
  <si>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</si>
  <si>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</si>
  <si>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</si>
  <si>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</si>
  <si>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</si>
  <si>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</si>
  <si>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</si>
  <si>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</si>
  <si>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</si>
  <si>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</si>
  <si>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</si>
  <si>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</si>
  <si>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</si>
  <si>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</si>
  <si>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</si>
  <si>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</si>
  <si>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</si>
  <si>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</si>
  <si>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</si>
  <si>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</si>
  <si>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</si>
  <si>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</si>
  <si>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</si>
  <si>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</si>
  <si>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</si>
  <si>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</si>
  <si>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</si>
  <si>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</si>
  <si>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</si>
  <si>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</si>
  <si>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</si>
  <si>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</si>
  <si>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</si>
  <si>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</si>
  <si>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</si>
  <si>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</si>
  <si>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</si>
  <si>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</si>
  <si>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</si>
  <si>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</si>
  <si>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</si>
  <si>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</si>
  <si>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</si>
  <si>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</si>
  <si>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</si>
  <si>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</si>
  <si>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</si>
  <si>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</si>
  <si>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</si>
  <si>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</si>
  <si>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</si>
  <si>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</si>
  <si>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</si>
  <si>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</si>
  <si>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</si>
  <si>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</si>
  <si>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</si>
  <si>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</si>
  <si>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</si>
  <si>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</si>
  <si>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</si>
  <si>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</si>
  <si>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</si>
  <si>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</si>
  <si>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</si>
  <si>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</si>
  <si>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</si>
  <si>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</si>
  <si>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</si>
  <si>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</si>
  <si>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</si>
  <si>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</si>
  <si>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无</t>
  </si>
  <si>
    <t>否</t>
  </si>
  <si>
    <t>现房</t>
  </si>
  <si>
    <t>地上</t>
  </si>
  <si>
    <t>成新度</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</si>
  <si>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</si>
  <si>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</si>
  <si>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</si>
  <si>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钢混</t>
  </si>
  <si>
    <t>非生产用房</t>
  </si>
  <si>
    <t>单套模式</t>
  </si>
  <si>
    <t>售价</t>
  </si>
  <si>
    <t>挂牌</t>
    <phoneticPr fontId="30" type="noConversion"/>
  </si>
  <si>
    <t>正常</t>
  </si>
  <si>
    <t>较好</t>
  </si>
  <si>
    <t>七通</t>
  </si>
  <si>
    <t>押一</t>
  </si>
  <si>
    <t>楼面单价</t>
  </si>
  <si>
    <t>办公</t>
    <phoneticPr fontId="30" type="noConversion"/>
  </si>
  <si>
    <t>办公项目</t>
  </si>
  <si>
    <t>办公</t>
    <phoneticPr fontId="31" type="noConversion"/>
  </si>
  <si>
    <t>挂牌</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</si>
  <si>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</si>
  <si>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</si>
  <si>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</si>
  <si>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</si>
  <si>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</si>
  <si>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</si>
  <si>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</si>
  <si>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</si>
  <si>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</si>
  <si>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</si>
  <si>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</si>
  <si>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</si>
  <si>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</si>
  <si>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</si>
  <si>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</si>
  <si>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</si>
  <si>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</si>
  <si>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</si>
  <si>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</si>
  <si>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</si>
  <si>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</si>
  <si>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</si>
  <si>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</si>
  <si>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</si>
  <si>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</si>
  <si>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</si>
  <si>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</si>
  <si>
    <t>简装</t>
    <phoneticPr fontId="31" type="noConversion"/>
  </si>
  <si>
    <t>毛坯</t>
    <phoneticPr fontId="31" type="noConversion"/>
  </si>
  <si>
    <t>金融长安中心</t>
    <phoneticPr fontId="3" type="noConversion"/>
  </si>
  <si>
    <t>西山汇</t>
    <phoneticPr fontId="3" type="noConversion"/>
  </si>
  <si>
    <t>情况4</t>
  </si>
  <si>
    <t>转让取得</t>
  </si>
  <si>
    <t>非个人房产</t>
  </si>
  <si>
    <t>收益法-酒店模型</t>
    <phoneticPr fontId="16" type="noConversion"/>
  </si>
  <si>
    <t>收益法-1803</t>
  </si>
  <si>
    <t>收益法-1803</t>
    <phoneticPr fontId="16" type="noConversion"/>
  </si>
  <si>
    <t>收益法-1804</t>
  </si>
  <si>
    <t>收益法-1805</t>
  </si>
  <si>
    <t>收益法-1806</t>
  </si>
  <si>
    <t>比较法-办公-1803</t>
  </si>
  <si>
    <t>比较法-办公-1803</t>
    <phoneticPr fontId="16" type="noConversion"/>
  </si>
  <si>
    <t>比较法-办公-1804</t>
  </si>
  <si>
    <t>比较法-办公-1805</t>
  </si>
  <si>
    <t>比较法-办公-1806</t>
  </si>
  <si>
    <t>抵押价值</t>
    <phoneticPr fontId="134" type="noConversion"/>
  </si>
  <si>
    <t>抵押净值</t>
    <phoneticPr fontId="134" type="noConversion"/>
  </si>
  <si>
    <t>建筑面积</t>
    <phoneticPr fontId="134" type="noConversion"/>
  </si>
  <si>
    <t>房号</t>
    <phoneticPr fontId="134" type="noConversion"/>
  </si>
  <si>
    <t>合计</t>
    <phoneticPr fontId="134" type="noConversion"/>
  </si>
  <si>
    <t>可贷金额</t>
    <phoneticPr fontId="134" type="noConversion"/>
  </si>
  <si>
    <t>预贷款金额</t>
    <phoneticPr fontId="134" type="noConversion"/>
  </si>
  <si>
    <t>抵押率</t>
    <phoneticPr fontId="134" type="noConversion"/>
  </si>
  <si>
    <t>利息：取LPR加浮动点数</t>
  </si>
  <si>
    <t>中海时代广场</t>
    <phoneticPr fontId="3" type="noConversion"/>
  </si>
  <si>
    <t>买卖合同</t>
  </si>
  <si>
    <t>2016年5月1日后购买</t>
  </si>
  <si>
    <t>房产原值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</si>
</sst>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36</xdr:row>
      <xdr:rowOff>18276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6190476"/>
        </a:xfrm>
        <a:prstGeom prst="rect">
          <a:avLst/>
        </a:prstGeom>
      </xdr:spPr>
    </xdr:pic>
    <xdr:clientData/>
  </xdr:twoCellAnchor>
  <xdr:twoCellAnchor editAs="oneCell">
    <xdr:from>
      <xdr:col>6</xdr:col>
      <xdr:colOff>0</xdr:colOff>
      <xdr:row>0</xdr:row>
      <xdr:rowOff>0</xdr:rowOff>
    </xdr:from>
    <xdr:to>
      <xdr:col>11</xdr:col>
      <xdr:colOff>28104</xdr:colOff>
      <xdr:row>14</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2466667"/>
        </a:xfrm>
        <a:prstGeom prst="rect">
          <a:avLst/>
        </a:prstGeom>
      </xdr:spPr>
    </xdr:pic>
    <xdr:clientData/>
  </xdr:twoCellAnchor>
  <xdr:twoCellAnchor editAs="oneCell">
    <xdr:from>
      <xdr:col>6</xdr:col>
      <xdr:colOff>0</xdr:colOff>
      <xdr:row>15</xdr:row>
      <xdr:rowOff>0</xdr:rowOff>
    </xdr:from>
    <xdr:to>
      <xdr:col>11</xdr:col>
      <xdr:colOff>113818</xdr:colOff>
      <xdr:row>28</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571750"/>
          <a:ext cx="3857143" cy="2304762"/>
        </a:xfrm>
        <a:prstGeom prst="rect">
          <a:avLst/>
        </a:prstGeom>
      </xdr:spPr>
    </xdr:pic>
    <xdr:clientData/>
  </xdr:twoCellAnchor>
  <xdr:twoCellAnchor editAs="oneCell">
    <xdr:from>
      <xdr:col>12</xdr:col>
      <xdr:colOff>0</xdr:colOff>
      <xdr:row>0</xdr:row>
      <xdr:rowOff>0</xdr:rowOff>
    </xdr:from>
    <xdr:to>
      <xdr:col>17</xdr:col>
      <xdr:colOff>342429</xdr:colOff>
      <xdr:row>34</xdr:row>
      <xdr:rowOff>37367</xdr:rowOff>
    </xdr:to>
    <xdr:pic>
      <xdr:nvPicPr>
        <xdr:cNvPr id="8" name="图片 7"/>
        <xdr:cNvPicPr>
          <a:picLocks noChangeAspect="1"/>
        </xdr:cNvPicPr>
      </xdr:nvPicPr>
      <xdr:blipFill>
        <a:blip xmlns:r="http://schemas.openxmlformats.org/officeDocument/2006/relationships" r:embed="rId4"/>
        <a:stretch>
          <a:fillRect/>
        </a:stretch>
      </xdr:blipFill>
      <xdr:spPr>
        <a:xfrm>
          <a:off x="8229600" y="0"/>
          <a:ext cx="3771429" cy="5866667"/>
        </a:xfrm>
        <a:prstGeom prst="rect">
          <a:avLst/>
        </a:prstGeom>
      </xdr:spPr>
    </xdr:pic>
    <xdr:clientData/>
  </xdr:twoCellAnchor>
  <xdr:twoCellAnchor editAs="oneCell">
    <xdr:from>
      <xdr:col>12</xdr:col>
      <xdr:colOff>0</xdr:colOff>
      <xdr:row>36</xdr:row>
      <xdr:rowOff>0</xdr:rowOff>
    </xdr:from>
    <xdr:to>
      <xdr:col>24</xdr:col>
      <xdr:colOff>456114</xdr:colOff>
      <xdr:row>64</xdr:row>
      <xdr:rowOff>113686</xdr:rowOff>
    </xdr:to>
    <xdr:pic>
      <xdr:nvPicPr>
        <xdr:cNvPr id="5" name="图片 4"/>
        <xdr:cNvPicPr>
          <a:picLocks noChangeAspect="1"/>
        </xdr:cNvPicPr>
      </xdr:nvPicPr>
      <xdr:blipFill>
        <a:blip xmlns:r="http://schemas.openxmlformats.org/officeDocument/2006/relationships" r:embed="rId5"/>
        <a:stretch>
          <a:fillRect/>
        </a:stretch>
      </xdr:blipFill>
      <xdr:spPr>
        <a:xfrm>
          <a:off x="8229600" y="6172200"/>
          <a:ext cx="8685714" cy="4914286"/>
        </a:xfrm>
        <a:prstGeom prst="rect">
          <a:avLst/>
        </a:prstGeom>
      </xdr:spPr>
    </xdr:pic>
    <xdr:clientData/>
  </xdr:twoCellAnchor>
  <xdr:twoCellAnchor editAs="oneCell">
    <xdr:from>
      <xdr:col>4</xdr:col>
      <xdr:colOff>123825</xdr:colOff>
      <xdr:row>28</xdr:row>
      <xdr:rowOff>125056</xdr:rowOff>
    </xdr:from>
    <xdr:to>
      <xdr:col>9</xdr:col>
      <xdr:colOff>600075</xdr:colOff>
      <xdr:row>36</xdr:row>
      <xdr:rowOff>59739</xdr:rowOff>
    </xdr:to>
    <xdr:pic>
      <xdr:nvPicPr>
        <xdr:cNvPr id="6" name="图片 5"/>
        <xdr:cNvPicPr>
          <a:picLocks noChangeAspect="1"/>
        </xdr:cNvPicPr>
      </xdr:nvPicPr>
      <xdr:blipFill>
        <a:blip xmlns:r="http://schemas.openxmlformats.org/officeDocument/2006/relationships" r:embed="rId6"/>
        <a:stretch>
          <a:fillRect/>
        </a:stretch>
      </xdr:blipFill>
      <xdr:spPr>
        <a:xfrm>
          <a:off x="2867025" y="4925656"/>
          <a:ext cx="4219575" cy="1306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受贵公司委托，我公司对房地产抵押价值进行了预评估。</v>
      </c>
    </row>
    <row r="7" spans="1:2" s="1197" customFormat="1">
      <c r="A7" s="1195" t="s">
        <v>566</v>
      </c>
      <c r="B7" s="1196" t="str">
        <f>'预评函-1'!A7</f>
        <v>估价对象为房地产，为所有。根据《国有土地使用证》[]，估价对象（分摊）出让国有建设用地使用权面积为0平方米，建筑面积为687.63平方米。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估价对象为房地产,属开发建设的办公项目，该项目尚在开发建设中。根据《国有土地使用证》[]，估价对象（分摊）出让国有建设用地使用权面积为0平方米，规划建筑面积为687.63平方米。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2024年8月2日（评估专业人员实地查勘之日）</v>
      </c>
    </row>
    <row r="13" spans="1:2" s="1197" customFormat="1">
      <c r="A13" s="1195" t="s">
        <v>529</v>
      </c>
      <c r="B13" s="1196"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395</v>
      </c>
    </row>
    <row r="21" spans="1:2" s="1197" customFormat="1">
      <c r="A21" s="1195" t="s">
        <v>537</v>
      </c>
      <c r="B21" s="1196">
        <f ca="1">'预评函-2'!D7</f>
        <v>26774</v>
      </c>
    </row>
    <row r="22" spans="1:2" s="1197" customFormat="1">
      <c r="A22" s="1195" t="s">
        <v>538</v>
      </c>
      <c r="B22" s="1196" t="str">
        <f ca="1">'预评函-2'!D6</f>
        <v>叁佰玖拾伍万元整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395</v>
      </c>
    </row>
    <row r="31" spans="1:2" s="1197" customFormat="1">
      <c r="A31" s="1195" t="s">
        <v>576</v>
      </c>
      <c r="B31" s="1196">
        <f ca="1">'预评函-2'!D15</f>
        <v>26774</v>
      </c>
    </row>
    <row r="32" spans="1:2" s="1197" customFormat="1">
      <c r="A32" s="1195" t="s">
        <v>543</v>
      </c>
      <c r="B32" s="1196" t="str">
        <f ca="1">'预评函-2'!D14</f>
        <v>叁佰玖拾伍万元整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395</v>
      </c>
    </row>
    <row r="39" spans="1:2" s="1197" customFormat="1">
      <c r="A39" s="1195" t="s">
        <v>545</v>
      </c>
      <c r="B39" s="1196">
        <f ca="1">'预评函-2'!D21</f>
        <v>5744</v>
      </c>
    </row>
    <row r="40" spans="1:2" s="1197" customFormat="1">
      <c r="A40" s="1195" t="s">
        <v>546</v>
      </c>
      <c r="B40" s="1196" t="str">
        <f ca="1">'预评函-2'!D20</f>
        <v>叁佰玖拾伍万元整</v>
      </c>
    </row>
    <row r="41" spans="1:2" s="1197" customFormat="1">
      <c r="A41" s="1195" t="s">
        <v>592</v>
      </c>
      <c r="B41" s="1196" t="str">
        <f>'预评函-3'!A4</f>
        <v>房地产</v>
      </c>
    </row>
    <row r="42" spans="1:2" s="1197" customFormat="1">
      <c r="A42" s="1195" t="s">
        <v>590</v>
      </c>
      <c r="B42" s="1196" t="str">
        <f>'预评函-3'!B2</f>
        <v>建筑面积</v>
      </c>
    </row>
    <row r="43" spans="1:2" s="1197" customFormat="1">
      <c r="A43" s="1195" t="s">
        <v>591</v>
      </c>
      <c r="B43" s="1196">
        <f>'预评函-3'!B4</f>
        <v>687.62999999999988</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t="e">
        <f ca="1">'预评函-3'!D4</f>
        <v>#REF!</v>
      </c>
    </row>
    <row r="48" spans="1:2" s="1197" customFormat="1">
      <c r="A48" s="1195" t="s">
        <v>549</v>
      </c>
      <c r="B48" s="1196" t="e">
        <f ca="1">'预评函-3'!E4</f>
        <v>#REF!</v>
      </c>
    </row>
    <row r="49" spans="1:2" s="1197" customFormat="1">
      <c r="A49" s="1195" t="s">
        <v>550</v>
      </c>
      <c r="B49" s="1196" t="e">
        <f ca="1">'预评函-3'!D5</f>
        <v>#REF!</v>
      </c>
    </row>
    <row r="50" spans="1:2" s="1197" customFormat="1">
      <c r="A50" s="1195" t="s">
        <v>574</v>
      </c>
      <c r="B50" s="1196" t="str">
        <f>'预评函-3'!F2</f>
        <v>在建建筑物价值</v>
      </c>
    </row>
    <row r="51" spans="1:2" s="1197" customFormat="1">
      <c r="A51" s="1195" t="s">
        <v>551</v>
      </c>
      <c r="B51" s="1196" t="e">
        <f ca="1">'预评函-3'!F4</f>
        <v>#REF!</v>
      </c>
    </row>
    <row r="52" spans="1:2" s="1197" customFormat="1">
      <c r="A52" s="1195" t="s">
        <v>552</v>
      </c>
      <c r="B52" s="1196" t="e">
        <f ca="1">'预评函-3'!G4</f>
        <v>#REF!</v>
      </c>
    </row>
    <row r="53" spans="1:2" s="1197" customFormat="1">
      <c r="A53" s="1195" t="s">
        <v>580</v>
      </c>
      <c r="B53" s="1196" t="e">
        <f ca="1">'预评函-3'!F5</f>
        <v>#REF!</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B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3343</v>
      </c>
    </row>
    <row r="8" spans="1:23">
      <c r="A8" s="1540" t="s">
        <v>1026</v>
      </c>
      <c r="B8" s="1540" t="s">
        <v>1027</v>
      </c>
      <c r="C8" s="1541" t="s">
        <v>319</v>
      </c>
      <c r="F8" s="1542" t="s">
        <v>1028</v>
      </c>
      <c r="H8" s="1542" t="s">
        <v>2578</v>
      </c>
      <c r="I8" s="1542" t="s">
        <v>3344</v>
      </c>
    </row>
    <row r="9" spans="1:23">
      <c r="A9" s="1540" t="s">
        <v>1029</v>
      </c>
      <c r="B9" s="1540" t="s">
        <v>1030</v>
      </c>
      <c r="C9" s="1541" t="s">
        <v>320</v>
      </c>
      <c r="F9" s="1542" t="s">
        <v>1031</v>
      </c>
      <c r="H9" s="1542"/>
      <c r="I9" s="1545" t="s">
        <v>3345</v>
      </c>
    </row>
    <row r="10" spans="1:23">
      <c r="A10" s="1540" t="s">
        <v>1032</v>
      </c>
      <c r="B10" s="1540" t="s">
        <v>1033</v>
      </c>
      <c r="C10" s="1541" t="s">
        <v>321</v>
      </c>
      <c r="F10" s="1542" t="s">
        <v>2579</v>
      </c>
      <c r="I10" s="1545" t="s">
        <v>3346</v>
      </c>
    </row>
    <row r="11" spans="1:23">
      <c r="A11" s="1540" t="s">
        <v>1034</v>
      </c>
      <c r="B11" s="1540" t="s">
        <v>1035</v>
      </c>
      <c r="C11" s="1541" t="s">
        <v>322</v>
      </c>
      <c r="F11" s="1542" t="s">
        <v>13</v>
      </c>
      <c r="I11" s="1545" t="s">
        <v>3347</v>
      </c>
    </row>
    <row r="12" spans="1:23">
      <c r="A12" s="1540" t="s">
        <v>1036</v>
      </c>
      <c r="B12" s="1540" t="s">
        <v>1037</v>
      </c>
      <c r="C12" s="1541" t="s">
        <v>323</v>
      </c>
      <c r="I12" s="1545" t="s">
        <v>3348</v>
      </c>
    </row>
    <row r="13" spans="1:23">
      <c r="A13" s="1540" t="s">
        <v>1038</v>
      </c>
      <c r="B13" s="1540" t="s">
        <v>1039</v>
      </c>
      <c r="C13" s="1541" t="s">
        <v>324</v>
      </c>
      <c r="I13" s="1545" t="s">
        <v>3349</v>
      </c>
    </row>
    <row r="14" spans="1:23">
      <c r="A14" s="1540" t="s">
        <v>1040</v>
      </c>
      <c r="B14" s="1540" t="s">
        <v>1041</v>
      </c>
      <c r="C14" s="1542" t="s">
        <v>13</v>
      </c>
      <c r="I14" s="1545" t="s">
        <v>3350</v>
      </c>
    </row>
    <row r="15" spans="1:23">
      <c r="A15" s="1540" t="s">
        <v>1042</v>
      </c>
      <c r="B15" s="1540" t="s">
        <v>1043</v>
      </c>
      <c r="C15" s="1541"/>
      <c r="I15" s="1545" t="s">
        <v>3351</v>
      </c>
    </row>
    <row r="16" spans="1:23">
      <c r="A16" s="1540" t="s">
        <v>1044</v>
      </c>
      <c r="B16" s="1540" t="s">
        <v>312</v>
      </c>
      <c r="C16" s="1541"/>
    </row>
    <row r="17" spans="1:3">
      <c r="A17" s="1540" t="s">
        <v>1045</v>
      </c>
      <c r="B17" s="1540" t="s">
        <v>2292</v>
      </c>
      <c r="C17" s="1541"/>
    </row>
    <row r="18" spans="1:3">
      <c r="A18" s="1540" t="s">
        <v>1046</v>
      </c>
      <c r="B18" s="1540" t="s">
        <v>3443</v>
      </c>
      <c r="C18" s="1541"/>
    </row>
    <row r="19" spans="1:3">
      <c r="A19" s="1540" t="s">
        <v>1047</v>
      </c>
      <c r="B19" s="1540" t="s">
        <v>3445</v>
      </c>
      <c r="C19" s="1541"/>
    </row>
    <row r="20" spans="1:3">
      <c r="A20" s="1540" t="s">
        <v>1048</v>
      </c>
      <c r="B20" s="1540" t="s">
        <v>3446</v>
      </c>
      <c r="C20" s="1541"/>
    </row>
    <row r="21" spans="1:3">
      <c r="A21" s="1540" t="s">
        <v>1049</v>
      </c>
      <c r="B21" s="1540" t="s">
        <v>3447</v>
      </c>
      <c r="C21" s="1541"/>
    </row>
    <row r="22" spans="1:3">
      <c r="A22" s="1540" t="s">
        <v>1050</v>
      </c>
      <c r="B22" s="1540" t="s">
        <v>3448</v>
      </c>
      <c r="C22" s="1541"/>
    </row>
    <row r="23" spans="1:3">
      <c r="A23" s="1540" t="s">
        <v>1051</v>
      </c>
      <c r="B23" s="1540" t="s">
        <v>3450</v>
      </c>
      <c r="C23" s="1541"/>
    </row>
    <row r="24" spans="1:3">
      <c r="A24" s="1540" t="s">
        <v>1052</v>
      </c>
      <c r="B24" s="1540" t="s">
        <v>3451</v>
      </c>
      <c r="C24" s="1541"/>
    </row>
    <row r="25" spans="1:3">
      <c r="A25" s="1540" t="s">
        <v>1053</v>
      </c>
      <c r="B25" s="1540" t="s">
        <v>3452</v>
      </c>
      <c r="C25" s="1541"/>
    </row>
    <row r="26" spans="1:3">
      <c r="A26" s="1540" t="s">
        <v>1054</v>
      </c>
      <c r="B26" s="1540" t="s">
        <v>3453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0"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48" t="s">
        <v>385</v>
      </c>
      <c r="C54" s="1545" t="s">
        <v>583</v>
      </c>
    </row>
    <row r="55" spans="1:4">
      <c r="A55" s="3520"/>
      <c r="B55" s="1548" t="s">
        <v>386</v>
      </c>
      <c r="C55" s="1545" t="s">
        <v>584</v>
      </c>
    </row>
    <row r="56" spans="1:4">
      <c r="A56" s="3520"/>
      <c r="B56" s="1548" t="s">
        <v>387</v>
      </c>
      <c r="C56" s="1545" t="s">
        <v>588</v>
      </c>
    </row>
    <row r="57" spans="1:4">
      <c r="A57" s="3520"/>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2501</v>
      </c>
      <c r="B1" s="3008"/>
      <c r="C1" s="3008"/>
      <c r="D1" s="3008"/>
      <c r="E1" s="3008"/>
      <c r="F1" s="3009"/>
      <c r="I1" s="3430" t="s">
        <v>2594</v>
      </c>
      <c r="J1" s="3220"/>
      <c r="K1" s="3220"/>
      <c r="L1" s="3220"/>
      <c r="M1" s="3220"/>
      <c r="N1" s="3431"/>
      <c r="O1" s="3431"/>
      <c r="P1" s="3431"/>
      <c r="Q1" s="3431"/>
      <c r="R1" s="3431"/>
    </row>
    <row r="2" spans="1:18">
      <c r="A2" s="3011"/>
      <c r="B2" s="3012"/>
      <c r="C2" s="3012"/>
      <c r="D2" s="3012"/>
      <c r="E2" s="3012"/>
      <c r="F2" s="3013"/>
      <c r="I2" s="3521" t="s">
        <v>2581</v>
      </c>
      <c r="J2" s="3521"/>
      <c r="K2" s="3521"/>
      <c r="L2" s="3521"/>
      <c r="M2" s="3521"/>
      <c r="N2" s="3521"/>
      <c r="O2" s="3521"/>
      <c r="P2" s="3521"/>
      <c r="Q2" s="3521"/>
      <c r="R2" s="3521"/>
    </row>
    <row r="3" spans="1:18">
      <c r="A3" s="3014" t="s">
        <v>2502</v>
      </c>
      <c r="B3" s="3015">
        <f>项目基本情况!D3</f>
        <v>45506</v>
      </c>
      <c r="C3" s="3017"/>
      <c r="D3" s="3017"/>
      <c r="E3" s="3017"/>
      <c r="F3" s="3013"/>
      <c r="I3" s="3432"/>
      <c r="J3" s="3432" t="s">
        <v>2585</v>
      </c>
      <c r="K3" s="3432" t="s">
        <v>2586</v>
      </c>
      <c r="L3" s="3432" t="s">
        <v>2587</v>
      </c>
      <c r="M3" s="3432" t="s">
        <v>2588</v>
      </c>
      <c r="N3" s="3433" t="s">
        <v>2589</v>
      </c>
      <c r="O3" s="3433" t="s">
        <v>2590</v>
      </c>
      <c r="P3" s="3433" t="s">
        <v>2591</v>
      </c>
      <c r="Q3" s="3433" t="s">
        <v>2592</v>
      </c>
      <c r="R3" s="3433" t="s">
        <v>2593</v>
      </c>
    </row>
    <row r="4" spans="1:18">
      <c r="A4" s="3014" t="s">
        <v>2503</v>
      </c>
      <c r="B4" s="3017" t="s">
        <v>2504</v>
      </c>
      <c r="C4" s="3017" t="s">
        <v>2505</v>
      </c>
      <c r="D4" s="3017" t="s">
        <v>2506</v>
      </c>
      <c r="E4" s="3017" t="s">
        <v>2507</v>
      </c>
      <c r="F4" s="3013"/>
      <c r="I4" s="3432" t="s">
        <v>2582</v>
      </c>
      <c r="J4" s="3432">
        <v>80</v>
      </c>
      <c r="K4" s="3432">
        <v>70</v>
      </c>
      <c r="L4" s="3432">
        <v>20</v>
      </c>
      <c r="M4" s="3432">
        <v>30</v>
      </c>
      <c r="N4" s="3017">
        <v>45</v>
      </c>
      <c r="O4" s="3017">
        <v>60</v>
      </c>
      <c r="P4" s="3017">
        <v>50</v>
      </c>
      <c r="Q4" s="3017">
        <v>20</v>
      </c>
      <c r="R4" s="3017">
        <v>375</v>
      </c>
    </row>
    <row r="5" spans="1:18">
      <c r="A5" s="3018">
        <v>40</v>
      </c>
      <c r="B5" s="3015">
        <v>46375</v>
      </c>
      <c r="C5" s="3017">
        <f>ROUNDDOWN(MIN((B5-B3)/365,A5),2)</f>
        <v>2.38</v>
      </c>
      <c r="D5" s="3019">
        <f>IF(ISERROR(ROUND(POWER(1+E5,A5-C5)*(POWER(1+E5,C5)-1)/(POWER(1+E5,A5)-1),3)),0,ROUND(POWER(1+E5,A5-C5)*(POWER(1+E5,C5)-1)/(POWER(1+E5,A5)-1),4))</f>
        <v>0.11260000000000001</v>
      </c>
      <c r="E5" s="3020">
        <v>0.04</v>
      </c>
      <c r="F5" s="3013"/>
      <c r="I5" s="3432" t="s">
        <v>2583</v>
      </c>
      <c r="J5" s="3432">
        <v>70</v>
      </c>
      <c r="K5" s="3432">
        <v>60</v>
      </c>
      <c r="L5" s="3432">
        <v>15</v>
      </c>
      <c r="M5" s="3432">
        <v>25</v>
      </c>
      <c r="N5" s="3017">
        <v>40</v>
      </c>
      <c r="O5" s="3017">
        <v>50</v>
      </c>
      <c r="P5" s="3017">
        <v>40</v>
      </c>
      <c r="Q5" s="3017">
        <v>15</v>
      </c>
      <c r="R5" s="3017">
        <v>315</v>
      </c>
    </row>
    <row r="6" spans="1:18">
      <c r="A6" s="3018">
        <v>50</v>
      </c>
      <c r="B6" s="3015">
        <v>50028</v>
      </c>
      <c r="C6" s="3017">
        <f>ROUNDDOWN(MIN((B6-B3)/365,A6),2)</f>
        <v>12.38</v>
      </c>
      <c r="D6" s="3019">
        <f>IF(ISERROR(ROUND(POWER(1+E6,A6-C6)*(POWER(1+E6,C6)-1)/(POWER(1+E6,A6)-1),3)),0,ROUND(POWER(1+E6,A6-C6)*(POWER(1+E6,C6)-1)/(POWER(1+E6,A6)-1),4))</f>
        <v>0.4476</v>
      </c>
      <c r="E6" s="3020">
        <v>0.04</v>
      </c>
      <c r="F6" s="3013"/>
      <c r="I6" s="3432" t="s">
        <v>2584</v>
      </c>
      <c r="J6" s="3432">
        <v>60</v>
      </c>
      <c r="K6" s="3432">
        <v>50</v>
      </c>
      <c r="L6" s="3432">
        <v>10</v>
      </c>
      <c r="M6" s="3432">
        <v>20</v>
      </c>
      <c r="N6" s="3017">
        <v>35</v>
      </c>
      <c r="O6" s="3017">
        <v>40</v>
      </c>
      <c r="P6" s="3017">
        <v>30</v>
      </c>
      <c r="Q6" s="3017">
        <v>10</v>
      </c>
      <c r="R6" s="3017">
        <v>255</v>
      </c>
    </row>
    <row r="7" spans="1:18">
      <c r="A7" s="3018">
        <v>70</v>
      </c>
      <c r="B7" s="3015">
        <v>57333</v>
      </c>
      <c r="C7" s="3017">
        <f>ROUNDDOWN(MIN((B7-B3)/365,A7),2)</f>
        <v>32.4</v>
      </c>
      <c r="D7" s="3019">
        <f>IF(ISERROR(ROUND(POWER(1+E7,A7-C7)*(POWER(1+E7,C7)-1)/(POWER(1+E7,A7)-1),3)),0,ROUND(POWER(1+E7,A7-C7)*(POWER(1+E7,C7)-1)/(POWER(1+E7,A7)-1),4))</f>
        <v>0.76870000000000005</v>
      </c>
      <c r="E7" s="3020">
        <v>0.04</v>
      </c>
      <c r="F7" s="3013"/>
    </row>
    <row r="8" spans="1:18">
      <c r="A8" s="3011"/>
      <c r="B8" s="3012"/>
      <c r="C8" s="3012"/>
      <c r="D8" s="3012"/>
      <c r="E8" s="3012"/>
      <c r="F8" s="3013"/>
    </row>
    <row r="9" spans="1:18">
      <c r="A9" s="3014" t="s">
        <v>2508</v>
      </c>
      <c r="B9" s="3017"/>
      <c r="C9" s="3017"/>
      <c r="D9" s="3017"/>
      <c r="E9" s="3017"/>
      <c r="F9" s="3021"/>
    </row>
    <row r="10" spans="1:18">
      <c r="A10" s="3014" t="s">
        <v>2509</v>
      </c>
      <c r="B10" s="3017"/>
      <c r="C10" s="3017"/>
      <c r="D10" s="3017" t="s">
        <v>2507</v>
      </c>
      <c r="E10" s="3017"/>
      <c r="F10" s="3021" t="s">
        <v>2506</v>
      </c>
    </row>
    <row r="11" spans="1:18">
      <c r="A11" s="3014" t="s">
        <v>2510</v>
      </c>
      <c r="B11" s="3022">
        <v>70</v>
      </c>
      <c r="C11" s="3017" t="s">
        <v>2511</v>
      </c>
      <c r="D11" s="3023">
        <v>4.4999999999999998E-2</v>
      </c>
      <c r="E11" s="3017" t="s">
        <v>2512</v>
      </c>
      <c r="F11" s="3024">
        <f>ROUND(1-(1/(POWER(1+D11,B11))),4)</f>
        <v>0.95409999999999995</v>
      </c>
    </row>
    <row r="12" spans="1:18">
      <c r="A12" s="3014" t="s">
        <v>2513</v>
      </c>
      <c r="B12" s="3022">
        <v>40</v>
      </c>
      <c r="C12" s="3017" t="s">
        <v>2514</v>
      </c>
      <c r="D12" s="3023">
        <v>4.4999999999999998E-2</v>
      </c>
      <c r="E12" s="3017" t="s">
        <v>2515</v>
      </c>
      <c r="F12" s="3024">
        <f>ROUND(1-(1/(POWER(1+D12,B12))),4)</f>
        <v>0.82809999999999995</v>
      </c>
    </row>
    <row r="13" spans="1:18">
      <c r="A13" s="3014" t="s">
        <v>2516</v>
      </c>
      <c r="B13" s="3017"/>
      <c r="C13" s="3017"/>
      <c r="D13" s="3012"/>
      <c r="E13" s="3012"/>
      <c r="F13" s="3013"/>
    </row>
    <row r="14" spans="1:18">
      <c r="A14" s="3014" t="s">
        <v>2517</v>
      </c>
      <c r="B14" s="3022">
        <v>5000</v>
      </c>
      <c r="C14" s="3016"/>
      <c r="D14" s="3012"/>
      <c r="E14" s="3012"/>
      <c r="F14" s="3013"/>
    </row>
    <row r="15" spans="1:18">
      <c r="A15" s="3014" t="s">
        <v>2518</v>
      </c>
      <c r="B15" s="3017">
        <f>ROUND(B14*F12/F11,2)</f>
        <v>4339.6899999999996</v>
      </c>
      <c r="C15" s="3017">
        <f>ROUND(F12/F11,4)</f>
        <v>0.8679</v>
      </c>
      <c r="D15" s="3012"/>
      <c r="E15" s="3012"/>
      <c r="F15" s="3013"/>
    </row>
    <row r="16" spans="1:18">
      <c r="A16" s="3014" t="s">
        <v>2519</v>
      </c>
      <c r="B16" s="3017"/>
      <c r="C16" s="3017"/>
      <c r="D16" s="3012"/>
      <c r="E16" s="3012"/>
      <c r="F16" s="3013"/>
    </row>
    <row r="17" spans="1:13">
      <c r="A17" s="3014" t="s">
        <v>2518</v>
      </c>
      <c r="B17" s="3023">
        <v>4810</v>
      </c>
      <c r="C17" s="3016"/>
      <c r="D17" s="3012"/>
      <c r="E17" s="3012"/>
      <c r="F17" s="3013"/>
    </row>
    <row r="18" spans="1:13" ht="14.25" thickBot="1">
      <c r="A18" s="3025" t="s">
        <v>2517</v>
      </c>
      <c r="B18" s="3026">
        <f>ROUND(B17*F11/F12,2)</f>
        <v>5541.87</v>
      </c>
      <c r="C18" s="3026">
        <f>ROUND(F11/F12,4)</f>
        <v>1.1521999999999999</v>
      </c>
      <c r="D18" s="3027"/>
      <c r="E18" s="3027"/>
      <c r="F18" s="3028"/>
    </row>
    <row r="19" spans="1:13" ht="14.25" thickBot="1"/>
    <row r="20" spans="1:13" s="3063" customFormat="1" ht="14.25" thickTop="1">
      <c r="A20" s="3060" t="s">
        <v>2520</v>
      </c>
      <c r="B20" s="3061"/>
      <c r="C20" s="3061"/>
      <c r="D20" s="3061"/>
      <c r="E20" s="3061"/>
      <c r="F20" s="3061"/>
      <c r="G20" s="3062"/>
      <c r="I20" s="3064" t="s">
        <v>2565</v>
      </c>
      <c r="J20" s="3064" t="s">
        <v>2570</v>
      </c>
      <c r="K20" s="3064"/>
      <c r="L20" s="3064"/>
      <c r="M20" s="3064"/>
    </row>
    <row r="21" spans="1:13">
      <c r="A21" s="3029"/>
      <c r="B21" s="3030" t="s">
        <v>2521</v>
      </c>
      <c r="C21" s="3030" t="s">
        <v>2522</v>
      </c>
      <c r="D21" s="3030" t="s">
        <v>2523</v>
      </c>
      <c r="E21" s="3030" t="s">
        <v>2524</v>
      </c>
      <c r="F21" s="3030" t="s">
        <v>2525</v>
      </c>
      <c r="G21" s="3031" t="s">
        <v>2526</v>
      </c>
      <c r="I21" s="3052">
        <v>5</v>
      </c>
      <c r="J21" s="3052">
        <v>54.2</v>
      </c>
    </row>
    <row r="22" spans="1:13">
      <c r="A22" s="3029" t="s">
        <v>2527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2568</v>
      </c>
      <c r="M23" s="3052" t="s">
        <v>2569</v>
      </c>
    </row>
    <row r="24" spans="1:13">
      <c r="A24" s="3029" t="s">
        <v>2529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2567</v>
      </c>
      <c r="M24" s="3052">
        <v>10</v>
      </c>
    </row>
    <row r="25" spans="1:13">
      <c r="A25" s="3029" t="s">
        <v>2530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2571</v>
      </c>
      <c r="M25" s="3052">
        <v>8</v>
      </c>
    </row>
    <row r="26" spans="1:13">
      <c r="A26" s="3034"/>
      <c r="B26" s="3035"/>
      <c r="C26" s="3035"/>
      <c r="D26" s="3035"/>
      <c r="E26" s="3035"/>
      <c r="F26" s="3035"/>
      <c r="G26" s="3036"/>
      <c r="I26" s="3052">
        <v>30</v>
      </c>
      <c r="J26" s="3052">
        <v>90.5</v>
      </c>
      <c r="K26" s="3052">
        <f t="shared" si="2"/>
        <v>4.2000000000000028</v>
      </c>
      <c r="L26" s="3052" t="s">
        <v>2572</v>
      </c>
      <c r="M26" s="3052">
        <v>5</v>
      </c>
    </row>
    <row r="27" spans="1:13">
      <c r="A27" s="3034" t="s">
        <v>2531</v>
      </c>
      <c r="B27" s="3035"/>
      <c r="C27" s="3035"/>
      <c r="D27" s="3035"/>
      <c r="E27" s="3035"/>
      <c r="F27" s="3035"/>
      <c r="G27" s="3036"/>
      <c r="I27" s="3052">
        <v>35</v>
      </c>
      <c r="J27" s="3052">
        <v>93.8</v>
      </c>
      <c r="K27" s="3052">
        <f t="shared" si="2"/>
        <v>3.2999999999999972</v>
      </c>
      <c r="L27" s="3052" t="s">
        <v>2573</v>
      </c>
      <c r="M27" s="3052">
        <v>3</v>
      </c>
    </row>
    <row r="28" spans="1:13">
      <c r="A28" s="3034" t="s">
        <v>2532</v>
      </c>
      <c r="B28" s="3035"/>
      <c r="C28" s="3035"/>
      <c r="D28" s="3035"/>
      <c r="E28" s="3035"/>
      <c r="F28" s="3035"/>
      <c r="G28" s="3036"/>
      <c r="I28" s="3052">
        <v>40</v>
      </c>
      <c r="J28" s="3052">
        <v>96.4</v>
      </c>
      <c r="K28" s="3052">
        <f t="shared" si="2"/>
        <v>2.6000000000000085</v>
      </c>
      <c r="L28" s="3052" t="s">
        <v>2574</v>
      </c>
      <c r="M28" s="3052">
        <v>2</v>
      </c>
    </row>
    <row r="29" spans="1:13">
      <c r="A29" s="3034" t="s">
        <v>2533</v>
      </c>
      <c r="B29" s="3035"/>
      <c r="C29" s="3035"/>
      <c r="D29" s="3035"/>
      <c r="E29" s="3035"/>
      <c r="F29" s="3035"/>
      <c r="G29" s="3036"/>
      <c r="I29" s="3052">
        <v>45</v>
      </c>
      <c r="J29" s="3052">
        <v>98.4</v>
      </c>
      <c r="K29" s="3052">
        <f t="shared" si="2"/>
        <v>2</v>
      </c>
    </row>
    <row r="30" spans="1:13">
      <c r="A30" s="3034" t="s">
        <v>2534</v>
      </c>
      <c r="B30" s="3035"/>
      <c r="C30" s="3035"/>
      <c r="D30" s="3035"/>
      <c r="E30" s="3035"/>
      <c r="F30" s="3035"/>
      <c r="G30" s="3036"/>
      <c r="I30" s="3052">
        <v>50</v>
      </c>
      <c r="J30" s="3052">
        <v>100</v>
      </c>
      <c r="K30" s="3052">
        <f t="shared" si="2"/>
        <v>1.5999999999999943</v>
      </c>
    </row>
    <row r="31" spans="1:13">
      <c r="A31" s="3034" t="s">
        <v>2535</v>
      </c>
      <c r="B31" s="3035"/>
      <c r="C31" s="3035"/>
      <c r="D31" s="3035"/>
      <c r="E31" s="3035"/>
      <c r="F31" s="3035"/>
      <c r="G31" s="3036"/>
      <c r="I31" s="3052" t="s">
        <v>2566</v>
      </c>
    </row>
    <row r="32" spans="1:13">
      <c r="A32" s="3034" t="s">
        <v>2536</v>
      </c>
      <c r="B32" s="3035"/>
      <c r="C32" s="3035"/>
      <c r="D32" s="3035"/>
      <c r="E32" s="3035"/>
      <c r="F32" s="3035"/>
      <c r="G32" s="3036"/>
    </row>
    <row r="33" spans="1:13">
      <c r="A33" s="3034" t="s">
        <v>2537</v>
      </c>
      <c r="B33" s="3035"/>
      <c r="C33" s="3035"/>
      <c r="D33" s="3035"/>
      <c r="E33" s="3035"/>
      <c r="F33" s="3035"/>
      <c r="G33" s="3036"/>
      <c r="I33" s="3052" t="s">
        <v>2565</v>
      </c>
      <c r="J33" s="3052" t="s">
        <v>2575</v>
      </c>
    </row>
    <row r="34" spans="1:13">
      <c r="A34" s="3034" t="s">
        <v>2538</v>
      </c>
      <c r="B34" s="3035"/>
      <c r="C34" s="3035"/>
      <c r="D34" s="3035"/>
      <c r="E34" s="3035"/>
      <c r="F34" s="3035"/>
      <c r="G34" s="3036"/>
      <c r="I34" s="3052">
        <v>5</v>
      </c>
      <c r="J34" s="3052">
        <v>55.1</v>
      </c>
    </row>
    <row r="35" spans="1:13">
      <c r="A35" s="3034" t="s">
        <v>2539</v>
      </c>
      <c r="B35" s="3035"/>
      <c r="C35" s="3035"/>
      <c r="D35" s="3035"/>
      <c r="E35" s="3035"/>
      <c r="F35" s="3035"/>
      <c r="G35" s="3036"/>
      <c r="I35" s="3052">
        <v>10</v>
      </c>
      <c r="J35" s="3052">
        <v>67</v>
      </c>
      <c r="K35" s="3052">
        <f>J35-J34</f>
        <v>11.899999999999999</v>
      </c>
    </row>
    <row r="36" spans="1:13">
      <c r="A36" s="3034" t="s">
        <v>2540</v>
      </c>
      <c r="B36" s="3035"/>
      <c r="C36" s="3035"/>
      <c r="D36" s="3035"/>
      <c r="E36" s="3035"/>
      <c r="F36" s="3035"/>
      <c r="G36" s="3036"/>
      <c r="I36" s="3052">
        <v>15</v>
      </c>
      <c r="J36" s="3052">
        <v>76.3</v>
      </c>
      <c r="K36" s="3052">
        <f t="shared" ref="K36:K41" si="3">J36-J35</f>
        <v>9.2999999999999972</v>
      </c>
      <c r="L36" s="3052" t="s">
        <v>2568</v>
      </c>
      <c r="M36" s="3052" t="s">
        <v>2569</v>
      </c>
    </row>
    <row r="37" spans="1:13">
      <c r="A37" s="3034" t="s">
        <v>2541</v>
      </c>
      <c r="B37" s="3035"/>
      <c r="C37" s="3035"/>
      <c r="D37" s="3035"/>
      <c r="E37" s="3035"/>
      <c r="F37" s="3035"/>
      <c r="G37" s="3036"/>
      <c r="I37" s="3052">
        <v>20</v>
      </c>
      <c r="J37" s="3052">
        <v>83.6</v>
      </c>
      <c r="K37" s="3052">
        <f t="shared" si="3"/>
        <v>7.2999999999999972</v>
      </c>
      <c r="L37" s="3052" t="s">
        <v>2567</v>
      </c>
      <c r="M37" s="3052">
        <v>10</v>
      </c>
    </row>
    <row r="38" spans="1:13">
      <c r="A38" s="3034" t="s">
        <v>2542</v>
      </c>
      <c r="B38" s="3035"/>
      <c r="C38" s="3035"/>
      <c r="D38" s="3035"/>
      <c r="E38" s="3035"/>
      <c r="F38" s="3035"/>
      <c r="G38" s="3036"/>
      <c r="I38" s="3052">
        <v>25</v>
      </c>
      <c r="J38" s="3052">
        <v>89.3</v>
      </c>
      <c r="K38" s="3052">
        <f t="shared" si="3"/>
        <v>5.7000000000000028</v>
      </c>
      <c r="L38" s="3052" t="s">
        <v>2571</v>
      </c>
      <c r="M38" s="3052">
        <v>8</v>
      </c>
    </row>
    <row r="39" spans="1:13">
      <c r="A39" s="3034"/>
      <c r="B39" s="3035"/>
      <c r="C39" s="3035"/>
      <c r="D39" s="3035"/>
      <c r="E39" s="3035"/>
      <c r="F39" s="3035"/>
      <c r="G39" s="3036"/>
      <c r="I39" s="3052">
        <v>30</v>
      </c>
      <c r="J39" s="3052">
        <v>93.8</v>
      </c>
      <c r="K39" s="3052">
        <f t="shared" si="3"/>
        <v>4.5</v>
      </c>
      <c r="L39" s="3052" t="s">
        <v>2572</v>
      </c>
      <c r="M39" s="3052">
        <v>6</v>
      </c>
    </row>
    <row r="40" spans="1:13">
      <c r="A40" s="3037" t="s">
        <v>2543</v>
      </c>
      <c r="B40" s="3038"/>
      <c r="C40" s="3038"/>
      <c r="D40" s="3038"/>
      <c r="E40" s="3038"/>
      <c r="F40" s="3038"/>
      <c r="G40" s="3039"/>
      <c r="I40" s="3052">
        <v>35</v>
      </c>
      <c r="J40" s="3052">
        <v>97.2</v>
      </c>
      <c r="K40" s="3052">
        <f t="shared" si="3"/>
        <v>3.4000000000000057</v>
      </c>
      <c r="L40" s="3052" t="s">
        <v>2573</v>
      </c>
      <c r="M40" s="3052">
        <v>3</v>
      </c>
    </row>
    <row r="41" spans="1:13">
      <c r="A41" s="3040" t="s">
        <v>2544</v>
      </c>
      <c r="B41" s="3041" t="s">
        <v>2545</v>
      </c>
      <c r="C41" s="3042" t="s">
        <v>2546</v>
      </c>
      <c r="D41" s="3042" t="s">
        <v>2547</v>
      </c>
      <c r="E41" s="3043"/>
      <c r="F41" s="3044"/>
      <c r="G41" s="3045"/>
      <c r="I41" s="3052">
        <v>40</v>
      </c>
      <c r="J41" s="3052">
        <v>100</v>
      </c>
      <c r="K41" s="3052">
        <f t="shared" si="3"/>
        <v>2.7999999999999972</v>
      </c>
    </row>
    <row r="42" spans="1:13">
      <c r="A42" s="3040" t="s">
        <v>2548</v>
      </c>
      <c r="B42" s="3041" t="s">
        <v>2549</v>
      </c>
      <c r="C42" s="3042" t="s">
        <v>2550</v>
      </c>
      <c r="D42" s="3046" t="s">
        <v>2551</v>
      </c>
      <c r="E42" s="3038" t="s">
        <v>2552</v>
      </c>
      <c r="F42" s="3038"/>
      <c r="G42" s="3039"/>
    </row>
    <row r="43" spans="1:13">
      <c r="A43" s="3040" t="s">
        <v>2553</v>
      </c>
      <c r="B43" s="3041" t="s">
        <v>2554</v>
      </c>
      <c r="C43" s="3042" t="s">
        <v>2555</v>
      </c>
      <c r="D43" s="3042" t="s">
        <v>2556</v>
      </c>
      <c r="E43" s="3043" t="s">
        <v>2557</v>
      </c>
      <c r="F43" s="3044"/>
      <c r="G43" s="3045"/>
      <c r="I43" s="3052" t="s">
        <v>2565</v>
      </c>
      <c r="J43" s="3052" t="s">
        <v>2576</v>
      </c>
    </row>
    <row r="44" spans="1:13">
      <c r="A44" s="3040" t="s">
        <v>2558</v>
      </c>
      <c r="B44" s="3041" t="s">
        <v>2559</v>
      </c>
      <c r="C44" s="3042" t="s">
        <v>2560</v>
      </c>
      <c r="D44" s="3046">
        <v>0.5</v>
      </c>
      <c r="E44" s="3043" t="s">
        <v>2561</v>
      </c>
      <c r="F44" s="3044"/>
      <c r="G44" s="3045"/>
      <c r="I44" s="3052">
        <v>30</v>
      </c>
      <c r="J44" s="3052">
        <v>81.7</v>
      </c>
    </row>
    <row r="45" spans="1:13" ht="14.25" thickBot="1">
      <c r="A45" s="3047" t="s">
        <v>2562</v>
      </c>
      <c r="B45" s="3048" t="s">
        <v>2549</v>
      </c>
      <c r="C45" s="3049" t="s">
        <v>2549</v>
      </c>
      <c r="D45" s="3049" t="s">
        <v>2563</v>
      </c>
      <c r="E45" s="3050" t="s">
        <v>2564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2167</v>
      </c>
      <c r="B1" s="3530" t="str">
        <f>IF(B10="北京市","北京市",C10)&amp;F10&amp;IF('结果表-1803'!G1="在建","出让国有建设用地使用权及在建建筑物",IF('结果表-1803'!G1="土地","出让国有建设用地使用权",))&amp;B9&amp;"预评估"</f>
        <v>房地产抵押价值预评估</v>
      </c>
      <c r="C1" s="3531"/>
      <c r="D1" s="3531"/>
      <c r="E1" s="3531"/>
      <c r="F1" s="3531"/>
      <c r="G1" s="3531"/>
      <c r="H1" s="3531"/>
      <c r="I1" s="3532"/>
      <c r="J1" s="2465"/>
      <c r="K1" s="2362"/>
      <c r="L1" s="2363"/>
      <c r="M1" s="2363"/>
      <c r="N1" s="2364"/>
      <c r="O1" s="1570"/>
      <c r="P1" s="2364"/>
      <c r="Q1" s="2364"/>
      <c r="R1" s="2364"/>
      <c r="S1" s="1676" t="str">
        <f>IF(B10="北京市","北京市",C10)&amp;F10&amp;IF('结果表-1803'!G1="在建","出让国有建设用地使用权及在建建筑物房地产抵押价值",IF('结果表-1803'!G1="土地","出让国有建设用地使用权抵押价值",B9))</f>
        <v>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IF(B10="北京市","北京市",C10)&amp;F10&amp;IF('结果表-1803'!G1="在建","出让国有建设用地使用权及在建建筑物房地产",IF('结果表-1803'!G1="土地","出让国有建设用地使用权","房地产"))</f>
        <v>房地产</v>
      </c>
      <c r="T2" s="1739"/>
      <c r="U2" s="1739"/>
      <c r="V2" s="1739"/>
      <c r="W2" s="1739"/>
      <c r="X2" s="1739"/>
      <c r="Y2" s="1739"/>
      <c r="Z2" s="1739"/>
      <c r="AA2" s="1739"/>
      <c r="AB2" s="1739"/>
    </row>
    <row r="3" spans="1:30">
      <c r="A3" s="302" t="s">
        <v>2169</v>
      </c>
      <c r="B3" s="2367">
        <v>45506</v>
      </c>
      <c r="C3" s="2368" t="s">
        <v>2170</v>
      </c>
      <c r="D3" s="2367">
        <f>B3</f>
        <v>45506</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2171</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3382</v>
      </c>
      <c r="C8" s="2384"/>
      <c r="D8" s="3533" t="s">
        <v>2176</v>
      </c>
      <c r="E8" s="2385" t="s">
        <v>3383</v>
      </c>
      <c r="F8" s="2386"/>
      <c r="G8" s="2657"/>
      <c r="H8" s="2657"/>
      <c r="I8" s="2657"/>
      <c r="J8" s="2433"/>
      <c r="K8" s="2608"/>
      <c r="L8" s="2607"/>
      <c r="M8" s="2607"/>
      <c r="N8" s="2433"/>
      <c r="O8" s="2444"/>
      <c r="P8" s="2433"/>
      <c r="Q8" s="2433"/>
      <c r="R8" s="2433"/>
    </row>
    <row r="9" spans="1:30" ht="13.5" thickBot="1">
      <c r="A9" s="2387" t="s">
        <v>2177</v>
      </c>
      <c r="B9" s="2388" t="s">
        <v>3383</v>
      </c>
      <c r="C9" s="2389"/>
      <c r="D9" s="3534"/>
      <c r="E9" s="2388" t="s">
        <v>587</v>
      </c>
      <c r="F9" s="2390"/>
      <c r="G9" s="2659"/>
      <c r="H9" s="2659"/>
      <c r="I9" s="2659"/>
      <c r="J9" s="2433"/>
      <c r="K9" s="2610"/>
      <c r="L9" s="2607"/>
      <c r="M9" s="2607"/>
      <c r="N9" s="2433"/>
      <c r="O9" s="2444"/>
      <c r="P9" s="2433"/>
      <c r="Q9" s="2433"/>
      <c r="R9" s="2433"/>
    </row>
    <row r="10" spans="1:30" ht="13.5" thickTop="1">
      <c r="A10" s="2391" t="s">
        <v>2178</v>
      </c>
      <c r="B10" s="2392" t="s">
        <v>3384</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3385</v>
      </c>
      <c r="C11" s="2397"/>
      <c r="D11" s="2398"/>
      <c r="E11" s="2364"/>
      <c r="F11" s="2364"/>
      <c r="G11" s="2364"/>
      <c r="H11" s="2364"/>
      <c r="I11" s="2364"/>
      <c r="J11" s="3055"/>
      <c r="K11" s="3054"/>
      <c r="L11" s="2607"/>
      <c r="M11" s="2607"/>
      <c r="N11" s="2433"/>
      <c r="O11" s="2444"/>
      <c r="P11" s="2433"/>
      <c r="Q11" s="2433"/>
      <c r="R11" s="2433"/>
    </row>
    <row r="12" spans="1:30">
      <c r="A12" s="2399" t="s">
        <v>2181</v>
      </c>
      <c r="B12" s="323" t="s">
        <v>2182</v>
      </c>
      <c r="C12" s="2400" t="s">
        <v>2183</v>
      </c>
      <c r="D12" s="2400" t="s">
        <v>2184</v>
      </c>
      <c r="E12" s="2400" t="s">
        <v>2185</v>
      </c>
      <c r="F12" s="2400" t="s">
        <v>2186</v>
      </c>
      <c r="G12" s="2400" t="s">
        <v>2187</v>
      </c>
      <c r="H12" s="2400" t="s">
        <v>2188</v>
      </c>
      <c r="I12" s="3053" t="s">
        <v>2577</v>
      </c>
      <c r="J12" s="3056"/>
      <c r="K12" s="2607"/>
      <c r="L12" s="2607"/>
      <c r="M12" s="2433"/>
      <c r="N12" s="2444"/>
      <c r="O12" s="2433"/>
      <c r="P12" s="2433"/>
      <c r="Q12" s="2433"/>
      <c r="AD12" s="1739"/>
    </row>
    <row r="13" spans="1:30">
      <c r="A13" s="3417" t="s">
        <v>3333</v>
      </c>
      <c r="B13" s="2401" t="s">
        <v>2189</v>
      </c>
      <c r="C13" s="850"/>
      <c r="D13" s="850"/>
      <c r="E13" s="850">
        <v>60473</v>
      </c>
      <c r="F13" s="850"/>
      <c r="G13" s="850"/>
      <c r="H13" s="850"/>
      <c r="I13" s="850"/>
      <c r="J13" s="3056"/>
      <c r="K13" s="2607"/>
      <c r="L13" s="2607"/>
      <c r="M13" s="2433"/>
      <c r="N13" s="2444"/>
      <c r="O13" s="2433"/>
      <c r="P13" s="2433"/>
      <c r="Q13" s="2433"/>
      <c r="AD13" s="1739"/>
    </row>
    <row r="14" spans="1:30">
      <c r="A14" s="1075"/>
      <c r="B14" s="2401" t="s">
        <v>2190</v>
      </c>
      <c r="C14" s="2402"/>
      <c r="D14" s="2402"/>
      <c r="E14" s="2402">
        <v>50</v>
      </c>
      <c r="F14" s="2402"/>
      <c r="G14" s="2402"/>
      <c r="H14" s="2402"/>
      <c r="I14" s="2402"/>
      <c r="J14" s="3057"/>
      <c r="K14" s="2607"/>
      <c r="L14" s="2607"/>
      <c r="M14" s="2433"/>
      <c r="N14" s="2444"/>
      <c r="O14" s="2433"/>
      <c r="P14" s="2433"/>
      <c r="Q14" s="2433"/>
      <c r="AD14" s="1739"/>
    </row>
    <row r="15" spans="1:30">
      <c r="A15" s="320"/>
      <c r="B15" s="2403" t="s">
        <v>2191</v>
      </c>
      <c r="C15" s="2404" t="str">
        <f>IF(A13="出让",IF(C13="","",ROUNDDOWN(MIN((C13-$D$3)/365,C14),2)),C14)</f>
        <v/>
      </c>
      <c r="D15" s="2404" t="str">
        <f>IF(A13="出让",IF(D13="","",ROUNDDOWN(MIN((D13-$D$3)/365,D14),2)),D14)</f>
        <v/>
      </c>
      <c r="E15" s="2404">
        <f>IF(A13="出让",IF(E13="","",ROUNDDOWN(MIN((E13-$D$3)/365,E14),2)),E14)</f>
        <v>41</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39"/>
    </row>
    <row r="16" spans="1:30">
      <c r="A16" s="2394" t="s">
        <v>2192</v>
      </c>
      <c r="B16" s="3540"/>
      <c r="C16" s="3541"/>
      <c r="D16" s="3542"/>
      <c r="E16" s="2407" t="s">
        <v>2193</v>
      </c>
      <c r="F16" s="3543"/>
      <c r="G16" s="3544"/>
      <c r="H16" s="3544"/>
      <c r="I16" s="3545"/>
      <c r="J16" s="2433"/>
      <c r="K16" s="2611"/>
      <c r="L16" s="2445"/>
      <c r="M16" s="2445"/>
      <c r="N16" s="2503"/>
      <c r="O16" s="2445"/>
      <c r="P16" s="2503"/>
      <c r="Q16" s="2433"/>
      <c r="R16" s="2433"/>
    </row>
    <row r="17" spans="1:28">
      <c r="A17" s="313" t="s">
        <v>2194</v>
      </c>
      <c r="B17" s="302" t="s">
        <v>2195</v>
      </c>
      <c r="C17" s="8">
        <f>'数据-汇总表'!E3</f>
        <v>687.62999999999988</v>
      </c>
      <c r="D17" s="2316" t="s">
        <v>2196</v>
      </c>
      <c r="E17" s="3546" t="s">
        <v>2197</v>
      </c>
      <c r="F17" s="3547"/>
      <c r="G17" s="3547"/>
      <c r="H17" s="3547"/>
      <c r="I17" s="3548"/>
      <c r="J17" s="2433"/>
      <c r="K17" s="2612"/>
      <c r="L17" s="2445"/>
      <c r="M17" s="2445"/>
      <c r="N17" s="2503"/>
      <c r="O17" s="2445"/>
      <c r="P17" s="2503"/>
      <c r="Q17" s="2433"/>
      <c r="R17" s="2433"/>
      <c r="S17" s="2433"/>
      <c r="T17" s="2433"/>
      <c r="U17" s="2433"/>
      <c r="V17" s="2433"/>
    </row>
    <row r="18" spans="1:28" ht="24.75" thickBot="1">
      <c r="A18" s="2408" t="s">
        <v>2198</v>
      </c>
      <c r="B18" s="1084" t="s">
        <v>2199</v>
      </c>
      <c r="C18" s="2409">
        <f>'数据-汇总表'!D3</f>
        <v>0</v>
      </c>
      <c r="D18" s="1086" t="s">
        <v>2200</v>
      </c>
      <c r="E18" s="3549" t="s">
        <v>2201</v>
      </c>
      <c r="F18" s="3550"/>
      <c r="G18" s="3550"/>
      <c r="H18" s="3550"/>
      <c r="I18" s="3551"/>
      <c r="J18" s="2433"/>
      <c r="K18" s="2612"/>
      <c r="L18" s="2445"/>
      <c r="M18" s="2445"/>
      <c r="N18" s="2503"/>
      <c r="O18" s="2445"/>
      <c r="P18" s="2503"/>
      <c r="Q18" s="2433"/>
      <c r="R18" s="2433"/>
      <c r="S18" s="2433"/>
      <c r="T18" s="2433"/>
      <c r="U18" s="2433"/>
      <c r="V18" s="2433"/>
    </row>
    <row r="19" spans="1:28" ht="37.5" thickTop="1" thickBot="1">
      <c r="A19" s="327" t="s">
        <v>1055</v>
      </c>
      <c r="B19" s="307" t="s">
        <v>2202</v>
      </c>
      <c r="C19" s="1557" t="s">
        <v>43</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36" t="s">
        <v>2205</v>
      </c>
      <c r="C20" s="3537"/>
      <c r="D20" s="3538" t="s">
        <v>2206</v>
      </c>
      <c r="E20" s="3539"/>
      <c r="F20" s="2641" t="s">
        <v>1056</v>
      </c>
      <c r="G20" s="2658"/>
      <c r="H20" s="2658"/>
      <c r="I20" s="2658"/>
      <c r="J20" s="2433"/>
      <c r="K20" s="353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2208</v>
      </c>
      <c r="C21" s="2628" t="s">
        <v>1057</v>
      </c>
      <c r="D21" s="1562" t="s">
        <v>2209</v>
      </c>
      <c r="E21" s="2629" t="s">
        <v>1057</v>
      </c>
      <c r="F21" s="2642"/>
      <c r="G21" s="2658">
        <v>2017</v>
      </c>
      <c r="H21" s="2658"/>
      <c r="I21" s="2658"/>
      <c r="J21" s="2433"/>
      <c r="K21" s="353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2210</v>
      </c>
      <c r="C22" s="2628" t="s">
        <v>1058</v>
      </c>
      <c r="D22" s="2657"/>
      <c r="E22" s="2657"/>
      <c r="F22" s="2657"/>
      <c r="G22" s="2658">
        <f>50-(2024-'数据-取费表'!N17+'数据-取费表'!B20)</f>
        <v>41</v>
      </c>
      <c r="H22" s="2658"/>
      <c r="I22" s="2658"/>
      <c r="J22" s="2433"/>
      <c r="K22" s="3535"/>
      <c r="L22" s="682" t="str">
        <f>IF(E19="否","",IF('结果表-1803'!D36="同一抵押权人同一抵押物续贷","由于本次评估为同一抵押权人的续贷房地产抵押估价，故未将已抵押担保的债权数额（"&amp;C26&amp;"）作为法定优先受偿款予以扣减。",IF('结果表-1803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23" t="s">
        <v>2213</v>
      </c>
      <c r="B27" s="320" t="s">
        <v>2214</v>
      </c>
      <c r="C27" s="2410" t="s">
        <v>3406</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23"/>
      <c r="B28" s="302" t="s">
        <v>2215</v>
      </c>
      <c r="C28" s="2412" t="s">
        <v>3387</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23"/>
      <c r="B29" s="302" t="s">
        <v>2216</v>
      </c>
      <c r="C29" s="2414" t="s">
        <v>3388</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24"/>
      <c r="B30" s="302" t="s">
        <v>2217</v>
      </c>
      <c r="C30" s="3525"/>
      <c r="D30" s="3526"/>
      <c r="E30" s="2658"/>
      <c r="F30" s="2658"/>
      <c r="G30" s="2658"/>
      <c r="H30" s="2658"/>
      <c r="I30" s="2658"/>
      <c r="J30" s="2433"/>
      <c r="K30" s="2610"/>
      <c r="L30" s="2607"/>
      <c r="M30" s="2607"/>
      <c r="N30" s="2433"/>
      <c r="O30" s="2444"/>
      <c r="P30" s="2433"/>
      <c r="Q30" s="2433"/>
      <c r="R30" s="2433"/>
      <c r="S30" s="2433"/>
      <c r="T30" s="2433"/>
      <c r="U30" s="2433"/>
      <c r="V30" s="2433"/>
    </row>
    <row r="31" spans="1:28">
      <c r="A31" s="3527" t="s">
        <v>2218</v>
      </c>
      <c r="B31" s="2416" t="s">
        <v>3389</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28"/>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28"/>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2" t="s">
        <v>2219</v>
      </c>
      <c r="B34" s="2020"/>
      <c r="C34" s="2020"/>
      <c r="D34" s="2020"/>
      <c r="E34" s="2020"/>
      <c r="F34" s="2020"/>
      <c r="G34" s="2020"/>
      <c r="H34" s="2020"/>
      <c r="I34" s="2658"/>
      <c r="J34" s="2433"/>
      <c r="K34" s="2421">
        <f>COUNTIF(B34:H34,"——")</f>
        <v>0</v>
      </c>
      <c r="L34" s="323" t="s">
        <v>2220</v>
      </c>
      <c r="M34" s="323" t="s">
        <v>2221</v>
      </c>
      <c r="N34" s="323" t="s">
        <v>2222</v>
      </c>
      <c r="O34" s="323" t="s">
        <v>2223</v>
      </c>
      <c r="P34" s="323" t="s">
        <v>2224</v>
      </c>
      <c r="Q34" s="323" t="s">
        <v>2225</v>
      </c>
      <c r="R34" s="323" t="s">
        <v>2226</v>
      </c>
      <c r="S34" s="3522" t="s">
        <v>2227</v>
      </c>
      <c r="T34" s="2422" t="str">
        <f>NUMBERSTRING(7-K34,1)&amp;"通"</f>
        <v>七通</v>
      </c>
      <c r="U34" s="2433"/>
      <c r="V34" s="2433"/>
    </row>
    <row r="35" spans="1:30">
      <c r="A35" s="2423"/>
      <c r="B35" s="3529" t="s">
        <v>2228</v>
      </c>
      <c r="C35" s="3529"/>
      <c r="D35" s="3529"/>
      <c r="E35" s="3529"/>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3"/>
      <c r="V35" s="2433"/>
    </row>
    <row r="36" spans="1:30">
      <c r="A36" s="2424"/>
      <c r="B36" s="662" t="s">
        <v>2184</v>
      </c>
      <c r="C36" s="662" t="s">
        <v>2185</v>
      </c>
      <c r="D36" s="662" t="s">
        <v>2183</v>
      </c>
      <c r="E36" s="662" t="s">
        <v>2188</v>
      </c>
      <c r="F36" s="3059" t="s">
        <v>2580</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2230</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687.62999999999988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687.62999999999988</v>
      </c>
      <c r="H5" s="13">
        <f t="shared" ref="H5:AT5" si="0">SUM(H13:H656)</f>
        <v>687.62999999999988</v>
      </c>
      <c r="I5" s="13">
        <f t="shared" si="0"/>
        <v>687.62999999999988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687.62999999999988</v>
      </c>
      <c r="BA5" s="15">
        <f t="shared" si="1"/>
        <v>687.62999999999988</v>
      </c>
      <c r="BB5" s="15">
        <f t="shared" si="1"/>
        <v>687.62999999999988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3390</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21</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办公</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v>1803</v>
      </c>
      <c r="D13" s="1619" t="s">
        <v>3386</v>
      </c>
      <c r="E13" s="13">
        <f>IF($C$3="是",ROUND($A$3*G13/$B$3,2),ROUND($A$3*(G13-AT13)/$B$3,2))</f>
        <v>0</v>
      </c>
      <c r="F13" s="29"/>
      <c r="G13" s="30">
        <f>H13+AC13+AT13</f>
        <v>147.63999999999999</v>
      </c>
      <c r="H13" s="17">
        <f>SUMIF(I$12:AB$12,"总值",I13:AB13)</f>
        <v>147.63999999999999</v>
      </c>
      <c r="I13" s="1620">
        <v>147.63999999999999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1803</v>
      </c>
      <c r="AY13" s="1343">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045">
        <v>1804</v>
      </c>
      <c r="D14" s="1619" t="s">
        <v>3386</v>
      </c>
      <c r="E14" s="13">
        <f>IF($C$3="是",ROUND($A$3*G14/$B$3,2),ROUND($A$3*(G14-AT14)/$B$3,2))</f>
        <v>0</v>
      </c>
      <c r="F14" s="29"/>
      <c r="G14" s="30">
        <f>H14+AC14+AT14</f>
        <v>147.63999999999999</v>
      </c>
      <c r="H14" s="17">
        <f>SUMIF(I$12:AB$12,"总值",I14:AB14)</f>
        <v>147.63999999999999</v>
      </c>
      <c r="I14" s="1620">
        <v>147.63999999999999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1804</v>
      </c>
      <c r="AY14" s="1343">
        <f>ROUND($AY$6*AZ14/$AZ$5,2)</f>
        <v>0</v>
      </c>
      <c r="AZ14" s="13">
        <f>BA14+BL14</f>
        <v>147.63999999999999</v>
      </c>
      <c r="BA14" s="13">
        <f>SUM(BB14:BK14)</f>
        <v>147.63999999999999</v>
      </c>
      <c r="BB14" s="13">
        <f>IF($D14="是",I14-J14,0)</f>
        <v>147.63999999999999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045">
        <v>1805</v>
      </c>
      <c r="D15" s="1619" t="s">
        <v>3386</v>
      </c>
      <c r="E15" s="13">
        <f>IF($C$3="是",ROUND($A$3*G15/$B$3,2),ROUND($A$3*(G15-AT15)/$B$3,2))</f>
        <v>0</v>
      </c>
      <c r="F15" s="29"/>
      <c r="G15" s="30">
        <f>H15+AC15+AT15</f>
        <v>207.53</v>
      </c>
      <c r="H15" s="17">
        <f>SUMIF(I$12:AB$12,"总值",I15:AB15)</f>
        <v>207.53</v>
      </c>
      <c r="I15" s="1620">
        <v>207.53</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1805</v>
      </c>
      <c r="AY15" s="1343">
        <f>ROUND($AY$6*AZ15/$AZ$5,2)</f>
        <v>0</v>
      </c>
      <c r="AZ15" s="13">
        <f>BA15+BL15</f>
        <v>207.53</v>
      </c>
      <c r="BA15" s="13">
        <f>SUM(BB15:BK15)</f>
        <v>207.53</v>
      </c>
      <c r="BB15" s="13">
        <f>IF($D15="是",I15-J15,0)</f>
        <v>207.53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045">
        <v>1806</v>
      </c>
      <c r="D16" s="1619" t="s">
        <v>3386</v>
      </c>
      <c r="E16" s="13">
        <f>IF($C$3="是",ROUND($A$3*G16/$B$3,2),ROUND($A$3*(G16-AT16)/$B$3,2))</f>
        <v>0</v>
      </c>
      <c r="F16" s="29"/>
      <c r="G16" s="30">
        <f>H16+AC16+AT16</f>
        <v>184.82</v>
      </c>
      <c r="H16" s="17">
        <f>SUMIF(I$12:AB$12,"总值",I16:AB16)</f>
        <v>184.82</v>
      </c>
      <c r="I16" s="1620">
        <v>184.82</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1806</v>
      </c>
      <c r="AY16" s="1343">
        <f>ROUND($AY$6*AZ16/$AZ$5,2)</f>
        <v>0</v>
      </c>
      <c r="AZ16" s="13">
        <f>BA16+BL16</f>
        <v>184.82</v>
      </c>
      <c r="BA16" s="13">
        <f>SUM(BB16:BK16)</f>
        <v>184.82</v>
      </c>
      <c r="BB16" s="13">
        <f>IF($D16="是",I16-J16,0)</f>
        <v>184.82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5" sqref="J45"/>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1" t="s">
        <v>1131</v>
      </c>
      <c r="B2" s="3561"/>
      <c r="C2" s="3561"/>
      <c r="D2" s="790" t="s">
        <v>1107</v>
      </c>
      <c r="E2" s="1633" t="s">
        <v>1108</v>
      </c>
      <c r="F2" s="2653"/>
      <c r="G2" s="2644"/>
      <c r="H2" s="2645"/>
      <c r="I2" s="2319" t="s">
        <v>1132</v>
      </c>
      <c r="J2" s="2653"/>
      <c r="K2" s="2653"/>
      <c r="L2" s="2653"/>
      <c r="M2" s="2653"/>
      <c r="N2" s="2655"/>
      <c r="O2" s="2653"/>
      <c r="P2" s="2653"/>
    </row>
    <row r="3" spans="1:16" ht="15.75" thickBot="1">
      <c r="A3" s="3562" t="s">
        <v>1105</v>
      </c>
      <c r="B3" s="3562"/>
      <c r="C3" s="3562"/>
      <c r="D3" s="43">
        <f>'数据-基础表'!AY6</f>
        <v>0</v>
      </c>
      <c r="E3" s="43">
        <f>'数据-基础表'!AZ5</f>
        <v>687.62999999999988</v>
      </c>
      <c r="F3" s="2653"/>
      <c r="G3" s="1139"/>
      <c r="H3" s="1020" t="s">
        <v>1106</v>
      </c>
      <c r="I3" s="849" t="e">
        <f>ROUND('数据-基础表'!B3/'数据-基础表'!A3,2)</f>
        <v>#DIV/0!</v>
      </c>
      <c r="J3" s="2653"/>
      <c r="K3" s="2653"/>
      <c r="L3" s="2653"/>
      <c r="M3" s="2653"/>
      <c r="N3" s="2655"/>
      <c r="O3" s="2653"/>
      <c r="P3" s="2653"/>
    </row>
    <row r="4" spans="1:16" ht="15">
      <c r="A4" s="3563"/>
      <c r="B4" s="3564"/>
      <c r="C4" s="3565"/>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66" t="s">
        <v>1110</v>
      </c>
      <c r="C5" s="3566"/>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66" t="s">
        <v>1111</v>
      </c>
      <c r="C6" s="3566"/>
      <c r="D6" s="45">
        <f>ROUND($D$3*E6/$E$3,2)</f>
        <v>0</v>
      </c>
      <c r="E6" s="46">
        <f>E3-E5</f>
        <v>687.62999999999988</v>
      </c>
      <c r="F6" s="2653"/>
      <c r="G6" s="2647" t="s">
        <v>1112</v>
      </c>
      <c r="H6" s="1140" t="s">
        <v>1113</v>
      </c>
      <c r="I6" s="2648" t="e">
        <f>ROUND(F31/D31,2)</f>
        <v>#DIV/0!</v>
      </c>
      <c r="J6" s="2653"/>
      <c r="K6" s="2653"/>
      <c r="L6" s="2653"/>
      <c r="M6" s="2653"/>
      <c r="N6" s="2653"/>
      <c r="O6" s="2653"/>
      <c r="P6" s="2653"/>
    </row>
    <row r="7" spans="1:16" ht="15.75" thickBot="1">
      <c r="A7" s="3558"/>
      <c r="B7" s="3559"/>
      <c r="C7" s="3560"/>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687.62999999999988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687.62999999999988</v>
      </c>
      <c r="F16" s="2653"/>
      <c r="G16" s="2654"/>
      <c r="H16" s="1642" t="s">
        <v>1135</v>
      </c>
      <c r="I16" s="1643"/>
      <c r="J16" s="1133"/>
      <c r="K16" s="3555" t="s">
        <v>1135</v>
      </c>
      <c r="L16" s="3556"/>
      <c r="M16" s="3556"/>
      <c r="N16" s="3556"/>
      <c r="O16" s="3556"/>
      <c r="P16" s="3557"/>
    </row>
    <row r="17" spans="1:19" ht="15">
      <c r="A17" s="1644" t="s">
        <v>1136</v>
      </c>
      <c r="B17" s="1645" t="s">
        <v>1137</v>
      </c>
      <c r="C17" s="1646" t="s">
        <v>1138</v>
      </c>
      <c r="D17" s="1647" t="s">
        <v>1126</v>
      </c>
      <c r="E17" s="1648" t="s">
        <v>1127</v>
      </c>
      <c r="F17" s="1649"/>
      <c r="G17" s="1650"/>
      <c r="H17" s="1651" t="s">
        <v>1139</v>
      </c>
      <c r="I17" s="1652" t="s">
        <v>1124</v>
      </c>
      <c r="J17" s="1133"/>
      <c r="K17" s="3552" t="s">
        <v>1140</v>
      </c>
      <c r="L17" s="3553"/>
      <c r="M17" s="3554"/>
      <c r="N17" s="3552" t="s">
        <v>1141</v>
      </c>
      <c r="O17" s="3553"/>
      <c r="P17" s="3554"/>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v>1803</v>
      </c>
      <c r="D19" s="45">
        <f>ROUND($D$3*E19/$E$3,2)</f>
        <v>0</v>
      </c>
      <c r="E19" s="53">
        <f t="shared" ref="E19:E26" si="1">SUM(F19:G19)</f>
        <v>147.63999999999999</v>
      </c>
      <c r="F19" s="2789">
        <f>'数据-基础表'!I13</f>
        <v>147.63999999999999</v>
      </c>
      <c r="G19" s="2790"/>
      <c r="H19" s="668">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147.63999999999999</v>
      </c>
    </row>
    <row r="20" spans="1:19">
      <c r="A20" s="1664"/>
      <c r="B20" s="47" t="s">
        <v>1153</v>
      </c>
      <c r="C20" s="3411">
        <v>1804</v>
      </c>
      <c r="D20" s="45">
        <f t="shared" ref="D20:D26" si="6">ROUND($D$3*E20/$E$3,2)</f>
        <v>0</v>
      </c>
      <c r="E20" s="53">
        <f t="shared" si="1"/>
        <v>147.63999999999999</v>
      </c>
      <c r="F20" s="2789">
        <f>'数据-基础表'!I14</f>
        <v>147.63999999999999</v>
      </c>
      <c r="G20" s="2790"/>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147.63999999999999</v>
      </c>
    </row>
    <row r="21" spans="1:19">
      <c r="A21" s="1664"/>
      <c r="B21" s="47" t="s">
        <v>1153</v>
      </c>
      <c r="C21" s="3411">
        <v>1805</v>
      </c>
      <c r="D21" s="45">
        <f t="shared" si="6"/>
        <v>0</v>
      </c>
      <c r="E21" s="53">
        <f t="shared" si="1"/>
        <v>207.53</v>
      </c>
      <c r="F21" s="2789">
        <f>'数据-基础表'!I15</f>
        <v>207.53</v>
      </c>
      <c r="G21" s="2790"/>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207.53</v>
      </c>
    </row>
    <row r="22" spans="1:19">
      <c r="A22" s="1664"/>
      <c r="B22" s="47" t="s">
        <v>1153</v>
      </c>
      <c r="C22" s="3411">
        <v>1806</v>
      </c>
      <c r="D22" s="45">
        <f t="shared" si="6"/>
        <v>0</v>
      </c>
      <c r="E22" s="53">
        <f t="shared" si="1"/>
        <v>184.82</v>
      </c>
      <c r="F22" s="2789">
        <f>'数据-基础表'!I16</f>
        <v>184.82</v>
      </c>
      <c r="G22" s="2792"/>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184.82</v>
      </c>
    </row>
    <row r="23" spans="1:19">
      <c r="A23" s="1664"/>
      <c r="B23" s="47" t="s">
        <v>1153</v>
      </c>
      <c r="C23" s="3412"/>
      <c r="D23" s="45">
        <f>ROUND($D$3*E23/$E$3,2)</f>
        <v>0</v>
      </c>
      <c r="E23" s="53">
        <f>SUM(F23:G23)</f>
        <v>0</v>
      </c>
      <c r="F23" s="2791"/>
      <c r="G23" s="2792"/>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687.62999999999988</v>
      </c>
      <c r="F27" s="1134">
        <f>IF(SUM(F19:F26)=E8,SUM(F19:F26),"地上面积有误")</f>
        <v>687.62999999999988</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687.62999999999988</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4">
        <f>D27+D30</f>
        <v>0</v>
      </c>
      <c r="E31" s="674">
        <f>E27+E30</f>
        <v>687.62999999999988</v>
      </c>
      <c r="F31" s="675">
        <f>F27+F30</f>
        <v>687.62999999999988</v>
      </c>
      <c r="G31" s="676">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84" priority="1" stopIfTrue="1" operator="containsText" text="面积有误">
      <formula>NOT(ISERROR(SEARCH("面积有误",E27)))</formula>
    </cfRule>
    <cfRule type="cellIs" dxfId="283" priority="3" stopIfTrue="1" operator="equal">
      <formula>"地下面积有误"</formula>
    </cfRule>
  </conditionalFormatting>
  <conditionalFormatting sqref="F27">
    <cfRule type="cellIs" dxfId="2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7"/>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45506</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3391</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f>'数据-汇总表'!C19</f>
        <v>1803</v>
      </c>
      <c r="B6" s="1707" t="str">
        <f>IF(A6=0,"","经营性")</f>
        <v>经营性</v>
      </c>
      <c r="C6" s="1708" t="s">
        <v>21</v>
      </c>
      <c r="D6" s="852">
        <f>SUMIF(项目基本情况!C$12:I$12,C6,项目基本情况!C$14:I$14)</f>
        <v>50</v>
      </c>
      <c r="E6" s="851">
        <f>IF(B6="","",SUMIF(项目基本情况!C$12:I$12,C6,项目基本情况!C$13:I$13))</f>
        <v>60473</v>
      </c>
      <c r="F6" s="64">
        <f>SUMIF(项目基本情况!C$12:I$12,C6,项目基本情况!C$15:I$15)</f>
        <v>41</v>
      </c>
      <c r="G6" s="65">
        <f>IF(ISERROR(ROUND(POWER(1+H6,D6-F6)*(POWER(1+H6,F6)-1)/(POWER(1+H6,D6)-1),3)),0,ROUND(POWER(1+H6,D6-F6)*(POWER(1+H6,F6)-1)/(POWER(1+H6,D6)-1),3))</f>
        <v>0.94699999999999995</v>
      </c>
      <c r="H6" s="730">
        <v>0.05</v>
      </c>
      <c r="I6" s="730">
        <v>5.5E-2</v>
      </c>
      <c r="J6" s="66">
        <v>7.0000000000000007E-2</v>
      </c>
      <c r="K6" s="1024">
        <f>SUMIF('数据-汇总表'!C$19:C$33,A6,'数据-汇总表'!E$19:E$33)</f>
        <v>147.63999999999999</v>
      </c>
      <c r="L6" s="731">
        <v>4500</v>
      </c>
      <c r="M6" s="67">
        <f t="shared" ref="M6:M14" si="0">ROUND(K6*L6/10000,0)</f>
        <v>66</v>
      </c>
      <c r="N6" s="729">
        <f>N18</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3.5</v>
      </c>
      <c r="V6" s="70">
        <v>0.02</v>
      </c>
      <c r="W6" s="70">
        <v>0.1</v>
      </c>
      <c r="X6" s="1034"/>
      <c r="Y6" s="71">
        <f>N6</f>
        <v>0.88</v>
      </c>
      <c r="Z6" s="72"/>
      <c r="AA6" s="66"/>
      <c r="AB6" s="66"/>
      <c r="AC6" s="1034"/>
      <c r="AD6" s="73"/>
      <c r="AE6" s="1035">
        <f ca="1">IF(AN6="",0,SUMIF(INDIRECT("'"&amp;AN6&amp;"'"&amp;"!E:E"),$AE$5,INDIRECT("'"&amp;AN6&amp;"'"&amp;"!F:F")))</f>
        <v>41</v>
      </c>
      <c r="AF6" s="1342"/>
      <c r="AG6" s="138">
        <f>IF(AF6="",0,AE6-AF6)</f>
        <v>0</v>
      </c>
      <c r="AH6" s="74"/>
      <c r="AI6" s="76">
        <v>365</v>
      </c>
      <c r="AJ6" s="77"/>
      <c r="AK6" s="78">
        <v>5.0000000000000001E-3</v>
      </c>
      <c r="AL6" s="79">
        <v>1.5E-3</v>
      </c>
      <c r="AM6" s="80">
        <v>5.0000000000000001E-3</v>
      </c>
      <c r="AN6" s="1709" t="s">
        <v>3444</v>
      </c>
      <c r="AO6" s="52">
        <f ca="1">SUMIF(INDIRECT("'"&amp;AN6&amp;"'"&amp;"!A:A"),"总价",INDIRECT("'"&amp;AN6&amp;"'"&amp;"!B:B"))</f>
        <v>290.20060000000001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1804</v>
      </c>
      <c r="B7" s="1707" t="str">
        <f t="shared" ref="B7:B13" si="1">IF(A7=0,"","经营性")</f>
        <v>经营性</v>
      </c>
      <c r="C7" s="1708" t="s">
        <v>21</v>
      </c>
      <c r="D7" s="852">
        <f>SUMIF(项目基本情况!C$12:I$12,C7,项目基本情况!C$14:I$14)</f>
        <v>50</v>
      </c>
      <c r="E7" s="851">
        <f>IF(B7="","",SUMIF(项目基本情况!C$12:I$12,C7,项目基本情况!C$13:I$13))</f>
        <v>60473</v>
      </c>
      <c r="F7" s="64">
        <f>SUMIF(项目基本情况!C$12:I$12,C7,项目基本情况!C$15:I$15)</f>
        <v>41</v>
      </c>
      <c r="G7" s="65">
        <f t="shared" ref="G7:G11" si="2">IF(ISERROR(ROUND(POWER(1+H7,D7-F7)*(POWER(1+H7,F7)-1)/(POWER(1+H7,D7)-1),3)),0,ROUND(POWER(1+H7,D7-F7)*(POWER(1+H7,F7)-1)/(POWER(1+H7,D7)-1),3))</f>
        <v>0.94699999999999995</v>
      </c>
      <c r="H7" s="730">
        <v>0.05</v>
      </c>
      <c r="I7" s="730">
        <v>5.5E-2</v>
      </c>
      <c r="J7" s="66">
        <v>7.0000000000000007E-2</v>
      </c>
      <c r="K7" s="1024">
        <f>SUMIF('数据-汇总表'!C$19:C$33,A7,'数据-汇总表'!E$19:E$33)</f>
        <v>147.63999999999999</v>
      </c>
      <c r="L7" s="731">
        <v>4500</v>
      </c>
      <c r="M7" s="67">
        <f t="shared" si="0"/>
        <v>66</v>
      </c>
      <c r="N7" s="729">
        <f>N6</f>
        <v>0.88</v>
      </c>
      <c r="O7" s="67" t="str">
        <f t="shared" ref="O7:O14" si="3">IF($N$5="成新度","——",ROUND(M7*N7,0))</f>
        <v>——</v>
      </c>
      <c r="P7" s="68" t="str">
        <f t="shared" ref="P7:P14" si="4">IF($N$5="成新度","——",M7-O7)</f>
        <v>——</v>
      </c>
      <c r="Q7" s="732">
        <f>Q6</f>
        <v>0.15</v>
      </c>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v>3.5</v>
      </c>
      <c r="V7" s="70">
        <v>0.02</v>
      </c>
      <c r="W7" s="70">
        <v>0.1</v>
      </c>
      <c r="X7" s="1034"/>
      <c r="Y7" s="71">
        <f t="shared" ref="Y7:Y9" si="6">N7</f>
        <v>0.88</v>
      </c>
      <c r="Z7" s="72"/>
      <c r="AA7" s="66"/>
      <c r="AB7" s="66"/>
      <c r="AC7" s="1034"/>
      <c r="AD7" s="73"/>
      <c r="AE7" s="1035">
        <f t="shared" ref="AE7:AE13" ca="1" si="7">IF(AN7="",0,SUMIF(INDIRECT("'"&amp;AN7&amp;"'"&amp;"!E:E"),$AE$5,INDIRECT("'"&amp;AN7&amp;"'"&amp;"!F:F")))</f>
        <v>41</v>
      </c>
      <c r="AF7" s="1342"/>
      <c r="AG7" s="138">
        <f t="shared" ref="AG7:AG13" si="8">IF(AF7="",0,AE7-AF7)</f>
        <v>0</v>
      </c>
      <c r="AH7" s="74"/>
      <c r="AI7" s="76">
        <v>365</v>
      </c>
      <c r="AJ7" s="77"/>
      <c r="AK7" s="78">
        <v>5.0000000000000001E-3</v>
      </c>
      <c r="AL7" s="79">
        <v>1.5E-3</v>
      </c>
      <c r="AM7" s="80">
        <v>5.0000000000000001E-3</v>
      </c>
      <c r="AN7" s="1709" t="s">
        <v>3446</v>
      </c>
      <c r="AO7" s="52">
        <f t="shared" ref="AO7:AO13" ca="1" si="9">SUMIF(INDIRECT("'"&amp;AN7&amp;"'"&amp;"!A:A"),"总价",INDIRECT("'"&amp;AN7&amp;"'"&amp;"!B:B"))</f>
        <v>290.20060000000001</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1805</v>
      </c>
      <c r="B8" s="1707" t="str">
        <f t="shared" si="1"/>
        <v>经营性</v>
      </c>
      <c r="C8" s="1708" t="s">
        <v>21</v>
      </c>
      <c r="D8" s="852">
        <f>SUMIF(项目基本情况!C$12:I$12,C8,项目基本情况!C$14:I$14)</f>
        <v>50</v>
      </c>
      <c r="E8" s="851">
        <f>IF(B8="","",SUMIF(项目基本情况!C$12:I$12,C8,项目基本情况!C$13:I$13))</f>
        <v>60473</v>
      </c>
      <c r="F8" s="64">
        <f>SUMIF(项目基本情况!C$12:I$12,C8,项目基本情况!C$15:I$15)</f>
        <v>41</v>
      </c>
      <c r="G8" s="65">
        <f t="shared" si="2"/>
        <v>0.94699999999999995</v>
      </c>
      <c r="H8" s="730">
        <v>0.05</v>
      </c>
      <c r="I8" s="730">
        <v>5.5E-2</v>
      </c>
      <c r="J8" s="66">
        <v>7.0000000000000007E-2</v>
      </c>
      <c r="K8" s="1024">
        <f>SUMIF('数据-汇总表'!C$19:C$33,A8,'数据-汇总表'!E$19:E$33)</f>
        <v>207.53</v>
      </c>
      <c r="L8" s="731">
        <v>4500</v>
      </c>
      <c r="M8" s="67">
        <f>ROUND(K8*L8/10000,0)</f>
        <v>93</v>
      </c>
      <c r="N8" s="729">
        <f>N7</f>
        <v>0.88</v>
      </c>
      <c r="O8" s="67" t="str">
        <f t="shared" si="3"/>
        <v>——</v>
      </c>
      <c r="P8" s="68" t="str">
        <f t="shared" si="4"/>
        <v>——</v>
      </c>
      <c r="Q8" s="732">
        <f>Q6</f>
        <v>0.15</v>
      </c>
      <c r="R8" s="69">
        <f ca="1">SUMIF('数据-汇总表'!C$19:C$33,A8,'数据-汇总表'!R$19:R$27)</f>
        <v>0</v>
      </c>
      <c r="S8" s="51">
        <f>IF('数据-汇总表'!$I$17="按面积比例",SUMIF('数据-汇总表'!C$19:C$33,A8,'数据-汇总表'!K$19:K$33),SUMIF('数据-汇总表'!C$19:C$33,A8,'数据-汇总表'!N$19:N$33))</f>
        <v>0</v>
      </c>
      <c r="T8" s="1166">
        <f t="shared" si="5"/>
        <v>0</v>
      </c>
      <c r="U8" s="3422">
        <v>3.5</v>
      </c>
      <c r="V8" s="70">
        <v>0.02</v>
      </c>
      <c r="W8" s="70">
        <v>0.1</v>
      </c>
      <c r="X8" s="1034"/>
      <c r="Y8" s="71">
        <f t="shared" si="6"/>
        <v>0.88</v>
      </c>
      <c r="Z8" s="72"/>
      <c r="AA8" s="66"/>
      <c r="AB8" s="66"/>
      <c r="AC8" s="1034"/>
      <c r="AD8" s="73"/>
      <c r="AE8" s="1035">
        <f t="shared" ca="1" si="7"/>
        <v>41</v>
      </c>
      <c r="AF8" s="1342"/>
      <c r="AG8" s="138">
        <f t="shared" si="8"/>
        <v>0</v>
      </c>
      <c r="AH8" s="733"/>
      <c r="AI8" s="76">
        <v>365</v>
      </c>
      <c r="AJ8" s="77"/>
      <c r="AK8" s="78">
        <v>5.0000000000000001E-3</v>
      </c>
      <c r="AL8" s="79">
        <v>1.5E-3</v>
      </c>
      <c r="AM8" s="80">
        <v>5.0000000000000001E-3</v>
      </c>
      <c r="AN8" s="1709" t="s">
        <v>3447</v>
      </c>
      <c r="AO8" s="52">
        <f t="shared" ca="1" si="9"/>
        <v>407.91840000000002</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1806</v>
      </c>
      <c r="B9" s="1707" t="str">
        <f t="shared" si="1"/>
        <v>经营性</v>
      </c>
      <c r="C9" s="1708" t="s">
        <v>21</v>
      </c>
      <c r="D9" s="852">
        <f>SUMIF(项目基本情况!C$12:I$12,C9,项目基本情况!C$14:I$14)</f>
        <v>50</v>
      </c>
      <c r="E9" s="851">
        <f>IF(B9="","",SUMIF(项目基本情况!C$12:I$12,C9,项目基本情况!C$13:I$13))</f>
        <v>60473</v>
      </c>
      <c r="F9" s="64">
        <f>SUMIF(项目基本情况!C$12:I$12,C9,项目基本情况!C$15:I$15)</f>
        <v>41</v>
      </c>
      <c r="G9" s="65">
        <f t="shared" si="2"/>
        <v>0.94699999999999995</v>
      </c>
      <c r="H9" s="730">
        <v>0.05</v>
      </c>
      <c r="I9" s="730">
        <v>5.5E-2</v>
      </c>
      <c r="J9" s="66">
        <v>7.0000000000000007E-2</v>
      </c>
      <c r="K9" s="1024">
        <f>SUMIF('数据-汇总表'!C$19:C$33,A9,'数据-汇总表'!E$19:E$33)</f>
        <v>184.82</v>
      </c>
      <c r="L9" s="731">
        <v>4500</v>
      </c>
      <c r="M9" s="67">
        <f t="shared" si="0"/>
        <v>83</v>
      </c>
      <c r="N9" s="729">
        <f>N8</f>
        <v>0.88</v>
      </c>
      <c r="O9" s="67" t="str">
        <f t="shared" si="3"/>
        <v>——</v>
      </c>
      <c r="P9" s="68" t="str">
        <f t="shared" si="4"/>
        <v>——</v>
      </c>
      <c r="Q9" s="81">
        <f>Q6</f>
        <v>0.15</v>
      </c>
      <c r="R9" s="69">
        <f ca="1">SUMIF('数据-汇总表'!C$19:C$33,A9,'数据-汇总表'!R$19:R$27)</f>
        <v>0</v>
      </c>
      <c r="S9" s="51">
        <f>IF('数据-汇总表'!$I$17="按面积比例",SUMIF('数据-汇总表'!C$19:C$33,A9,'数据-汇总表'!K$19:K$33),SUMIF('数据-汇总表'!C$19:C$33,A9,'数据-汇总表'!N$19:N$33))</f>
        <v>0</v>
      </c>
      <c r="T9" s="1166">
        <f t="shared" si="5"/>
        <v>0</v>
      </c>
      <c r="U9" s="3422">
        <v>3.5</v>
      </c>
      <c r="V9" s="70">
        <v>0.02</v>
      </c>
      <c r="W9" s="70">
        <v>0.1</v>
      </c>
      <c r="X9" s="1034"/>
      <c r="Y9" s="71">
        <f t="shared" si="6"/>
        <v>0.88</v>
      </c>
      <c r="Z9" s="72"/>
      <c r="AA9" s="66"/>
      <c r="AB9" s="66"/>
      <c r="AC9" s="1034"/>
      <c r="AD9" s="73"/>
      <c r="AE9" s="1035">
        <f t="shared" ca="1" si="7"/>
        <v>41</v>
      </c>
      <c r="AF9" s="1342"/>
      <c r="AG9" s="138">
        <f t="shared" si="8"/>
        <v>0</v>
      </c>
      <c r="AH9" s="74"/>
      <c r="AI9" s="76">
        <v>365</v>
      </c>
      <c r="AJ9" s="77"/>
      <c r="AK9" s="78">
        <v>5.0000000000000001E-3</v>
      </c>
      <c r="AL9" s="79">
        <v>1.5E-3</v>
      </c>
      <c r="AM9" s="80">
        <v>5.0000000000000001E-3</v>
      </c>
      <c r="AN9" s="1709" t="s">
        <v>3448</v>
      </c>
      <c r="AO9" s="52">
        <f t="shared" ca="1" si="9"/>
        <v>363.28519999999997</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3"/>
      <c r="V13" s="70"/>
      <c r="W13" s="70"/>
      <c r="X13" s="1034"/>
      <c r="Y13" s="71"/>
      <c r="Z13" s="72"/>
      <c r="AA13" s="66"/>
      <c r="AB13" s="66"/>
      <c r="AC13" s="1034"/>
      <c r="AD13" s="73"/>
      <c r="AE13" s="1035">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2"/>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2"/>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0.94699999999999995</v>
      </c>
      <c r="H16" s="90">
        <f>ROUND(SUMPRODUCT(H6:H13,K6:K13)/SUMPRODUCT((H6:H13&gt;0)*(K6:K13)),3)</f>
        <v>0.05</v>
      </c>
      <c r="I16" s="91"/>
      <c r="J16" s="91"/>
      <c r="K16" s="92">
        <f>SUM(K6:K15)</f>
        <v>687.62999999999988</v>
      </c>
      <c r="L16" s="93">
        <f>ROUND(M16*10000/SUM(K6:K14),0)</f>
        <v>4479</v>
      </c>
      <c r="M16" s="93">
        <f>SUM(M6:M14)</f>
        <v>308</v>
      </c>
      <c r="N16" s="94">
        <f>ROUND(SUMPRODUCT(M6:M14,N6:N14)/M16,3)</f>
        <v>0.88</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v>2017</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f>ROUND(1-(2024-N17)/60,2)</f>
        <v>0.88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c r="C19" s="2793" t="s">
        <v>2304</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2302</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2306</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ROUND(B28*K16,0)</f>
        <v>137526</v>
      </c>
      <c r="C29" s="2796" t="s">
        <v>2293</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671">
        <v>0.03</v>
      </c>
      <c r="C33" s="2797"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7"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7"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115">
        <v>0.02</v>
      </c>
      <c r="C37" s="2797"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3">
        <v>0.02</v>
      </c>
      <c r="C38" s="2797"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3462</v>
      </c>
      <c r="B40" s="1072">
        <f ca="1">IF(A40="利息：取LPR",存贷款利率!G1,存贷款利率!G1+C40)</f>
        <v>3.3500000000000002E-2</v>
      </c>
      <c r="C40" s="2808">
        <v>-1E-3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9">
        <v>7.0000000000000007E-2</v>
      </c>
      <c r="C44" s="2797"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7">
        <v>0.03</v>
      </c>
      <c r="C45" s="2796"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7">
        <v>0.02</v>
      </c>
      <c r="C46" s="2796"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20"/>
      <c r="C47" s="2799"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21">
        <v>0.03</v>
      </c>
      <c r="C48" s="2796"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7">
        <v>5.0000000000000001E-4</v>
      </c>
      <c r="C49" s="2796"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6"/>
      <c r="L69" s="726"/>
    </row>
    <row r="70" spans="1:44" s="787" customFormat="1">
      <c r="A70" s="1735"/>
      <c r="D70" s="1736"/>
      <c r="K70" s="726"/>
      <c r="L70" s="726"/>
    </row>
    <row r="71" spans="1:44" s="787" customFormat="1">
      <c r="A71" s="1735"/>
      <c r="D71" s="1736"/>
      <c r="K71" s="726"/>
      <c r="L71" s="726"/>
    </row>
    <row r="72" spans="1:44" s="787" customFormat="1">
      <c r="A72" s="1735"/>
      <c r="D72" s="1736"/>
      <c r="K72" s="726"/>
      <c r="L72" s="726"/>
    </row>
    <row r="73" spans="1:44" s="787" customFormat="1">
      <c r="A73" s="1735"/>
      <c r="D73" s="1736"/>
      <c r="K73" s="726"/>
      <c r="L73" s="726"/>
    </row>
    <row r="74" spans="1:44" s="787" customFormat="1">
      <c r="A74" s="1735"/>
      <c r="D74" s="1736"/>
      <c r="K74" s="726"/>
      <c r="L74" s="726"/>
    </row>
    <row r="75" spans="1:44" s="787" customFormat="1">
      <c r="A75" s="1735"/>
      <c r="D75" s="1736"/>
      <c r="K75" s="726"/>
      <c r="L75" s="726"/>
    </row>
    <row r="76" spans="1:44" s="787" customFormat="1">
      <c r="A76" s="1735"/>
      <c r="D76" s="1736"/>
      <c r="K76" s="726"/>
      <c r="L76" s="726"/>
    </row>
    <row r="77" spans="1:44" s="787" customFormat="1">
      <c r="A77" s="1735"/>
      <c r="D77" s="1736"/>
      <c r="K77" s="726"/>
      <c r="L77" s="726"/>
    </row>
    <row r="78" spans="1:44" s="787" customFormat="1">
      <c r="A78" s="1735"/>
      <c r="D78" s="1736"/>
      <c r="K78" s="726"/>
      <c r="L78" s="726"/>
    </row>
    <row r="79" spans="1:44" s="787" customFormat="1">
      <c r="A79" s="1735"/>
      <c r="D79" s="1736"/>
      <c r="K79" s="726"/>
      <c r="L79" s="726"/>
    </row>
    <row r="80" spans="1:44" s="787" customFormat="1">
      <c r="A80" s="1735"/>
      <c r="D80" s="1736"/>
      <c r="K80" s="726"/>
      <c r="L80" s="726"/>
    </row>
    <row r="81" spans="1:12" s="787" customFormat="1">
      <c r="A81" s="1735"/>
      <c r="D81" s="1736"/>
      <c r="K81" s="726"/>
      <c r="L81" s="726"/>
    </row>
    <row r="82" spans="1:12" s="787" customFormat="1">
      <c r="A82" s="1735"/>
      <c r="D82" s="1736"/>
      <c r="K82" s="726"/>
      <c r="L82" s="726"/>
    </row>
    <row r="83" spans="1:12" s="787" customFormat="1">
      <c r="A83" s="1735"/>
      <c r="D83" s="1736"/>
      <c r="K83" s="726"/>
      <c r="L83" s="726"/>
    </row>
    <row r="84" spans="1:12" s="787" customFormat="1">
      <c r="A84" s="1735"/>
      <c r="D84" s="1736"/>
      <c r="K84" s="726"/>
      <c r="L84" s="726"/>
    </row>
    <row r="85" spans="1:12" s="787" customFormat="1">
      <c r="A85" s="1735"/>
      <c r="D85" s="1736"/>
      <c r="K85" s="726"/>
      <c r="L85" s="726"/>
    </row>
    <row r="86" spans="1:12" s="787" customFormat="1">
      <c r="A86" s="1735"/>
      <c r="D86" s="1736"/>
      <c r="K86" s="726"/>
      <c r="L86" s="726"/>
    </row>
    <row r="87" spans="1:12" s="787" customFormat="1">
      <c r="A87" s="1735"/>
      <c r="D87" s="1736"/>
      <c r="K87" s="726"/>
      <c r="L87" s="726"/>
    </row>
    <row r="88" spans="1:12" s="787" customFormat="1">
      <c r="A88" s="1735"/>
      <c r="D88" s="1736"/>
      <c r="K88" s="726"/>
      <c r="L88" s="726"/>
    </row>
    <row r="89" spans="1:12" s="787" customFormat="1">
      <c r="A89" s="1735"/>
      <c r="D89" s="1736"/>
      <c r="K89" s="726"/>
      <c r="L89" s="726"/>
    </row>
    <row r="90" spans="1:12" s="787" customFormat="1">
      <c r="A90" s="1735"/>
      <c r="D90" s="1736"/>
      <c r="K90" s="726"/>
      <c r="L90" s="726"/>
    </row>
    <row r="91" spans="1:12" s="787" customFormat="1">
      <c r="A91" s="1735"/>
      <c r="D91" s="1736"/>
      <c r="K91" s="726"/>
      <c r="L91" s="726"/>
    </row>
    <row r="92" spans="1:12" s="787" customFormat="1">
      <c r="A92" s="1735"/>
      <c r="D92" s="1736"/>
      <c r="K92" s="726"/>
      <c r="L92" s="726"/>
    </row>
    <row r="93" spans="1:12" s="787" customFormat="1">
      <c r="A93" s="1735"/>
      <c r="D93" s="1736"/>
      <c r="K93" s="726"/>
      <c r="L93" s="726"/>
    </row>
    <row r="94" spans="1:12" s="787" customFormat="1">
      <c r="A94" s="1735"/>
      <c r="D94" s="1736"/>
      <c r="K94" s="726"/>
      <c r="L94" s="726"/>
    </row>
    <row r="95" spans="1:12" s="787" customFormat="1">
      <c r="A95" s="1735"/>
      <c r="D95" s="1736"/>
      <c r="K95" s="726"/>
      <c r="L95" s="726"/>
    </row>
    <row r="96" spans="1:12" s="787" customFormat="1">
      <c r="A96" s="1735"/>
      <c r="D96" s="1736"/>
      <c r="K96" s="726"/>
      <c r="L96" s="726"/>
    </row>
    <row r="97" spans="1:12" s="787" customFormat="1">
      <c r="A97" s="1735"/>
      <c r="D97" s="1736"/>
      <c r="K97" s="726"/>
      <c r="L97" s="726"/>
    </row>
    <row r="98" spans="1:12" s="787" customFormat="1">
      <c r="A98" s="1735"/>
      <c r="D98" s="1736"/>
      <c r="K98" s="726"/>
      <c r="L98" s="726"/>
    </row>
    <row r="99" spans="1:12" s="787" customFormat="1">
      <c r="A99" s="1735"/>
      <c r="D99" s="1736"/>
      <c r="K99" s="726"/>
      <c r="L99" s="726"/>
    </row>
    <row r="100" spans="1:12" s="787" customFormat="1">
      <c r="A100" s="1735"/>
      <c r="D100" s="1736"/>
      <c r="K100" s="726"/>
      <c r="L100" s="726"/>
    </row>
    <row r="101" spans="1:12" s="787" customFormat="1">
      <c r="A101" s="1735"/>
      <c r="D101" s="1736"/>
      <c r="K101" s="726"/>
      <c r="L101" s="726"/>
    </row>
    <row r="102" spans="1:12" s="787" customFormat="1">
      <c r="A102" s="1735"/>
      <c r="D102" s="1736"/>
      <c r="K102" s="726"/>
      <c r="L102" s="726"/>
    </row>
    <row r="103" spans="1:12" s="787" customFormat="1">
      <c r="A103" s="1735"/>
      <c r="D103" s="1736"/>
      <c r="K103" s="726"/>
      <c r="L103" s="726"/>
    </row>
    <row r="104" spans="1:12" s="787" customFormat="1">
      <c r="A104" s="1735"/>
      <c r="D104" s="1736"/>
      <c r="K104" s="726"/>
      <c r="L104" s="726"/>
    </row>
    <row r="105" spans="1:12" s="787" customFormat="1">
      <c r="A105" s="1735"/>
      <c r="D105" s="1736"/>
      <c r="K105" s="726"/>
      <c r="L105" s="726"/>
    </row>
    <row r="106" spans="1:12" s="787" customFormat="1">
      <c r="A106" s="1735"/>
      <c r="D106" s="1736"/>
      <c r="K106" s="726"/>
      <c r="L106" s="726"/>
    </row>
    <row r="107" spans="1:12" s="787" customFormat="1">
      <c r="A107" s="1735"/>
      <c r="D107" s="1736"/>
      <c r="K107" s="726"/>
      <c r="L107" s="726"/>
    </row>
    <row r="108" spans="1:12" s="787" customFormat="1">
      <c r="A108" s="1735"/>
      <c r="D108" s="1736"/>
      <c r="K108" s="726"/>
      <c r="L108" s="726"/>
    </row>
    <row r="109" spans="1:12" s="787" customFormat="1">
      <c r="A109" s="1735"/>
      <c r="D109" s="1736"/>
      <c r="K109" s="726"/>
      <c r="L109" s="726"/>
    </row>
    <row r="110" spans="1:12" s="787" customFormat="1">
      <c r="A110" s="1735"/>
      <c r="D110" s="1736"/>
      <c r="K110" s="726"/>
      <c r="L110" s="726"/>
    </row>
    <row r="111" spans="1:12" s="787" customFormat="1">
      <c r="A111" s="1735"/>
      <c r="D111" s="1736"/>
      <c r="K111" s="726"/>
      <c r="L111" s="726"/>
    </row>
    <row r="112" spans="1:12" s="787" customFormat="1">
      <c r="A112" s="1735"/>
      <c r="D112" s="1736"/>
      <c r="K112" s="726"/>
      <c r="L112" s="726"/>
    </row>
    <row r="113" spans="1:12" s="787" customFormat="1">
      <c r="A113" s="1735"/>
      <c r="D113" s="1736"/>
      <c r="K113" s="726"/>
      <c r="L113" s="726"/>
    </row>
    <row r="114" spans="1:12" s="787" customFormat="1">
      <c r="A114" s="1735"/>
      <c r="D114" s="1736"/>
      <c r="K114" s="726"/>
      <c r="L114" s="726"/>
    </row>
    <row r="115" spans="1:12" s="787" customFormat="1">
      <c r="A115" s="1735"/>
      <c r="D115" s="1736"/>
      <c r="K115" s="726"/>
      <c r="L115" s="726"/>
    </row>
    <row r="116" spans="1:12" s="787" customFormat="1">
      <c r="A116" s="1735"/>
      <c r="D116" s="1736"/>
      <c r="K116" s="726"/>
      <c r="L116" s="726"/>
    </row>
    <row r="117" spans="1:12" s="787" customFormat="1">
      <c r="A117" s="1735"/>
      <c r="D117" s="1736"/>
      <c r="K117" s="726"/>
      <c r="L117" s="726"/>
    </row>
    <row r="118" spans="1:12" s="787" customFormat="1">
      <c r="A118" s="1735"/>
      <c r="D118" s="1736"/>
      <c r="K118" s="726"/>
      <c r="L118" s="726"/>
    </row>
    <row r="119" spans="1:12" s="787" customFormat="1">
      <c r="A119" s="1735"/>
      <c r="D119" s="1736"/>
      <c r="K119" s="726"/>
      <c r="L119" s="726"/>
    </row>
    <row r="120" spans="1:12" s="787" customFormat="1">
      <c r="A120" s="1735"/>
      <c r="D120" s="1736"/>
      <c r="K120" s="726"/>
      <c r="L120" s="726"/>
    </row>
    <row r="121" spans="1:12" s="787" customFormat="1">
      <c r="A121" s="1735"/>
      <c r="D121" s="1736"/>
      <c r="K121" s="726"/>
      <c r="L121" s="726"/>
    </row>
    <row r="122" spans="1:12" s="787" customFormat="1">
      <c r="A122" s="1735"/>
      <c r="D122" s="1736"/>
      <c r="K122" s="726"/>
      <c r="L122" s="726"/>
    </row>
    <row r="123" spans="1:12" s="787" customFormat="1">
      <c r="A123" s="1735"/>
      <c r="D123" s="1736"/>
      <c r="K123" s="726"/>
      <c r="L123" s="726"/>
    </row>
    <row r="124" spans="1:12" s="787" customFormat="1">
      <c r="A124" s="1735"/>
      <c r="D124" s="1736"/>
      <c r="K124" s="726"/>
      <c r="L124" s="726"/>
    </row>
    <row r="125" spans="1:12" s="787" customFormat="1">
      <c r="A125" s="1735"/>
      <c r="D125" s="1736"/>
      <c r="K125" s="726"/>
      <c r="L125" s="726"/>
    </row>
    <row r="126" spans="1:12" s="787" customFormat="1">
      <c r="A126" s="1735"/>
      <c r="D126" s="1736"/>
      <c r="K126" s="726"/>
      <c r="L126" s="726"/>
    </row>
    <row r="127" spans="1:12" s="787" customFormat="1">
      <c r="A127" s="1735"/>
      <c r="D127" s="1736"/>
      <c r="K127" s="726"/>
      <c r="L127" s="726"/>
    </row>
    <row r="128" spans="1:12" s="787" customFormat="1">
      <c r="A128" s="1735"/>
      <c r="D128" s="1736"/>
      <c r="K128" s="726"/>
      <c r="L128" s="726"/>
    </row>
    <row r="129" spans="1:12" s="787" customFormat="1">
      <c r="A129" s="1735"/>
      <c r="D129" s="1736"/>
      <c r="K129" s="726"/>
      <c r="L129" s="726"/>
    </row>
    <row r="130" spans="1:12" s="787" customFormat="1">
      <c r="A130" s="1735"/>
      <c r="D130" s="1736"/>
      <c r="K130" s="726"/>
      <c r="L130" s="726"/>
    </row>
    <row r="131" spans="1:12" s="787" customFormat="1">
      <c r="A131" s="1735"/>
      <c r="D131" s="1736"/>
      <c r="K131" s="726"/>
      <c r="L131" s="726"/>
    </row>
    <row r="132" spans="1:12" s="787" customFormat="1">
      <c r="A132" s="1735"/>
      <c r="D132" s="1736"/>
      <c r="K132" s="726"/>
      <c r="L132" s="726"/>
    </row>
    <row r="133" spans="1:12" s="787" customFormat="1">
      <c r="A133" s="1735"/>
      <c r="D133" s="1736"/>
      <c r="K133" s="726"/>
      <c r="L133" s="726"/>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67" t="s">
        <v>2285</v>
      </c>
      <c r="B1" s="3568"/>
      <c r="C1" s="3568"/>
      <c r="D1" s="3568"/>
      <c r="E1" s="3568"/>
      <c r="F1" s="3568"/>
      <c r="G1" s="3568"/>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2280</v>
      </c>
      <c r="D2" s="2455"/>
      <c r="E2" s="2452"/>
      <c r="F2" s="2456"/>
      <c r="G2" s="2454" t="s">
        <v>2281</v>
      </c>
      <c r="H2" s="793"/>
      <c r="I2" s="793"/>
      <c r="J2" s="793"/>
      <c r="K2" s="793"/>
      <c r="L2" s="793"/>
      <c r="M2" s="793"/>
      <c r="N2" s="793"/>
      <c r="O2" s="793"/>
      <c r="P2" s="793"/>
      <c r="Q2" s="793"/>
      <c r="R2" s="793"/>
    </row>
    <row r="3" spans="1:29" ht="48">
      <c r="A3" s="2435" t="s">
        <v>2282</v>
      </c>
      <c r="B3" s="2457" t="s">
        <v>2251</v>
      </c>
      <c r="C3" s="2458" t="s">
        <v>2283</v>
      </c>
      <c r="D3" s="2459"/>
      <c r="E3" s="2436" t="s">
        <v>2282</v>
      </c>
      <c r="F3" s="2460" t="s">
        <v>2252</v>
      </c>
      <c r="G3" s="2461" t="s">
        <v>2284</v>
      </c>
      <c r="H3" s="793"/>
      <c r="I3" s="793"/>
      <c r="J3" s="793"/>
      <c r="K3" s="793"/>
      <c r="L3" s="793"/>
      <c r="M3" s="793"/>
      <c r="N3" s="793"/>
      <c r="O3" s="793"/>
      <c r="P3" s="793"/>
      <c r="Q3" s="793"/>
      <c r="R3" s="793"/>
    </row>
    <row r="4" spans="1:29" ht="36.75">
      <c r="A4" s="2436"/>
      <c r="B4" s="323" t="s">
        <v>2253</v>
      </c>
      <c r="C4" s="2462" t="s">
        <v>2254</v>
      </c>
      <c r="D4" s="2459"/>
      <c r="E4" s="2463"/>
      <c r="F4" s="1367" t="s">
        <v>2255</v>
      </c>
      <c r="G4" s="2464" t="s">
        <v>2256</v>
      </c>
      <c r="H4" s="793"/>
      <c r="I4" s="793"/>
      <c r="J4" s="793"/>
      <c r="K4" s="793"/>
      <c r="L4" s="793"/>
      <c r="M4" s="793"/>
      <c r="N4" s="793"/>
      <c r="O4" s="793"/>
      <c r="P4" s="793"/>
      <c r="Q4" s="793"/>
      <c r="R4" s="793"/>
    </row>
    <row r="5" spans="1:29" ht="36.75">
      <c r="A5" s="2436"/>
      <c r="B5" s="323" t="s">
        <v>2257</v>
      </c>
      <c r="C5" s="2462" t="s">
        <v>2258</v>
      </c>
      <c r="D5" s="2459"/>
      <c r="E5" s="2463"/>
      <c r="F5" s="323" t="s">
        <v>2259</v>
      </c>
      <c r="G5" s="2464" t="s">
        <v>2260</v>
      </c>
      <c r="H5" s="793"/>
      <c r="I5" s="793"/>
      <c r="J5" s="793"/>
      <c r="K5" s="793"/>
      <c r="L5" s="793"/>
      <c r="M5" s="793"/>
      <c r="N5" s="793"/>
      <c r="O5" s="793"/>
      <c r="P5" s="793"/>
      <c r="Q5" s="793"/>
      <c r="R5" s="793"/>
    </row>
    <row r="6" spans="1:29" ht="36">
      <c r="A6" s="2436"/>
      <c r="B6" s="323" t="s">
        <v>2261</v>
      </c>
      <c r="C6" s="2464" t="s">
        <v>2256</v>
      </c>
      <c r="D6" s="2459"/>
      <c r="E6" s="2463"/>
      <c r="F6" s="323" t="s">
        <v>2262</v>
      </c>
      <c r="G6" s="2464" t="s">
        <v>2263</v>
      </c>
      <c r="H6" s="793"/>
      <c r="I6" s="793"/>
      <c r="J6" s="793"/>
      <c r="K6" s="793"/>
      <c r="L6" s="793"/>
      <c r="M6" s="793"/>
      <c r="N6" s="793"/>
      <c r="O6" s="793"/>
      <c r="P6" s="793"/>
      <c r="Q6" s="793"/>
      <c r="R6" s="793"/>
    </row>
    <row r="7" spans="1:29" ht="24.75" thickBot="1">
      <c r="A7" s="2436"/>
      <c r="B7" s="323" t="s">
        <v>2259</v>
      </c>
      <c r="C7" s="2464" t="s">
        <v>2260</v>
      </c>
      <c r="D7" s="2465"/>
      <c r="E7" s="2466"/>
      <c r="F7" s="2467" t="s">
        <v>2264</v>
      </c>
      <c r="G7" s="2468" t="s">
        <v>2265</v>
      </c>
      <c r="H7" s="793"/>
      <c r="I7" s="793"/>
      <c r="J7" s="793"/>
      <c r="K7" s="793"/>
      <c r="L7" s="793"/>
      <c r="M7" s="793"/>
      <c r="N7" s="793"/>
      <c r="O7" s="793"/>
      <c r="P7" s="793"/>
      <c r="Q7" s="793"/>
      <c r="R7" s="793"/>
    </row>
    <row r="8" spans="1:29">
      <c r="A8" s="2436"/>
      <c r="B8" s="323" t="s">
        <v>2262</v>
      </c>
      <c r="C8" s="2464" t="s">
        <v>2263</v>
      </c>
      <c r="D8" s="2465"/>
      <c r="E8" s="2465"/>
      <c r="F8" s="2469"/>
      <c r="G8" s="2469"/>
      <c r="H8" s="793"/>
      <c r="I8" s="793"/>
      <c r="J8" s="793"/>
      <c r="K8" s="793"/>
      <c r="L8" s="793"/>
      <c r="M8" s="793"/>
      <c r="N8" s="793"/>
      <c r="O8" s="793"/>
      <c r="P8" s="793"/>
      <c r="Q8" s="793"/>
      <c r="R8" s="793"/>
    </row>
    <row r="9" spans="1:29" ht="24">
      <c r="A9" s="2436"/>
      <c r="B9" s="323" t="s">
        <v>2266</v>
      </c>
      <c r="C9" s="2462" t="s">
        <v>2267</v>
      </c>
      <c r="D9" s="2459"/>
      <c r="E9" s="2465"/>
      <c r="F9" s="2469"/>
      <c r="G9" s="2469"/>
      <c r="H9" s="793"/>
      <c r="I9" s="793"/>
      <c r="J9" s="793"/>
      <c r="K9" s="793"/>
      <c r="L9" s="793"/>
      <c r="M9" s="793"/>
      <c r="N9" s="793"/>
      <c r="O9" s="793"/>
      <c r="P9" s="793"/>
      <c r="Q9" s="793"/>
      <c r="R9" s="793"/>
    </row>
    <row r="10" spans="1:29" s="2475" customFormat="1" ht="15" thickBot="1">
      <c r="A10" s="2437"/>
      <c r="B10" s="2470" t="s">
        <v>2268</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2286</v>
      </c>
      <c r="B13" s="2478"/>
      <c r="C13" s="2478"/>
      <c r="D13" s="2476"/>
      <c r="E13" s="2478"/>
      <c r="F13" s="2478"/>
      <c r="G13" s="2478"/>
    </row>
    <row r="14" spans="1:29" ht="15" thickBot="1">
      <c r="A14" s="2488"/>
      <c r="B14" s="2488"/>
      <c r="C14" s="2489" t="s">
        <v>2269</v>
      </c>
      <c r="D14" s="2459"/>
      <c r="E14" s="2490"/>
      <c r="F14" s="2490"/>
      <c r="G14" s="2454" t="s">
        <v>2270</v>
      </c>
    </row>
    <row r="15" spans="1:29" ht="51">
      <c r="A15" s="2438" t="s">
        <v>2271</v>
      </c>
      <c r="B15" s="2491" t="s">
        <v>2251</v>
      </c>
      <c r="C15" s="2492" t="str">
        <f>C3</f>
        <v>估价对象周边居住用地比例、居住小区规模和社区发展完善程度，综合评价居住社区成熟度一般</v>
      </c>
      <c r="D15" s="2459"/>
      <c r="E15" s="2439" t="s">
        <v>2272</v>
      </c>
      <c r="F15" s="2491" t="s">
        <v>2273</v>
      </c>
      <c r="G15" s="2493" t="str">
        <f>G3</f>
        <v>估价对象位于XX开发区，园区建设成熟度XX，产业集聚程度XX</v>
      </c>
    </row>
    <row r="16" spans="1:29" ht="38.25">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ht="38.25">
      <c r="A17" s="2440"/>
      <c r="B17" s="2494" t="s">
        <v>2257</v>
      </c>
      <c r="C17" s="2495" t="str">
        <f>C5</f>
        <v>估价对象位于XX商圈，周边办公楼项目较多，入驻率高，办公集聚程度较好</v>
      </c>
      <c r="D17" s="2465"/>
      <c r="E17" s="2441"/>
      <c r="F17" s="2496" t="s">
        <v>2274</v>
      </c>
      <c r="G17" s="2498"/>
    </row>
    <row r="18" spans="1:18" ht="38.25">
      <c r="A18" s="2440"/>
      <c r="B18" s="2496" t="s">
        <v>2261</v>
      </c>
      <c r="C18" s="2497" t="str">
        <f>C6</f>
        <v>估价对象周边道路状况、公共交通通达情况、停车便捷程度，综合评价交通便捷度较好</v>
      </c>
      <c r="D18" s="2465"/>
      <c r="E18" s="2441"/>
      <c r="F18" s="2496" t="s">
        <v>2264</v>
      </c>
      <c r="G18" s="2497" t="str">
        <f>G7</f>
        <v>该园区内是否有污染型企业，绿化情况，卫生条件，整体环境状况判断</v>
      </c>
    </row>
    <row r="19" spans="1:18" ht="25.5">
      <c r="A19" s="2440"/>
      <c r="B19" s="2496" t="s">
        <v>2275</v>
      </c>
      <c r="C19" s="2498"/>
      <c r="D19" s="2459"/>
      <c r="E19" s="2441"/>
      <c r="F19" s="323" t="s">
        <v>2259</v>
      </c>
      <c r="G19" s="2497" t="str">
        <f>G5</f>
        <v>估价对象所在区域公共配套设施齐备情况</v>
      </c>
    </row>
    <row r="20" spans="1:18" ht="25.5">
      <c r="A20" s="2440"/>
      <c r="B20" s="2496" t="s">
        <v>2276</v>
      </c>
      <c r="C20" s="2495" t="str">
        <f>C9</f>
        <v>区域自然环境：；人文环境；综合评价环境状况一般</v>
      </c>
      <c r="D20" s="2465"/>
      <c r="E20" s="2441"/>
      <c r="F20" s="323" t="s">
        <v>2262</v>
      </c>
      <c r="G20" s="2497" t="str">
        <f>G6</f>
        <v>估价对象所在区域基础设施水平</v>
      </c>
    </row>
    <row r="21" spans="1:18" ht="25.5">
      <c r="A21" s="2440"/>
      <c r="B21" s="323" t="s">
        <v>2259</v>
      </c>
      <c r="C21" s="2497" t="str">
        <f>C7</f>
        <v>估价对象所在区域公共配套设施齐备情况</v>
      </c>
      <c r="D21" s="2459"/>
      <c r="E21" s="2441"/>
      <c r="F21" s="2496" t="s">
        <v>2277</v>
      </c>
      <c r="G21" s="2499"/>
    </row>
    <row r="22" spans="1:18" ht="13.5" customHeight="1">
      <c r="A22" s="2440"/>
      <c r="B22" s="323" t="s">
        <v>2262</v>
      </c>
      <c r="C22" s="2497" t="str">
        <f>C8</f>
        <v>估价对象所在区域基础设施水平</v>
      </c>
      <c r="D22" s="2459"/>
      <c r="E22" s="2441"/>
      <c r="F22" s="2496" t="s">
        <v>2268</v>
      </c>
      <c r="G22" s="2498"/>
    </row>
    <row r="23" spans="1:18" s="793" customFormat="1" ht="15" thickBot="1">
      <c r="A23" s="2440"/>
      <c r="B23" s="2496" t="s">
        <v>2277</v>
      </c>
      <c r="C23" s="2499"/>
      <c r="D23" s="1735"/>
      <c r="E23" s="2442"/>
      <c r="F23" s="2500" t="s">
        <v>2278</v>
      </c>
      <c r="G23" s="2501"/>
      <c r="H23" s="2485"/>
      <c r="I23" s="2486"/>
      <c r="J23" s="2485"/>
      <c r="K23" s="2485"/>
      <c r="L23" s="2486"/>
      <c r="M23" s="2485"/>
      <c r="N23" s="2485"/>
      <c r="O23" s="2486"/>
      <c r="P23" s="2485"/>
      <c r="Q23" s="2485"/>
      <c r="R23" s="2487"/>
    </row>
    <row r="24" spans="1:18" s="793" customFormat="1" ht="15" thickBot="1">
      <c r="A24" s="2443"/>
      <c r="B24" s="2500" t="s">
        <v>2279</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9" sqref="G39"/>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687.62999999999988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45506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1841</v>
      </c>
      <c r="C5" s="2506">
        <f ca="1">IF(B5=D14,'结果表-1803'!H102,ROUND(B5*10000/$B$1,0))</f>
        <v>26773</v>
      </c>
      <c r="D5" s="2506" t="e">
        <f ca="1">ROUND(B5*10000/$B$2,0)</f>
        <v>#DIV/0!</v>
      </c>
      <c r="E5" s="2680"/>
      <c r="F5" s="2681">
        <f ca="1">B5*0.55</f>
        <v>1012.5500000000001</v>
      </c>
      <c r="G5" s="2681"/>
      <c r="H5" s="2682"/>
      <c r="I5" s="2682"/>
      <c r="J5" s="2682"/>
      <c r="K5" s="2682"/>
    </row>
    <row r="6" spans="1:11" ht="16.5">
      <c r="A6" s="2506" t="s">
        <v>656</v>
      </c>
      <c r="B6" s="2506">
        <f ca="1">SUM(G14:G23)</f>
        <v>1841</v>
      </c>
      <c r="C6" s="2506">
        <f ca="1">IF(B6=G14,'结果表-1803'!H108,ROUND(B6*10000/$B$1,0))</f>
        <v>26773</v>
      </c>
      <c r="D6" s="2506" t="e">
        <f ca="1">ROUND(B6*10000/$B$2,0)</f>
        <v>#DIV/0!</v>
      </c>
      <c r="E6" s="2680"/>
      <c r="F6" s="2681"/>
      <c r="G6" s="2681"/>
      <c r="H6" s="2682"/>
      <c r="I6" s="2682"/>
      <c r="J6" s="2682"/>
      <c r="K6" s="2682"/>
    </row>
    <row r="7" spans="1:11" ht="16.5">
      <c r="A7" s="2506" t="s">
        <v>664</v>
      </c>
      <c r="B7" s="2506">
        <f>SUM(H14:H23)</f>
        <v>0</v>
      </c>
      <c r="C7" s="2506" t="str">
        <f>IF(B7=H14,'结果表-1803'!H110,ROUND(B7*10000/$B$1,0))</f>
        <v>——</v>
      </c>
      <c r="D7" s="2506" t="e">
        <f>ROUND(B7*10000/$B$2,0)</f>
        <v>#DIV/0!</v>
      </c>
      <c r="E7" s="2680"/>
      <c r="F7" s="2681"/>
      <c r="G7" s="2681"/>
      <c r="H7" s="2682"/>
      <c r="I7" s="2682"/>
      <c r="J7" s="2682"/>
      <c r="K7" s="2682"/>
    </row>
    <row r="8" spans="1:11" ht="16.5">
      <c r="A8" s="2506" t="s">
        <v>587</v>
      </c>
      <c r="B8" s="2506">
        <f ca="1">SUM(I14:I23)</f>
        <v>1841</v>
      </c>
      <c r="C8" s="2506">
        <f ca="1">IF(B8=I14,'结果表-1803'!H112,ROUND(B8*10000/$B$1,0))</f>
        <v>26773</v>
      </c>
      <c r="D8" s="2506" t="e">
        <f ca="1">ROUND(B8*10000/$B$2,0)</f>
        <v>#DIV/0!</v>
      </c>
      <c r="E8" s="2680"/>
      <c r="F8" s="2681">
        <f ca="1">B8*0.55</f>
        <v>1012.5500000000001</v>
      </c>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3357</v>
      </c>
      <c r="D10" s="2506" t="s">
        <v>3358</v>
      </c>
      <c r="E10" s="3434"/>
      <c r="F10" s="3438" t="s">
        <v>3359</v>
      </c>
      <c r="G10" s="3435"/>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147.63999999999999</v>
      </c>
      <c r="C14" s="2512"/>
      <c r="D14" s="2512">
        <f ca="1">'结果表-1803'!H107</f>
        <v>395</v>
      </c>
      <c r="E14" s="2512">
        <f ca="1">ROUND(D14*10000/B14,0)</f>
        <v>26754</v>
      </c>
      <c r="F14" s="2512" t="e">
        <f ca="1">ROUND(D14*10000/C14,0)</f>
        <v>#DIV/0!</v>
      </c>
      <c r="G14" s="2512">
        <f ca="1">D14</f>
        <v>395</v>
      </c>
      <c r="H14" s="2512"/>
      <c r="I14" s="2512">
        <f ca="1">'结果表-1804'!H111</f>
        <v>395</v>
      </c>
      <c r="J14" s="2681"/>
      <c r="K14" s="2682"/>
    </row>
    <row r="15" spans="1:11" ht="16.5">
      <c r="A15" s="2511" t="s">
        <v>649</v>
      </c>
      <c r="B15" s="2512">
        <f>'数据-汇总表'!F20</f>
        <v>147.63999999999999</v>
      </c>
      <c r="C15" s="2513"/>
      <c r="D15" s="2513">
        <f ca="1">'结果表-1804'!H101</f>
        <v>395</v>
      </c>
      <c r="E15" s="2512">
        <f t="shared" ref="E15:E23" ca="1" si="0">ROUND(D15*10000/B15,0)</f>
        <v>26754</v>
      </c>
      <c r="F15" s="2512" t="e">
        <f t="shared" ref="F15:F23" ca="1" si="1">ROUND(D15*10000/C15,0)</f>
        <v>#DIV/0!</v>
      </c>
      <c r="G15" s="1325">
        <f ca="1">D15</f>
        <v>395</v>
      </c>
      <c r="H15" s="1325"/>
      <c r="I15" s="2513">
        <f ca="1">'结果表-1804'!H111</f>
        <v>395</v>
      </c>
      <c r="J15" s="2681"/>
      <c r="K15" s="2682"/>
    </row>
    <row r="16" spans="1:11" ht="16.5">
      <c r="A16" s="2511" t="s">
        <v>648</v>
      </c>
      <c r="B16" s="2512">
        <f>'数据-汇总表'!F21</f>
        <v>207.53</v>
      </c>
      <c r="C16" s="2513"/>
      <c r="D16" s="2513">
        <f ca="1">'结果表-1805'!H107</f>
        <v>556</v>
      </c>
      <c r="E16" s="2512">
        <f t="shared" ca="1" si="0"/>
        <v>26791</v>
      </c>
      <c r="F16" s="2512" t="e">
        <f t="shared" ca="1" si="1"/>
        <v>#DIV/0!</v>
      </c>
      <c r="G16" s="1325">
        <f t="shared" ref="G16:G17" ca="1" si="2">D16</f>
        <v>556</v>
      </c>
      <c r="H16" s="1325"/>
      <c r="I16" s="2513">
        <f ca="1">'结果表-1805'!H111</f>
        <v>556</v>
      </c>
      <c r="J16" s="2682"/>
      <c r="K16" s="2682"/>
    </row>
    <row r="17" spans="1:11" ht="16.5">
      <c r="A17" s="2511" t="s">
        <v>647</v>
      </c>
      <c r="B17" s="2512">
        <f>'数据-汇总表'!F22</f>
        <v>184.82</v>
      </c>
      <c r="C17" s="2513"/>
      <c r="D17" s="2513">
        <f ca="1">结果表1806!H107</f>
        <v>495</v>
      </c>
      <c r="E17" s="2512">
        <f t="shared" ca="1" si="0"/>
        <v>26783</v>
      </c>
      <c r="F17" s="2512" t="e">
        <f t="shared" ca="1" si="1"/>
        <v>#DIV/0!</v>
      </c>
      <c r="G17" s="1325">
        <f t="shared" ca="1" si="2"/>
        <v>495</v>
      </c>
      <c r="H17" s="1325"/>
      <c r="I17" s="2513">
        <f ca="1">结果表1806!H111</f>
        <v>495</v>
      </c>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I46"/>
  <sheetViews>
    <sheetView tabSelected="1" topLeftCell="A13" workbookViewId="0">
      <selection activeCell="K47" sqref="K47"/>
    </sheetView>
  </sheetViews>
  <sheetFormatPr defaultRowHeight="13.5"/>
  <cols>
    <col min="9" max="9" width="13.125" customWidth="1"/>
  </cols>
  <sheetData>
    <row r="32" spans="1:5">
      <c r="A32" s="3442"/>
      <c r="B32" s="3442"/>
      <c r="C32" s="3442"/>
      <c r="D32" s="3442"/>
      <c r="E32" s="3442"/>
    </row>
    <row r="38" spans="5:9">
      <c r="E38" s="3442" t="s">
        <v>3457</v>
      </c>
      <c r="F38" s="3442" t="s">
        <v>3456</v>
      </c>
      <c r="G38" s="3442" t="s">
        <v>3454</v>
      </c>
      <c r="H38" s="3442" t="s">
        <v>3455</v>
      </c>
      <c r="I38" s="3442" t="s">
        <v>3466</v>
      </c>
    </row>
    <row r="39" spans="5:9">
      <c r="E39">
        <v>1803</v>
      </c>
      <c r="F39">
        <f>'数据-汇总表'!F19</f>
        <v>147.63999999999999</v>
      </c>
      <c r="G39">
        <f ca="1">'结果表-1803'!H107</f>
        <v>395</v>
      </c>
      <c r="H39">
        <f ca="1">'结果表-1803'!H111</f>
        <v>395</v>
      </c>
      <c r="I39">
        <v>6002339</v>
      </c>
    </row>
    <row r="40" spans="5:9">
      <c r="E40">
        <v>1804</v>
      </c>
      <c r="F40">
        <f>'数据-汇总表'!F20</f>
        <v>147.63999999999999</v>
      </c>
      <c r="G40">
        <f ca="1">'结果表-1804'!H107</f>
        <v>395</v>
      </c>
      <c r="H40">
        <f ca="1">'结果表-1804'!H111</f>
        <v>395</v>
      </c>
      <c r="I40">
        <v>6002339</v>
      </c>
    </row>
    <row r="41" spans="5:9">
      <c r="E41">
        <v>1805</v>
      </c>
      <c r="F41">
        <f>'数据-汇总表'!F21</f>
        <v>207.53</v>
      </c>
      <c r="G41">
        <f ca="1">'结果表-1805'!H107</f>
        <v>556</v>
      </c>
      <c r="H41">
        <f ca="1">'结果表-1805'!H111</f>
        <v>556</v>
      </c>
      <c r="I41">
        <v>8462176</v>
      </c>
    </row>
    <row r="42" spans="5:9">
      <c r="E42">
        <v>1806</v>
      </c>
      <c r="F42">
        <f>'数据-汇总表'!F22</f>
        <v>184.82</v>
      </c>
      <c r="G42">
        <f ca="1">结果表1806!H107</f>
        <v>495</v>
      </c>
      <c r="H42">
        <f ca="1">结果表1806!H111</f>
        <v>495</v>
      </c>
      <c r="I42">
        <v>7511463</v>
      </c>
    </row>
    <row r="43" spans="5:9">
      <c r="E43" s="3442" t="s">
        <v>3458</v>
      </c>
      <c r="F43">
        <f>SUM(F39:F42)</f>
        <v>687.62999999999988</v>
      </c>
      <c r="G43">
        <f t="shared" ref="G43:H43" ca="1" si="0">SUM(G39:G42)</f>
        <v>1841</v>
      </c>
      <c r="H43">
        <f t="shared" ca="1" si="0"/>
        <v>1841</v>
      </c>
    </row>
    <row r="44" spans="5:9">
      <c r="F44" s="3442" t="s">
        <v>3461</v>
      </c>
      <c r="G44">
        <v>0.55000000000000004</v>
      </c>
      <c r="H44">
        <v>0.5</v>
      </c>
    </row>
    <row r="45" spans="5:9">
      <c r="F45" s="3442" t="s">
        <v>3459</v>
      </c>
      <c r="G45">
        <f ca="1">G43*0.55</f>
        <v>1012.5500000000001</v>
      </c>
      <c r="H45">
        <f ca="1">G43*0.5</f>
        <v>920.5</v>
      </c>
    </row>
    <row r="46" spans="5:9">
      <c r="F46" s="3442" t="s">
        <v>3460</v>
      </c>
      <c r="G46">
        <v>1000</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Normal="100" zoomScaleSheetLayoutView="100" zoomScalePageLayoutView="80" workbookViewId="0">
      <selection activeCell="C67" sqref="C67"/>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1803</v>
      </c>
      <c r="D1" s="1741"/>
      <c r="E1" s="1741"/>
      <c r="F1" s="1743" t="s">
        <v>1263</v>
      </c>
      <c r="G1" s="1555"/>
      <c r="H1" s="1744" t="str">
        <f>IF(G1="现房","——","估价对象范围")</f>
        <v>估价对象范围</v>
      </c>
      <c r="I1" s="1745"/>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48" t="s">
        <v>1265</v>
      </c>
      <c r="B4" s="1749" t="s">
        <v>1266</v>
      </c>
      <c r="C4" s="1750" t="s">
        <v>3449</v>
      </c>
      <c r="D4" s="1750" t="s">
        <v>3444</v>
      </c>
      <c r="E4" s="3609" t="s">
        <v>1267</v>
      </c>
      <c r="F4" s="3610"/>
      <c r="G4" s="3610"/>
      <c r="H4" s="3610"/>
      <c r="I4" s="3611"/>
      <c r="K4" s="146" t="str">
        <f>IF(ISNUMBER(FIND("比较法",'结果表-1803'!C4)),"比较法",IF(ISNUMBER(FIND("成本法",'结果表-1803'!C4)),"成本法",IF(ISNUMBER(FIND("假设开发法",'结果表-1803'!C4)),"假设开发法",IF(ISNUMBER(FIND("收益法",'结果表-1803'!C4)),"收益法","基准地价系数修正法"))))</f>
        <v>比较法</v>
      </c>
      <c r="L4" s="146" t="str">
        <f>IF(ISNUMBER(FIND("比较法",'结果表-1803'!D4)),"比较法",IF(ISNUMBER(FIND("成本法",'结果表-1803'!D4)),"成本法",IF(ISNUMBER(FIND("假设开发法",'结果表-1803'!D4)),"假设开发法",IF(ISNUMBER(FIND("收益法",'结果表-1803'!D4)),"收益法","基准地价系数修正法"))))</f>
        <v>收益法</v>
      </c>
    </row>
    <row r="5" spans="1:12" ht="12.75">
      <c r="A5" s="3583" t="s">
        <v>1268</v>
      </c>
      <c r="B5" s="3570">
        <v>25</v>
      </c>
      <c r="C5" s="3586"/>
      <c r="D5" s="3606"/>
      <c r="E5" s="131" t="s">
        <v>1269</v>
      </c>
      <c r="F5" s="1751"/>
      <c r="G5" s="1751"/>
      <c r="H5" s="1751"/>
      <c r="I5" s="1367"/>
    </row>
    <row r="6" spans="1:12" ht="12.75">
      <c r="A6" s="3583"/>
      <c r="B6" s="3570"/>
      <c r="C6" s="3587"/>
      <c r="D6" s="3606"/>
      <c r="E6" s="131" t="s">
        <v>1270</v>
      </c>
      <c r="F6" s="1751"/>
      <c r="G6" s="1751"/>
      <c r="H6" s="1751"/>
      <c r="I6" s="1367"/>
    </row>
    <row r="7" spans="1:12" ht="12.75">
      <c r="A7" s="3583"/>
      <c r="B7" s="3570"/>
      <c r="C7" s="3588"/>
      <c r="D7" s="3606"/>
      <c r="E7" s="131" t="s">
        <v>1271</v>
      </c>
      <c r="F7" s="1751"/>
      <c r="G7" s="1751"/>
      <c r="H7" s="1751"/>
      <c r="I7" s="1367"/>
    </row>
    <row r="8" spans="1:12" ht="12.75">
      <c r="A8" s="3583" t="s">
        <v>1272</v>
      </c>
      <c r="B8" s="3570">
        <v>15</v>
      </c>
      <c r="C8" s="3586"/>
      <c r="D8" s="3606"/>
      <c r="E8" s="131" t="s">
        <v>1273</v>
      </c>
      <c r="F8" s="1751"/>
      <c r="G8" s="1751"/>
      <c r="H8" s="1751"/>
      <c r="I8" s="1367"/>
    </row>
    <row r="9" spans="1:12" ht="12.75">
      <c r="A9" s="3583"/>
      <c r="B9" s="3570"/>
      <c r="C9" s="3588"/>
      <c r="D9" s="3606"/>
      <c r="E9" s="131" t="s">
        <v>1274</v>
      </c>
      <c r="F9" s="1751"/>
      <c r="G9" s="1751"/>
      <c r="H9" s="1751"/>
      <c r="I9" s="1367"/>
    </row>
    <row r="10" spans="1:12" ht="12.75">
      <c r="A10" s="3583" t="s">
        <v>1275</v>
      </c>
      <c r="B10" s="3570">
        <v>15</v>
      </c>
      <c r="C10" s="3586"/>
      <c r="D10" s="3606"/>
      <c r="E10" s="131" t="s">
        <v>1276</v>
      </c>
      <c r="F10" s="1751"/>
      <c r="G10" s="1751"/>
      <c r="H10" s="1751"/>
      <c r="I10" s="1367"/>
    </row>
    <row r="11" spans="1:12" ht="12.75">
      <c r="A11" s="3583"/>
      <c r="B11" s="3570"/>
      <c r="C11" s="3588"/>
      <c r="D11" s="3606"/>
      <c r="E11" s="131" t="s">
        <v>1277</v>
      </c>
      <c r="F11" s="1751"/>
      <c r="G11" s="1751"/>
      <c r="H11" s="1751"/>
      <c r="I11" s="1367"/>
    </row>
    <row r="12" spans="1:12" ht="12.75">
      <c r="A12" s="3583" t="s">
        <v>1278</v>
      </c>
      <c r="B12" s="3570">
        <v>15</v>
      </c>
      <c r="C12" s="3586"/>
      <c r="D12" s="3606"/>
      <c r="E12" s="131" t="s">
        <v>1279</v>
      </c>
      <c r="F12" s="1751"/>
      <c r="G12" s="1751"/>
      <c r="H12" s="1751"/>
      <c r="I12" s="1367"/>
    </row>
    <row r="13" spans="1:12" ht="12.75">
      <c r="A13" s="3583"/>
      <c r="B13" s="3570"/>
      <c r="C13" s="3588"/>
      <c r="D13" s="3606"/>
      <c r="E13" s="131" t="s">
        <v>1280</v>
      </c>
      <c r="F13" s="1751"/>
      <c r="G13" s="1751"/>
      <c r="H13" s="1751"/>
      <c r="I13" s="1367"/>
    </row>
    <row r="14" spans="1:12" ht="12.75">
      <c r="A14" s="3583" t="s">
        <v>1281</v>
      </c>
      <c r="B14" s="3570">
        <v>30</v>
      </c>
      <c r="C14" s="3586">
        <v>7</v>
      </c>
      <c r="D14" s="3606">
        <v>3</v>
      </c>
      <c r="E14" s="131" t="s">
        <v>1282</v>
      </c>
      <c r="F14" s="1751"/>
      <c r="G14" s="1751"/>
      <c r="H14" s="1751"/>
      <c r="I14" s="1367"/>
    </row>
    <row r="15" spans="1:12" ht="12.75">
      <c r="A15" s="3583"/>
      <c r="B15" s="3570"/>
      <c r="C15" s="3587"/>
      <c r="D15" s="3606"/>
      <c r="E15" s="131" t="s">
        <v>1283</v>
      </c>
      <c r="F15" s="1751"/>
      <c r="G15" s="1751"/>
      <c r="H15" s="1751"/>
      <c r="I15" s="1367"/>
    </row>
    <row r="16" spans="1:12" ht="12.75">
      <c r="A16" s="3583"/>
      <c r="B16" s="3570"/>
      <c r="C16" s="3588"/>
      <c r="D16" s="3606"/>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3" t="s">
        <v>2130</v>
      </c>
      <c r="F18" s="3594"/>
      <c r="G18" s="3594"/>
      <c r="H18" s="3594"/>
      <c r="I18" s="3594"/>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SUMIF(INDIRECT("'"&amp;C4&amp;"'"&amp;"!A:A"),'结果表-1803'!B19,INDIRECT("'"&amp;C4&amp;"'"&amp;"!B:B"))</f>
        <v>440.32150000000001</v>
      </c>
      <c r="D19" s="135">
        <f ca="1">SUMIF(INDIRECT("'"&amp;D4&amp;"'"&amp;"!A:A"),'结果表-1803'!B19,INDIRECT("'"&amp;D4&amp;"'"&amp;"!B:B"))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SUMIF(INDIRECT("'"&amp;C4&amp;"'"&amp;"!A:A"),'结果表-1803'!B20,INDIRECT("'"&amp;C4&amp;"'"&amp;"!B:B"))</f>
        <v>29824</v>
      </c>
      <c r="D20" s="138">
        <f ca="1">SUMIF(INDIRECT("'"&amp;D4&amp;"'"&amp;"!A:A"),'结果表-1803'!B20,INDIRECT("'"&amp;D4&amp;"'"&amp;"!B:B"))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577" t="s">
        <v>1299</v>
      </c>
      <c r="B24" s="1756" t="s">
        <v>1291</v>
      </c>
      <c r="C24" s="136">
        <f>IF(B30=0,0,D30)</f>
        <v>0</v>
      </c>
      <c r="D24" s="1763"/>
      <c r="E24" s="129"/>
      <c r="F24" s="129"/>
      <c r="G24" s="129"/>
      <c r="H24" s="129"/>
      <c r="I24" s="129"/>
    </row>
    <row r="25" spans="1:36" ht="14.25">
      <c r="A25" s="3578"/>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3404</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597" t="s">
        <v>1312</v>
      </c>
      <c r="B36" s="1781" t="s">
        <v>1313</v>
      </c>
      <c r="C36" s="145"/>
      <c r="D36" s="1782"/>
      <c r="E36" s="1783"/>
      <c r="F36" s="1784"/>
      <c r="G36" s="129"/>
      <c r="H36" s="129"/>
      <c r="I36" s="129"/>
    </row>
    <row r="37" spans="1:15" ht="15.75" thickBot="1">
      <c r="A37" s="3598"/>
      <c r="B37" s="1668" t="s">
        <v>1314</v>
      </c>
      <c r="C37" s="147"/>
      <c r="D37" s="1133"/>
      <c r="E37" s="1133"/>
      <c r="F37" s="1784"/>
      <c r="G37" s="129"/>
      <c r="H37" s="129"/>
      <c r="I37" s="129"/>
    </row>
    <row r="38" spans="1:15" ht="15.75" thickBot="1">
      <c r="A38" s="3599"/>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4" t="s">
        <v>1326</v>
      </c>
      <c r="B45" s="3575"/>
      <c r="C45" s="3576"/>
      <c r="D45" s="155">
        <f ca="1">ROUND(H101*F45,0)</f>
        <v>395</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0"/>
      <c r="I46" s="159"/>
      <c r="J46" s="2517">
        <v>1</v>
      </c>
      <c r="K46" s="3633" t="s">
        <v>1331</v>
      </c>
      <c r="L46" s="3633"/>
      <c r="M46" s="3653"/>
      <c r="N46" s="3653"/>
      <c r="O46" s="3653"/>
    </row>
    <row r="47" spans="1:15" ht="12" customHeight="1">
      <c r="A47" s="160" t="s">
        <v>1332</v>
      </c>
      <c r="B47" s="161"/>
      <c r="C47" s="162"/>
      <c r="D47" s="1081" t="s">
        <v>1333</v>
      </c>
      <c r="E47" s="302" t="s">
        <v>1334</v>
      </c>
      <c r="F47" s="163" t="s">
        <v>1335</v>
      </c>
      <c r="G47" s="2540" t="s">
        <v>1336</v>
      </c>
      <c r="H47" s="2541"/>
      <c r="I47" s="159"/>
      <c r="J47" s="2517">
        <v>2</v>
      </c>
      <c r="K47" s="3633" t="s">
        <v>1337</v>
      </c>
      <c r="L47" s="3633"/>
      <c r="M47" s="3654">
        <f>'数据-取费表'!B2</f>
        <v>45506</v>
      </c>
      <c r="N47" s="3654"/>
      <c r="O47" s="3654"/>
    </row>
    <row r="48" spans="1:15" ht="25.5">
      <c r="A48" s="3602" t="s">
        <v>1338</v>
      </c>
      <c r="B48" s="3585"/>
      <c r="C48" s="3585"/>
      <c r="D48" s="2318">
        <f ca="1">IF(H48="情况1",0,IF(H48="情况2",D52,IF(H48="情况3",D53,IF(H48="情况4",D54))))</f>
        <v>0</v>
      </c>
      <c r="E48" s="2328" t="str">
        <f>IF(H48="情况4","(销售额-原购置价)×税（费）率","销售额×税（费）率")</f>
        <v>(销售额-原购置价)×税（费）率</v>
      </c>
      <c r="F48" s="2542">
        <f>IF(H48="情况1","免征",'数据-取费表'!B41)</f>
        <v>5.6000000000000001E-2</v>
      </c>
      <c r="G48" s="2543" t="s">
        <v>1339</v>
      </c>
      <c r="H48" s="2544" t="s">
        <v>3440</v>
      </c>
      <c r="I48" s="1800"/>
      <c r="J48" s="2517">
        <v>3</v>
      </c>
      <c r="K48" s="3633" t="s">
        <v>1340</v>
      </c>
      <c r="L48" s="3633"/>
      <c r="M48" s="3655">
        <f ca="1">H101</f>
        <v>395</v>
      </c>
      <c r="N48" s="3655"/>
      <c r="O48" s="3655"/>
    </row>
    <row r="49" spans="1:35" ht="25.5" customHeight="1">
      <c r="A49" s="2327" t="s">
        <v>1341</v>
      </c>
      <c r="B49" s="3569" t="s">
        <v>1342</v>
      </c>
      <c r="C49" s="3569"/>
      <c r="D49" s="1584">
        <v>0</v>
      </c>
      <c r="E49" s="324" t="s">
        <v>1343</v>
      </c>
      <c r="F49" s="2418" t="s">
        <v>28</v>
      </c>
      <c r="G49" s="3639"/>
      <c r="H49" s="2304" t="s">
        <v>2133</v>
      </c>
      <c r="I49" s="2305"/>
      <c r="J49" s="2517">
        <v>4</v>
      </c>
      <c r="K49" s="3633" t="str">
        <f>IF(项目基本情况!E8="房地产抵押价值","房地产抵押价值","抵押担保权已注销时的房地产抵押价值")</f>
        <v>房地产抵押价值</v>
      </c>
      <c r="L49" s="3633"/>
      <c r="M49" s="3655">
        <f ca="1">IF(项目基本情况!E8="房地产抵押价值",H107,H109)</f>
        <v>395</v>
      </c>
      <c r="N49" s="3655"/>
      <c r="O49" s="3655"/>
    </row>
    <row r="50" spans="1:35" ht="25.5" customHeight="1">
      <c r="A50" s="2545"/>
      <c r="B50" s="3569" t="s">
        <v>1344</v>
      </c>
      <c r="C50" s="3569"/>
      <c r="D50" s="2546"/>
      <c r="E50" s="332"/>
      <c r="F50" s="2418"/>
      <c r="G50" s="3640"/>
      <c r="H50" s="2306" t="s">
        <v>2134</v>
      </c>
      <c r="I50" s="2305"/>
      <c r="J50" s="3652" t="s">
        <v>1345</v>
      </c>
      <c r="K50" s="3652"/>
      <c r="L50" s="3652"/>
      <c r="M50" s="3652"/>
      <c r="N50" s="3652"/>
      <c r="O50" s="3652"/>
    </row>
    <row r="51" spans="1:35" ht="20.45" customHeight="1">
      <c r="A51" s="2547"/>
      <c r="B51" s="3569" t="s">
        <v>1346</v>
      </c>
      <c r="C51" s="3569"/>
      <c r="D51" s="1081"/>
      <c r="E51" s="327"/>
      <c r="F51" s="2418"/>
      <c r="G51" s="3641"/>
      <c r="H51" s="2306" t="s">
        <v>2135</v>
      </c>
      <c r="I51" s="2305"/>
      <c r="J51" s="2518" t="s">
        <v>1347</v>
      </c>
      <c r="K51" s="3633" t="s">
        <v>1348</v>
      </c>
      <c r="L51" s="3633"/>
      <c r="M51" s="2518" t="s">
        <v>1349</v>
      </c>
      <c r="N51" s="2518" t="s">
        <v>1350</v>
      </c>
      <c r="O51" s="2518" t="s">
        <v>1351</v>
      </c>
    </row>
    <row r="52" spans="1:35" ht="24" customHeight="1">
      <c r="A52" s="2329" t="s">
        <v>1352</v>
      </c>
      <c r="B52" s="3569" t="s">
        <v>1353</v>
      </c>
      <c r="C52" s="3569"/>
      <c r="D52" s="1081">
        <f ca="1">ROUND(D45*'数据-取费表'!B41/(1+'数据-取费表'!C42),0)</f>
        <v>21</v>
      </c>
      <c r="E52" s="2328" t="s">
        <v>1354</v>
      </c>
      <c r="F52" s="2548">
        <f>'数据-取费表'!B41</f>
        <v>5.6000000000000001E-2</v>
      </c>
      <c r="G52" s="2549"/>
      <c r="H52" s="2538"/>
      <c r="I52" s="1801"/>
      <c r="J52" s="2517">
        <v>1</v>
      </c>
      <c r="K52" s="3634" t="s">
        <v>1355</v>
      </c>
      <c r="L52" s="3634"/>
      <c r="M52" s="2519">
        <f ca="1">D48</f>
        <v>0</v>
      </c>
      <c r="N52" s="2517" t="str">
        <f>E48</f>
        <v>(销售额-原购置价)×税（费）率</v>
      </c>
      <c r="O52" s="2520">
        <f>F48</f>
        <v>5.6000000000000001E-2</v>
      </c>
    </row>
    <row r="53" spans="1:35" ht="12" customHeight="1">
      <c r="A53" s="2329" t="s">
        <v>1356</v>
      </c>
      <c r="B53" s="3595" t="s">
        <v>2290</v>
      </c>
      <c r="C53" s="3596"/>
      <c r="D53" s="1081">
        <f ca="1">ROUND(D45*'数据-取费表'!B41/(1+'数据-取费表'!C42),0)</f>
        <v>21</v>
      </c>
      <c r="E53" s="2328" t="s">
        <v>1354</v>
      </c>
      <c r="F53" s="2548">
        <f>'数据-取费表'!B41</f>
        <v>5.6000000000000001E-2</v>
      </c>
      <c r="G53" s="2549"/>
      <c r="H53" s="2538"/>
      <c r="I53" s="1801"/>
      <c r="J53" s="2517">
        <v>2</v>
      </c>
      <c r="K53" s="3634" t="s">
        <v>1357</v>
      </c>
      <c r="L53" s="3634"/>
      <c r="M53" s="2519">
        <f t="shared" ref="M53:O54" ca="1" si="0">D55</f>
        <v>0</v>
      </c>
      <c r="N53" s="2517" t="str">
        <f t="shared" si="0"/>
        <v>销售额×税（费）率</v>
      </c>
      <c r="O53" s="2520">
        <f t="shared" si="0"/>
        <v>5.0000000000000001E-4</v>
      </c>
    </row>
    <row r="54" spans="1:35" ht="12" customHeight="1">
      <c r="A54" s="2329" t="s">
        <v>1358</v>
      </c>
      <c r="B54" s="3595" t="s">
        <v>2291</v>
      </c>
      <c r="C54" s="3596"/>
      <c r="D54" s="1081">
        <f ca="1">C68</f>
        <v>0</v>
      </c>
      <c r="E54" s="327" t="s">
        <v>1359</v>
      </c>
      <c r="F54" s="2548">
        <f>'数据-取费表'!B41</f>
        <v>5.6000000000000001E-2</v>
      </c>
      <c r="G54" s="2549"/>
      <c r="H54" s="2550"/>
      <c r="I54" s="1801"/>
      <c r="J54" s="2517">
        <v>3</v>
      </c>
      <c r="K54" s="3634" t="s">
        <v>1360</v>
      </c>
      <c r="L54" s="3634"/>
      <c r="M54" s="2519">
        <f t="shared" ca="1" si="0"/>
        <v>0</v>
      </c>
      <c r="N54" s="2517" t="str">
        <f t="shared" si="0"/>
        <v>增值额×税（费）率</v>
      </c>
      <c r="O54" s="2521" t="str">
        <f t="shared" si="0"/>
        <v>——</v>
      </c>
    </row>
    <row r="55" spans="1:35" ht="24" customHeight="1">
      <c r="A55" s="3584" t="s">
        <v>1361</v>
      </c>
      <c r="B55" s="3585"/>
      <c r="C55" s="3585"/>
      <c r="D55" s="2318">
        <f ca="1">IF(H55="个人住宅",0,ROUND(D45*I55,0))</f>
        <v>0</v>
      </c>
      <c r="E55" s="2328" t="s">
        <v>1362</v>
      </c>
      <c r="F55" s="2548">
        <f>IF(H55="正常",I55,"免征")</f>
        <v>5.0000000000000001E-4</v>
      </c>
      <c r="G55" s="2549"/>
      <c r="H55" s="2544" t="s">
        <v>3400</v>
      </c>
      <c r="I55" s="165">
        <f>'数据-取费表'!B49</f>
        <v>5.0000000000000001E-4</v>
      </c>
      <c r="J55" s="2517" t="str">
        <f>IF(H59="非个人房产","",4)</f>
        <v/>
      </c>
      <c r="K55" s="3634" t="str">
        <f>IF(H59="非个人房产","——","个人所得税")</f>
        <v>——</v>
      </c>
      <c r="L55" s="3634"/>
      <c r="M55" s="2522" t="str">
        <f>D59</f>
        <v>——</v>
      </c>
      <c r="N55" s="2034" t="str">
        <f>E59</f>
        <v>——</v>
      </c>
      <c r="O55" s="2523" t="str">
        <f>F59</f>
        <v>——</v>
      </c>
    </row>
    <row r="56" spans="1:35" ht="24.75">
      <c r="A56" s="3584" t="s">
        <v>1363</v>
      </c>
      <c r="B56" s="3585"/>
      <c r="C56" s="3585"/>
      <c r="D56" s="2318">
        <f ca="1">IF(H56="个人住宅",D57,D58)</f>
        <v>0</v>
      </c>
      <c r="E56" s="2328" t="s">
        <v>1364</v>
      </c>
      <c r="F56" s="2548" t="str">
        <f>IF(H56="正常",F58,"免征")</f>
        <v>——</v>
      </c>
      <c r="G56" s="2551" t="s">
        <v>1365</v>
      </c>
      <c r="H56" s="2552" t="s">
        <v>3400</v>
      </c>
      <c r="I56" s="1802"/>
      <c r="J56" s="2517" t="str">
        <f>IF(项目基本情况!K6="上海银行",IF(J55="",4,J55+1),"")</f>
        <v/>
      </c>
      <c r="K56" s="3657" t="str">
        <f>IF(项目基本情况!K6="上海银行","其他处置费用","")</f>
        <v/>
      </c>
      <c r="L56" s="3658"/>
      <c r="M56" s="2519" t="str">
        <f>IF(项目基本情况!K6="上海银行",M69,"")</f>
        <v/>
      </c>
      <c r="N56" s="3657" t="str">
        <f>IF(项目基本情况!K6="上海银行","包含处置中涉及的律师、诉讼、拍卖、评估等费用","")</f>
        <v/>
      </c>
      <c r="O56" s="3660"/>
    </row>
    <row r="57" spans="1:35" ht="12.75">
      <c r="A57" s="2329" t="s">
        <v>1341</v>
      </c>
      <c r="B57" s="3595" t="s">
        <v>1366</v>
      </c>
      <c r="C57" s="3596"/>
      <c r="D57" s="1584">
        <v>0</v>
      </c>
      <c r="E57" s="324" t="s">
        <v>1343</v>
      </c>
      <c r="F57" s="302"/>
      <c r="G57" s="2549"/>
      <c r="H57" s="2553"/>
      <c r="I57" s="1802"/>
      <c r="J57" s="3634">
        <f>IF(AND(J55="",J56=""),4,IF(项目基本情况!K6="上海银行",'结果表-1803'!J56+1,'结果表-1803'!J55+1))</f>
        <v>4</v>
      </c>
      <c r="K57" s="3634" t="s">
        <v>1367</v>
      </c>
      <c r="L57" s="2524" t="s">
        <v>1368</v>
      </c>
      <c r="M57" s="2525"/>
      <c r="N57" s="2526">
        <f ca="1">SUMIF(M52:M56,"&lt;9e307")</f>
        <v>0</v>
      </c>
      <c r="O57" s="2527"/>
      <c r="P57" s="2684">
        <f ca="1">N57/M49</f>
        <v>0</v>
      </c>
    </row>
    <row r="58" spans="1:35" ht="24.75">
      <c r="A58" s="2329" t="s">
        <v>1352</v>
      </c>
      <c r="B58" s="3595" t="s">
        <v>1369</v>
      </c>
      <c r="C58" s="3569"/>
      <c r="D58" s="2318">
        <f ca="1">IF(H58="转让取得",C81,C97)</f>
        <v>0</v>
      </c>
      <c r="E58" s="2328" t="s">
        <v>1364</v>
      </c>
      <c r="F58" s="302" t="s">
        <v>28</v>
      </c>
      <c r="G58" s="2549"/>
      <c r="H58" s="2552" t="s">
        <v>3441</v>
      </c>
      <c r="I58" s="1802"/>
      <c r="J58" s="3634"/>
      <c r="K58" s="3634"/>
      <c r="L58" s="2524" t="s">
        <v>1370</v>
      </c>
      <c r="M58" s="2528"/>
      <c r="N58" s="2529" t="str">
        <f ca="1">NUMBERSTRING(INT(N57*10000),2)&amp;"元整"</f>
        <v>零元整</v>
      </c>
      <c r="O58" s="2530"/>
    </row>
    <row r="59" spans="1:35" ht="24.75" thickBot="1">
      <c r="A59" s="3637" t="s">
        <v>1371</v>
      </c>
      <c r="B59" s="3638"/>
      <c r="C59" s="363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3442</v>
      </c>
      <c r="I59" s="2307" t="s">
        <v>2136</v>
      </c>
      <c r="J59" s="3635">
        <f>J57+1</f>
        <v>5</v>
      </c>
      <c r="K59" s="3634" t="s">
        <v>1372</v>
      </c>
      <c r="L59" s="2517" t="s">
        <v>1368</v>
      </c>
      <c r="M59" s="2531"/>
      <c r="N59" s="2532">
        <f ca="1">M49-N57</f>
        <v>395</v>
      </c>
      <c r="O59" s="2533"/>
    </row>
    <row r="60" spans="1:35" ht="12" customHeight="1">
      <c r="A60" s="1803"/>
      <c r="B60" s="1741"/>
      <c r="C60" s="1741"/>
      <c r="D60" s="1741"/>
      <c r="E60" s="1572"/>
      <c r="F60" s="1802"/>
      <c r="G60" s="1802"/>
      <c r="H60" s="1804"/>
      <c r="I60" s="129"/>
      <c r="J60" s="3636"/>
      <c r="K60" s="3634"/>
      <c r="L60" s="2524" t="s">
        <v>1370</v>
      </c>
      <c r="M60" s="2528"/>
      <c r="N60" s="2529" t="str">
        <f ca="1">NUMBERSTRING(INT(N59*10000),2)&amp;"元整"</f>
        <v>叁佰玖拾伍万元整</v>
      </c>
      <c r="O60" s="2530"/>
    </row>
    <row r="61" spans="1:35" ht="13.5" thickBot="1">
      <c r="A61" s="3582" t="s">
        <v>1373</v>
      </c>
      <c r="B61" s="3582"/>
      <c r="C61" s="3582"/>
      <c r="D61" s="3582"/>
      <c r="E61" s="3582"/>
      <c r="F61" s="1802"/>
      <c r="G61" s="1802"/>
      <c r="H61" s="1804"/>
      <c r="I61" s="129"/>
      <c r="J61" s="2517">
        <f>J59+1</f>
        <v>6</v>
      </c>
      <c r="K61" s="3634" t="s">
        <v>1374</v>
      </c>
      <c r="L61" s="3634"/>
      <c r="M61" s="2534"/>
      <c r="N61" s="2535">
        <f ca="1">ROUND(N59*10000/'数据-汇总表'!E3,0)</f>
        <v>5744</v>
      </c>
      <c r="O61" s="2536"/>
    </row>
    <row r="62" spans="1:35" ht="12.75">
      <c r="A62" s="3600" t="s">
        <v>1375</v>
      </c>
      <c r="B62" s="3601"/>
      <c r="C62" s="2015"/>
      <c r="D62" s="2015"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659" t="s">
        <v>1379</v>
      </c>
      <c r="K63" s="1326" t="s">
        <v>1380</v>
      </c>
      <c r="L63" s="1326">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659"/>
      <c r="K64" s="1326" t="s">
        <v>1382</v>
      </c>
      <c r="L64" s="1326">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659"/>
      <c r="K65" s="1326" t="s">
        <v>1385</v>
      </c>
      <c r="L65" s="1326">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ROUND(6002339/1.05/10000,0)</f>
        <v>572</v>
      </c>
      <c r="D66" s="174" t="s">
        <v>26</v>
      </c>
      <c r="E66" s="1332" t="s">
        <v>671</v>
      </c>
      <c r="F66" s="1802"/>
      <c r="G66" s="1802"/>
      <c r="H66" s="1804"/>
      <c r="I66" s="129"/>
      <c r="J66" s="3659"/>
      <c r="K66" s="1326" t="s">
        <v>1387</v>
      </c>
      <c r="L66" s="1326">
        <f ca="1">M49*0.5%</f>
        <v>1.9750000000000001</v>
      </c>
      <c r="M66" s="302">
        <f ca="1">IF(L66&gt;0.5,0.5,ROUND(L66,0))</f>
        <v>0.5</v>
      </c>
      <c r="N66" s="2538" t="s">
        <v>1388</v>
      </c>
      <c r="Z66" s="1746"/>
      <c r="AI66" s="1747"/>
    </row>
    <row r="67" spans="1:35" ht="14.25" customHeight="1">
      <c r="A67" s="173" t="s">
        <v>328</v>
      </c>
      <c r="B67" s="174" t="s">
        <v>1389</v>
      </c>
      <c r="C67" s="2562">
        <f ca="1">C63-C66</f>
        <v>-196</v>
      </c>
      <c r="D67" s="170" t="s">
        <v>26</v>
      </c>
      <c r="E67" s="172"/>
      <c r="F67" s="1802"/>
      <c r="G67" s="1802"/>
      <c r="H67" s="1804"/>
      <c r="I67" s="129"/>
      <c r="J67" s="3659"/>
      <c r="K67" s="1326" t="s">
        <v>1390</v>
      </c>
      <c r="L67" s="1326">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59"/>
      <c r="K68" s="1326" t="s">
        <v>1392</v>
      </c>
      <c r="L68" s="1326">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659"/>
      <c r="K69" s="1326" t="s">
        <v>1393</v>
      </c>
      <c r="L69" s="1326"/>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1" t="s">
        <v>1394</v>
      </c>
      <c r="B70" s="3622"/>
      <c r="C70" s="3622"/>
      <c r="D70" s="3622"/>
      <c r="E70" s="3622"/>
      <c r="F70" s="3622"/>
      <c r="G70" s="3622"/>
      <c r="H70" s="3622"/>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0" t="s">
        <v>1375</v>
      </c>
      <c r="B71" s="3601"/>
      <c r="C71" s="2015"/>
      <c r="D71" s="2015"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2325"/>
      <c r="F72" s="2324"/>
      <c r="G72" s="2324"/>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564</v>
      </c>
      <c r="D73" s="170" t="s">
        <v>26</v>
      </c>
      <c r="E73" s="2325"/>
      <c r="F73" s="2324"/>
      <c r="G73" s="2324"/>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562</v>
      </c>
      <c r="D74" s="170" t="s">
        <v>26</v>
      </c>
      <c r="E74" s="2325"/>
      <c r="F74" s="2324"/>
      <c r="G74" s="2324"/>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C66</f>
        <v>572</v>
      </c>
      <c r="D75" s="170" t="s">
        <v>26</v>
      </c>
      <c r="E75" s="184" t="s">
        <v>1399</v>
      </c>
      <c r="F75" s="2566" t="s">
        <v>3464</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5" t="s">
        <v>1402</v>
      </c>
      <c r="F76" s="3569"/>
      <c r="G76" s="3569"/>
      <c r="H76" s="36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2318" t="s">
        <v>1404</v>
      </c>
      <c r="F77" s="186"/>
      <c r="G77" s="1816" t="s">
        <v>3465</v>
      </c>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579" t="s">
        <v>1406</v>
      </c>
      <c r="F78" s="3580"/>
      <c r="G78" s="3580"/>
      <c r="H78" s="358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-188</v>
      </c>
      <c r="D79" s="170" t="s">
        <v>26</v>
      </c>
      <c r="E79" s="2325"/>
      <c r="F79" s="2324"/>
      <c r="G79" s="2324"/>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2318" t="str">
        <f ca="1">IF(C80&gt;=200%,"增值额超过扣除项目金额200%",IF(C80&gt;=100%,"增值额超过扣除项目金额100%，未超过200%",IF(C80&gt;=50%,"增值额超过扣除项目金额50%，未超过100%",IF(C80&lt;50%,"增值额未超过扣除项目金额50%"))))</f>
        <v>增值额未超过扣除项目金额50%</v>
      </c>
      <c r="F80" s="2324"/>
      <c r="G80" s="2324"/>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1" t="s">
        <v>1410</v>
      </c>
      <c r="B83" s="3622"/>
      <c r="C83" s="3622"/>
      <c r="D83" s="3622"/>
      <c r="E83" s="3622"/>
      <c r="F83" s="3622"/>
      <c r="G83" s="3622"/>
      <c r="H83" s="36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0" t="s">
        <v>1375</v>
      </c>
      <c r="B84" s="3601"/>
      <c r="C84" s="2015"/>
      <c r="D84" s="2015"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2325"/>
      <c r="F85" s="2324"/>
      <c r="G85" s="2324"/>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2325"/>
      <c r="F86" s="2324"/>
      <c r="G86" s="2324"/>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2321"/>
      <c r="G88" s="194" t="s">
        <v>1414</v>
      </c>
      <c r="H88" s="1818"/>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2321"/>
      <c r="G90" s="3661" t="s">
        <v>2128</v>
      </c>
      <c r="H90" s="3662"/>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79" t="s">
        <v>1419</v>
      </c>
      <c r="F91" s="3580"/>
      <c r="G91" s="3580"/>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79" t="s">
        <v>1422</v>
      </c>
      <c r="F92" s="3580"/>
      <c r="G92" s="3580"/>
      <c r="H92" s="3589"/>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579" t="s">
        <v>1406</v>
      </c>
      <c r="F93" s="3580"/>
      <c r="G93" s="3580"/>
      <c r="H93" s="358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0" t="s">
        <v>1426</v>
      </c>
      <c r="F94" s="3591"/>
      <c r="G94" s="3591"/>
      <c r="H94" s="359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2325"/>
      <c r="F95" s="2324"/>
      <c r="G95" s="2324"/>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79" t="str">
        <f>C4</f>
        <v>比较法-办公-1803</v>
      </c>
      <c r="D101" s="2580" t="str">
        <f>D4</f>
        <v>收益法-1803</v>
      </c>
      <c r="E101" s="3656" t="s">
        <v>1431</v>
      </c>
      <c r="F101" s="3613"/>
      <c r="G101" s="1821" t="s">
        <v>1432</v>
      </c>
      <c r="H101" s="2589">
        <f ca="1">H118</f>
        <v>395</v>
      </c>
      <c r="I101" s="129"/>
    </row>
    <row r="102" spans="1:35" ht="18.75" customHeight="1">
      <c r="A102" s="3615" t="s">
        <v>1433</v>
      </c>
      <c r="B102" s="2578" t="s">
        <v>1432</v>
      </c>
      <c r="C102" s="2579">
        <f ca="1">IF(D32="楼面单价",ROUND(C19,0),C19)</f>
        <v>440</v>
      </c>
      <c r="D102" s="2580">
        <f ca="1">IF(D32="楼面单价",ROUND(D19,0),D19)</f>
        <v>290</v>
      </c>
      <c r="E102" s="3656"/>
      <c r="F102" s="3613"/>
      <c r="G102" s="1821" t="s">
        <v>1434</v>
      </c>
      <c r="H102" s="2549">
        <f ca="1">I118</f>
        <v>26774</v>
      </c>
      <c r="I102" s="129"/>
    </row>
    <row r="103" spans="1:35" ht="42.75" customHeight="1">
      <c r="A103" s="3615"/>
      <c r="B103" s="2578" t="s">
        <v>1434</v>
      </c>
      <c r="C103" s="2581">
        <f ca="1">C20</f>
        <v>29824</v>
      </c>
      <c r="D103" s="2582">
        <f ca="1">D20</f>
        <v>19656</v>
      </c>
      <c r="E103" s="3650" t="s">
        <v>1435</v>
      </c>
      <c r="F103" s="3651"/>
      <c r="G103" s="1822" t="s">
        <v>1436</v>
      </c>
      <c r="H103" s="2589">
        <f>IF(D36="正常操作",H104+H105+H106,H105+H106)</f>
        <v>0</v>
      </c>
      <c r="I103" s="129"/>
    </row>
    <row r="104" spans="1:35" ht="18.75" customHeight="1">
      <c r="A104" s="3615"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16"/>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2" t="str">
        <f>IF(项目基本情况!E8="已注销","——","3.房地产抵押价值")</f>
        <v>3.房地产抵押价值</v>
      </c>
      <c r="F107" s="3613"/>
      <c r="G107" s="1821" t="s">
        <v>1432</v>
      </c>
      <c r="H107" s="2589">
        <f ca="1">IF(E107="——","——",H101-H103)</f>
        <v>395</v>
      </c>
      <c r="I107" s="129"/>
    </row>
    <row r="108" spans="1:35" ht="18.75" customHeight="1">
      <c r="A108" s="129"/>
      <c r="B108" s="129"/>
      <c r="C108" s="129"/>
      <c r="D108" s="129"/>
      <c r="E108" s="3612"/>
      <c r="F108" s="3613"/>
      <c r="G108" s="1821" t="s">
        <v>1434</v>
      </c>
      <c r="H108" s="2549">
        <f ca="1">IF(H107=H101,H102,ROUND(H107*10000/'数据-汇总表'!E3,0))</f>
        <v>26774</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1" t="s">
        <v>1432</v>
      </c>
      <c r="H109" s="2592" t="str">
        <f>IF(E109="——","——",H101-H105-H106)</f>
        <v>——</v>
      </c>
      <c r="I109" s="129"/>
    </row>
    <row r="110" spans="1:35" ht="18.75" customHeight="1">
      <c r="A110" s="129"/>
      <c r="B110" s="129"/>
      <c r="C110" s="129"/>
      <c r="D110" s="129"/>
      <c r="E110" s="3612"/>
      <c r="F110" s="3613"/>
      <c r="G110" s="1821" t="s">
        <v>1434</v>
      </c>
      <c r="H110" s="2549"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14"/>
      <c r="G111" s="1821" t="s">
        <v>1432</v>
      </c>
      <c r="H111" s="2589">
        <f ca="1">IF(E111="——","——",N59)</f>
        <v>395</v>
      </c>
      <c r="I111" s="129"/>
    </row>
    <row r="112" spans="1:35" ht="18.75" customHeight="1" thickBot="1">
      <c r="A112" s="129"/>
      <c r="B112" s="129"/>
      <c r="C112" s="129"/>
      <c r="D112" s="129"/>
      <c r="E112" s="3645"/>
      <c r="F112" s="3646"/>
      <c r="G112" s="1824" t="s">
        <v>1434</v>
      </c>
      <c r="H112" s="2593">
        <f ca="1">IF(E111="——","——",N61)</f>
        <v>5744</v>
      </c>
      <c r="I112" s="129"/>
    </row>
    <row r="113" spans="1:27" ht="18.75" customHeight="1">
      <c r="A113" s="129"/>
      <c r="B113" s="129"/>
      <c r="C113" s="129"/>
      <c r="D113" s="129"/>
      <c r="E113" s="3617" t="s">
        <v>1440</v>
      </c>
      <c r="F113" s="3617"/>
      <c r="G113" s="3617"/>
      <c r="H113" s="3617"/>
      <c r="I113" s="129"/>
    </row>
    <row r="114" spans="1:27" ht="3.75" customHeight="1">
      <c r="A114" s="1741"/>
      <c r="B114" s="1741"/>
      <c r="C114" s="1741"/>
      <c r="D114" s="1741"/>
      <c r="E114" s="1803"/>
      <c r="F114" s="1803"/>
      <c r="G114" s="1803"/>
      <c r="H114" s="1803"/>
      <c r="I114" s="1741"/>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3" t="s">
        <v>1449</v>
      </c>
      <c r="E117" s="2323" t="s">
        <v>1450</v>
      </c>
      <c r="F117" s="2323" t="s">
        <v>1449</v>
      </c>
      <c r="G117" s="2323" t="s">
        <v>1451</v>
      </c>
      <c r="H117" s="2323" t="s">
        <v>1449</v>
      </c>
      <c r="I117" s="2323" t="s">
        <v>1451</v>
      </c>
    </row>
    <row r="118" spans="1:27" ht="24.75" customHeight="1">
      <c r="A118" s="2594" t="str">
        <f>项目基本情况!S2</f>
        <v>房地产</v>
      </c>
      <c r="B118" s="2323">
        <f>M18</f>
        <v>147.63999999999999</v>
      </c>
      <c r="C118" s="2323">
        <f>M19</f>
        <v>0</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395</v>
      </c>
      <c r="I118" s="2323">
        <f ca="1">ROUND(IF(D32="楼面单价",C32,H118*10000/B118),0)</f>
        <v>26774</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叁佰玖拾伍万元整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3" t="s">
        <v>1452</v>
      </c>
      <c r="B121" s="3624"/>
      <c r="C121" s="3625"/>
      <c r="D121" s="3623" t="str">
        <f>IF(D120=0,"零元整",NUMBERSTRING(INT(D120*10000),2)&amp;"元整")</f>
        <v>零元整</v>
      </c>
      <c r="E121" s="3624"/>
      <c r="F121" s="3624"/>
      <c r="G121" s="3624"/>
      <c r="H121" s="3624"/>
      <c r="I121" s="3625"/>
      <c r="AA121" s="723"/>
    </row>
    <row r="122" spans="1:27" ht="18.75" customHeight="1">
      <c r="A122" s="3614" t="str">
        <f>IF(项目基本情况!B9="房地产市场价值","",MID(E107,3,LEN(E107)-2))</f>
        <v>房地产抵押价值</v>
      </c>
      <c r="B122" s="3614"/>
      <c r="C122" s="3614"/>
      <c r="D122" s="3647">
        <f ca="1">H107</f>
        <v>395</v>
      </c>
      <c r="E122" s="3648"/>
      <c r="F122" s="3648"/>
      <c r="G122" s="3648"/>
      <c r="H122" s="3648"/>
      <c r="I122" s="3649"/>
      <c r="AA122" s="723"/>
    </row>
    <row r="123" spans="1:27" ht="18.75" customHeight="1">
      <c r="A123" s="3583" t="s">
        <v>1452</v>
      </c>
      <c r="B123" s="3583"/>
      <c r="C123" s="3583"/>
      <c r="D123" s="3623" t="str">
        <f ca="1">NUMBERSTRING(INT(D122*10000),2)&amp;"元整"</f>
        <v>叁佰玖拾伍万元整</v>
      </c>
      <c r="E123" s="3624"/>
      <c r="F123" s="3624"/>
      <c r="G123" s="3624"/>
      <c r="H123" s="3624"/>
      <c r="I123" s="3625"/>
      <c r="AA123" s="723"/>
    </row>
    <row r="124" spans="1:27" ht="18.75" customHeight="1">
      <c r="A124" s="3614" t="str">
        <f>IF(项目基本情况!B9="房地产市场价值","",MID(E109,3,LEN(E109)-2))</f>
        <v/>
      </c>
      <c r="B124" s="3614"/>
      <c r="C124" s="3614"/>
      <c r="D124" s="3647" t="str">
        <f>H109</f>
        <v>——</v>
      </c>
      <c r="E124" s="3648"/>
      <c r="F124" s="3648"/>
      <c r="G124" s="3648"/>
      <c r="H124" s="3648"/>
      <c r="I124" s="3649"/>
      <c r="AA124" s="723"/>
    </row>
    <row r="125" spans="1:27" ht="18.75" customHeight="1">
      <c r="A125" s="3583" t="s">
        <v>1452</v>
      </c>
      <c r="B125" s="3583"/>
      <c r="C125" s="3583"/>
      <c r="D125" s="3623" t="e">
        <f>NUMBERSTRING(INT(D124*10000),2)&amp;"元整"</f>
        <v>#VALUE!</v>
      </c>
      <c r="E125" s="3624"/>
      <c r="F125" s="3624"/>
      <c r="G125" s="3624"/>
      <c r="H125" s="3624"/>
      <c r="I125" s="3625"/>
      <c r="AA125" s="723"/>
    </row>
    <row r="126" spans="1:27" ht="18.75" customHeight="1">
      <c r="A126" s="3614" t="str">
        <f>IF(项目基本情况!B9="房地产市场价值","",MID(E111,3,LEN(E111)-2))</f>
        <v>抵押净值</v>
      </c>
      <c r="B126" s="3614"/>
      <c r="C126" s="3614"/>
      <c r="D126" s="3647">
        <f ca="1">H111</f>
        <v>395</v>
      </c>
      <c r="E126" s="3648"/>
      <c r="F126" s="3648"/>
      <c r="G126" s="3648"/>
      <c r="H126" s="3648"/>
      <c r="I126" s="3649"/>
      <c r="AA126" s="723"/>
    </row>
    <row r="127" spans="1:27" ht="18.75" customHeight="1">
      <c r="A127" s="3583" t="s">
        <v>1452</v>
      </c>
      <c r="B127" s="3583"/>
      <c r="C127" s="3583"/>
      <c r="D127" s="3623" t="str">
        <f ca="1">NUMBERSTRING(INT(D126*10000),2)&amp;"元整"</f>
        <v>叁佰玖拾伍万元整</v>
      </c>
      <c r="E127" s="3624"/>
      <c r="F127" s="3624"/>
      <c r="G127" s="3624"/>
      <c r="H127" s="3624"/>
      <c r="I127" s="3625"/>
      <c r="AA127" s="723"/>
    </row>
    <row r="128" spans="1:27" ht="21.75" customHeight="1">
      <c r="A128" s="3630" t="s">
        <v>1453</v>
      </c>
      <c r="B128" s="3630"/>
      <c r="C128" s="3630"/>
      <c r="D128" s="3630"/>
      <c r="E128" s="3630"/>
      <c r="F128" s="3630"/>
      <c r="G128" s="3630"/>
      <c r="H128" s="3630"/>
      <c r="I128" s="3630"/>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81" priority="21" stopIfTrue="1" operator="equal">
      <formula>25</formula>
    </cfRule>
  </conditionalFormatting>
  <conditionalFormatting sqref="C8:C9">
    <cfRule type="cellIs" dxfId="280" priority="19" stopIfTrue="1" operator="equal">
      <formula>15</formula>
    </cfRule>
  </conditionalFormatting>
  <conditionalFormatting sqref="C14:C16">
    <cfRule type="cellIs" dxfId="279" priority="13" stopIfTrue="1" operator="equal">
      <formula>30</formula>
    </cfRule>
  </conditionalFormatting>
  <conditionalFormatting sqref="D5:D7">
    <cfRule type="cellIs" dxfId="278" priority="10" stopIfTrue="1" operator="equal">
      <formula>25</formula>
    </cfRule>
  </conditionalFormatting>
  <conditionalFormatting sqref="D8:D9">
    <cfRule type="cellIs" dxfId="277" priority="9" stopIfTrue="1" operator="equal">
      <formula>15</formula>
    </cfRule>
  </conditionalFormatting>
  <conditionalFormatting sqref="C10:D13">
    <cfRule type="cellIs" dxfId="276" priority="8" stopIfTrue="1" operator="equal">
      <formula>15</formula>
    </cfRule>
  </conditionalFormatting>
  <conditionalFormatting sqref="D14:D16">
    <cfRule type="cellIs" dxfId="275" priority="6" stopIfTrue="1" operator="equal">
      <formula>30</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E36">
    <cfRule type="expression" dxfId="2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0" t="str">
        <f>项目基本情况!B1</f>
        <v>房地产抵押价值预评估</v>
      </c>
      <c r="C37" s="3480"/>
      <c r="D37" s="3480"/>
      <c r="E37" s="3480"/>
      <c r="F37" s="3480"/>
      <c r="G37" s="3480"/>
      <c r="H37" s="3480"/>
      <c r="I37" s="3480"/>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0">
        <f>MATCH(B1,'数据-取费表'!A6:A16,0)+5</f>
        <v>10</v>
      </c>
    </row>
    <row r="2" spans="1:9" s="200" customFormat="1" ht="18" customHeight="1">
      <c r="A2" s="201" t="s">
        <v>1462</v>
      </c>
      <c r="B2" s="202">
        <f ca="1">IF(D2="——",C52,C52-E2)</f>
        <v>185434</v>
      </c>
      <c r="C2" s="199" t="s">
        <v>1463</v>
      </c>
      <c r="D2" s="1847" t="s">
        <v>43</v>
      </c>
      <c r="E2" s="1163"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2696712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137526</v>
      </c>
      <c r="D5" s="211" t="s">
        <v>1469</v>
      </c>
      <c r="E5" s="212" t="s">
        <v>1470</v>
      </c>
      <c r="F5" s="212" t="s">
        <v>1471</v>
      </c>
      <c r="G5" s="213"/>
    </row>
    <row r="6" spans="1:9" s="214" customFormat="1" ht="13.5" customHeight="1">
      <c r="A6" s="772" t="s">
        <v>1472</v>
      </c>
      <c r="B6" s="215" t="s">
        <v>1473</v>
      </c>
      <c r="C6" s="216"/>
      <c r="D6" s="217"/>
      <c r="E6" s="218"/>
      <c r="F6" s="218"/>
      <c r="G6" s="219"/>
    </row>
    <row r="7" spans="1:9" s="214" customFormat="1" ht="13.5" customHeight="1">
      <c r="A7" s="772" t="s">
        <v>1474</v>
      </c>
      <c r="B7" s="215" t="s">
        <v>1475</v>
      </c>
      <c r="C7" s="220">
        <f>ROUND(C6*F7,0)</f>
        <v>0</v>
      </c>
      <c r="D7" s="220"/>
      <c r="E7" s="218"/>
      <c r="F7" s="221">
        <f>IF(项目基本情况!B8="出让",0,'数据-取费表'!B48+'数据-取费表'!B49)</f>
        <v>3.0499999999999999E-2</v>
      </c>
      <c r="G7" s="219"/>
    </row>
    <row r="8" spans="1:9" s="223" customFormat="1">
      <c r="A8" s="772" t="s">
        <v>1476</v>
      </c>
      <c r="B8" s="215" t="s">
        <v>1477</v>
      </c>
      <c r="C8" s="220">
        <f>IF(G8="已包含在土地购买价格中","0",IF(B1="",'数据-取费表'!B29,IF(G9="全部缴纳",C9+C10,H9)))</f>
        <v>137526</v>
      </c>
      <c r="D8" s="222"/>
      <c r="E8" s="220"/>
      <c r="F8" s="221"/>
      <c r="G8" s="1850"/>
    </row>
    <row r="9" spans="1:9" s="214" customFormat="1" ht="13.5" customHeight="1">
      <c r="A9" s="773" t="s">
        <v>355</v>
      </c>
      <c r="B9" s="224" t="s">
        <v>1478</v>
      </c>
      <c r="C9" s="225">
        <f ca="1">ROUND(D9*E9/10000,0)</f>
        <v>0</v>
      </c>
      <c r="D9" s="839">
        <f ca="1">IF(B1="",'数据-汇总表'!E5,IF(INDIRECT("'数据-取费表'!c"&amp;$G$1)="住宅",INDIRECT("'数据-取费表'!k"&amp;$G$1),0))</f>
        <v>0</v>
      </c>
      <c r="E9" s="225">
        <f>'数据-取费表'!B27</f>
        <v>0</v>
      </c>
      <c r="F9" s="221"/>
      <c r="G9" s="1851"/>
      <c r="H9" s="1131"/>
      <c r="I9" s="1852" t="s">
        <v>1479</v>
      </c>
    </row>
    <row r="10" spans="1:9" s="214" customFormat="1" ht="13.5" customHeight="1">
      <c r="A10" s="773" t="s">
        <v>356</v>
      </c>
      <c r="B10" s="224" t="s">
        <v>1480</v>
      </c>
      <c r="C10" s="225">
        <f ca="1">ROUND(D10*E10/10000,0)</f>
        <v>14</v>
      </c>
      <c r="D10" s="839">
        <f ca="1">IF(B1="",'数据-汇总表'!E6,IF(INDIRECT("'数据-取费表'!c"&amp;$G$1)="住宅",INDIRECT("'数据-取费表'!s"&amp;$G$1),INDIRECT("'数据-取费表'!k"&amp;$G$1)+INDIRECT("'数据-取费表'!s"&amp;$G$1)))</f>
        <v>687.62999999999988</v>
      </c>
      <c r="E10" s="225">
        <f>'数据-取费表'!B28</f>
        <v>200</v>
      </c>
      <c r="F10" s="221"/>
      <c r="G10" s="226"/>
    </row>
    <row r="11" spans="1:9" s="214" customFormat="1" ht="13.5" hidden="1" customHeight="1">
      <c r="A11" s="227" t="s">
        <v>4</v>
      </c>
      <c r="B11" s="215" t="s">
        <v>1481</v>
      </c>
      <c r="C11" s="211"/>
      <c r="D11" s="841"/>
      <c r="E11" s="218"/>
      <c r="F11" s="218"/>
      <c r="G11" s="219"/>
    </row>
    <row r="12" spans="1:9" s="214" customFormat="1" ht="13.5" hidden="1" customHeight="1">
      <c r="A12" s="227" t="s">
        <v>5</v>
      </c>
      <c r="B12" s="215" t="s">
        <v>1482</v>
      </c>
      <c r="C12" s="211">
        <v>0</v>
      </c>
      <c r="D12" s="841"/>
      <c r="E12" s="228"/>
      <c r="F12" s="221">
        <v>3.0499999999999999E-2</v>
      </c>
      <c r="G12" s="219"/>
    </row>
    <row r="13" spans="1:9" s="214" customFormat="1" ht="13.5" hidden="1" customHeight="1">
      <c r="A13" s="227" t="s">
        <v>6</v>
      </c>
      <c r="B13" s="215" t="s">
        <v>1483</v>
      </c>
      <c r="C13" s="211"/>
      <c r="D13" s="841"/>
      <c r="E13" s="218"/>
      <c r="F13" s="218"/>
      <c r="G13" s="219"/>
    </row>
    <row r="14" spans="1:9" s="214" customFormat="1" ht="13.5" hidden="1" customHeight="1">
      <c r="A14" s="227" t="s">
        <v>7</v>
      </c>
      <c r="B14" s="215" t="s">
        <v>1484</v>
      </c>
      <c r="C14" s="211"/>
      <c r="D14" s="841"/>
      <c r="E14" s="218"/>
      <c r="F14" s="218"/>
      <c r="G14" s="219" t="s">
        <v>1485</v>
      </c>
    </row>
    <row r="15" spans="1:9" s="214" customFormat="1" ht="13.5" hidden="1" customHeight="1">
      <c r="A15" s="227" t="s">
        <v>8</v>
      </c>
      <c r="B15" s="215" t="s">
        <v>1486</v>
      </c>
      <c r="C15" s="220"/>
      <c r="D15" s="841"/>
      <c r="E15" s="218"/>
      <c r="F15" s="218"/>
      <c r="G15" s="219" t="s">
        <v>1487</v>
      </c>
    </row>
    <row r="16" spans="1:9" s="214" customFormat="1" ht="13.5" hidden="1" customHeight="1">
      <c r="A16" s="227" t="s">
        <v>9</v>
      </c>
      <c r="B16" s="215" t="s">
        <v>1484</v>
      </c>
      <c r="C16" s="220"/>
      <c r="D16" s="841"/>
      <c r="E16" s="218"/>
      <c r="F16" s="218"/>
      <c r="G16" s="219"/>
    </row>
    <row r="17" spans="1:7" s="214" customFormat="1" ht="13.5" hidden="1" customHeight="1">
      <c r="A17" s="227" t="s">
        <v>10</v>
      </c>
      <c r="B17" s="215" t="s">
        <v>1488</v>
      </c>
      <c r="C17" s="229"/>
      <c r="D17" s="842"/>
      <c r="E17" s="229"/>
      <c r="F17" s="229"/>
      <c r="G17" s="219" t="s">
        <v>1487</v>
      </c>
    </row>
    <row r="18" spans="1:7" s="214" customFormat="1" ht="13.5" hidden="1" customHeight="1">
      <c r="A18" s="227" t="s">
        <v>11</v>
      </c>
      <c r="B18" s="215" t="s">
        <v>1489</v>
      </c>
      <c r="C18" s="220">
        <v>0</v>
      </c>
      <c r="D18" s="841"/>
      <c r="E18" s="218"/>
      <c r="F18" s="221">
        <v>3.0499999999999999E-2</v>
      </c>
      <c r="G18" s="219" t="s">
        <v>1490</v>
      </c>
    </row>
    <row r="19" spans="1:7" s="223" customFormat="1" ht="13.5" customHeight="1">
      <c r="A19" s="255" t="s">
        <v>1491</v>
      </c>
      <c r="B19" s="210" t="s">
        <v>1492</v>
      </c>
      <c r="C19" s="211">
        <f ca="1">IF(G19="已包含在土地取得成本中","0",ROUND(D19*E19/10000,0))</f>
        <v>14</v>
      </c>
      <c r="D19" s="843">
        <f ca="1">D9+D10</f>
        <v>687.62999999999988</v>
      </c>
      <c r="E19" s="211">
        <f>'数据-取费表'!B31</f>
        <v>200</v>
      </c>
      <c r="F19" s="231"/>
      <c r="G19" s="1850"/>
    </row>
    <row r="20" spans="1:7" s="214" customFormat="1" ht="13.5" customHeight="1">
      <c r="A20" s="255" t="s">
        <v>1493</v>
      </c>
      <c r="B20" s="210" t="s">
        <v>1494</v>
      </c>
      <c r="C20" s="232">
        <f ca="1">ROUND((C5+C19)*F20,0)</f>
        <v>2751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8">
        <f ca="1">ROUND(SUM(C23:C25),0)</f>
        <v>9462</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4" t="s">
        <v>1502</v>
      </c>
      <c r="B23" s="215" t="s">
        <v>1503</v>
      </c>
      <c r="C23" s="1099">
        <f ca="1">ROUND(IF('数据-取费表'!B22&lt;=1,C5*F22*'数据-取费表'!B23,C5*(POWER((1+F22),'数据-取费表'!B23)-1)),0)</f>
        <v>9369</v>
      </c>
      <c r="D23" s="238"/>
      <c r="E23" s="238"/>
      <c r="F23" s="239"/>
      <c r="G23" s="240" t="s">
        <v>1504</v>
      </c>
    </row>
    <row r="24" spans="1:7" s="214" customFormat="1" ht="13.5" customHeight="1">
      <c r="A24" s="774" t="s">
        <v>1505</v>
      </c>
      <c r="B24" s="215" t="s">
        <v>1506</v>
      </c>
      <c r="C24" s="1099">
        <f ca="1">ROUND(IF('数据-取费表'!B22&lt;=1,C19*F22*('数据-取费表'!B19/2+'数据-取费表'!B21),C19*(POWER((1+F22),('数据-取费表'!B19/2+'数据-取费表'!B21))-1)),0)</f>
        <v>1</v>
      </c>
      <c r="D24" s="238"/>
      <c r="E24" s="238"/>
      <c r="F24" s="239"/>
      <c r="G24" s="240" t="s">
        <v>1507</v>
      </c>
    </row>
    <row r="25" spans="1:7" s="214" customFormat="1" ht="24">
      <c r="A25" s="774" t="s">
        <v>1508</v>
      </c>
      <c r="B25" s="215" t="s">
        <v>1509</v>
      </c>
      <c r="C25" s="1099">
        <f ca="1">ROUND(IF('数据-取费表'!B22&lt;=1,C20*F22*'数据-取费表'!B23/2,C20*(POWER((1+F22),'数据-取费表'!B23/2)-1)),0)</f>
        <v>92</v>
      </c>
      <c r="D25" s="238"/>
      <c r="E25" s="241"/>
      <c r="F25" s="239"/>
      <c r="G25" s="242" t="s">
        <v>1510</v>
      </c>
    </row>
    <row r="26" spans="1:7" s="214" customFormat="1">
      <c r="A26" s="774"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21044</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ROUND((C5+C19+C20)*F27*'数据-取费表'!B21/'数据-取费表'!B20,0)</f>
        <v>21044</v>
      </c>
      <c r="D28" s="235"/>
      <c r="E28" s="236"/>
      <c r="F28" s="246"/>
      <c r="G28" s="247"/>
    </row>
    <row r="29" spans="1:7" s="214" customFormat="1" ht="13.5" customHeight="1">
      <c r="A29" s="774"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185046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v>
      </c>
      <c r="D33" s="232"/>
      <c r="E33" s="212"/>
      <c r="F33" s="241"/>
      <c r="G33" s="234"/>
    </row>
    <row r="34" spans="1:7" s="258" customFormat="1" ht="13.5" customHeight="1">
      <c r="A34" s="774" t="s">
        <v>346</v>
      </c>
      <c r="B34" s="215" t="s">
        <v>1525</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1526</v>
      </c>
    </row>
    <row r="35" spans="1:7" ht="13.5" customHeight="1">
      <c r="A35" s="774" t="s">
        <v>351</v>
      </c>
      <c r="B35" s="215" t="s">
        <v>1527</v>
      </c>
      <c r="C35" s="220">
        <f ca="1">ROUND(C34*F35,0)</f>
        <v>9</v>
      </c>
      <c r="D35" s="220"/>
      <c r="E35" s="220"/>
      <c r="F35" s="259">
        <f>'数据-取费表'!B33</f>
        <v>0.03</v>
      </c>
      <c r="G35" s="219" t="s">
        <v>1528</v>
      </c>
    </row>
    <row r="36" spans="1:7" ht="24">
      <c r="A36" s="774"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4" t="s">
        <v>353</v>
      </c>
      <c r="B37" s="215" t="s">
        <v>1531</v>
      </c>
      <c r="C37" s="249">
        <f ca="1">ROUND(E37*D37*F34/10000,0)</f>
        <v>14</v>
      </c>
      <c r="D37" s="217">
        <f ca="1">D19</f>
        <v>687.62999999999988</v>
      </c>
      <c r="E37" s="249">
        <f>'数据-取费表'!B35</f>
        <v>200</v>
      </c>
      <c r="F37" s="259"/>
      <c r="G37" s="261" t="s">
        <v>1532</v>
      </c>
    </row>
    <row r="38" spans="1:7" ht="13.5" customHeight="1">
      <c r="A38" s="774"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ROUND(IF('数据-取费表'!B22&lt;=1,C33*F22*'数据-取费表'!B21/2,C33*(POWER((1+F22),'数据-取费表'!B21/2)-1)),0)</f>
        <v>11</v>
      </c>
      <c r="D42" s="238"/>
      <c r="E42" s="238"/>
      <c r="F42" s="239"/>
      <c r="G42" s="3663" t="s">
        <v>1544</v>
      </c>
    </row>
    <row r="43" spans="1:7" ht="13.5" customHeight="1">
      <c r="A43" s="774" t="s">
        <v>347</v>
      </c>
      <c r="B43" s="215" t="s">
        <v>1545</v>
      </c>
      <c r="C43" s="238">
        <f ca="1">ROUND(IF('数据-取费表'!B22&lt;=1,C39*F22*'数据-取费表'!B21/2,C39*(POWER((1+F22),'数据-取费表'!B21/2)-1)),0)</f>
        <v>0</v>
      </c>
      <c r="D43" s="238"/>
      <c r="E43" s="238"/>
      <c r="F43" s="239"/>
      <c r="G43" s="3664"/>
    </row>
    <row r="44" spans="1:7" ht="13.5" customHeight="1">
      <c r="A44" s="774" t="s">
        <v>348</v>
      </c>
      <c r="B44" s="215" t="s">
        <v>1546</v>
      </c>
      <c r="C44" s="238">
        <f ca="1">ROUND(IF('数据-取费表'!B22&lt;=1,C40*F22*'数据-取费表'!B21/2,C40*(POWER((1+F22),'数据-取费表'!B21/2)-1)),4)</f>
        <v>6.9999999999999999E-4</v>
      </c>
      <c r="D44" s="238"/>
      <c r="E44" s="238"/>
      <c r="F44" s="239"/>
      <c r="G44" s="3665"/>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74" t="s">
        <v>346</v>
      </c>
      <c r="B46" s="248" t="s">
        <v>1549</v>
      </c>
      <c r="C46" s="249">
        <f ca="1">ROUND((C33+C39)*F27,0)</f>
        <v>52</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1321">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388</v>
      </c>
      <c r="D51" s="232"/>
      <c r="E51" s="232"/>
      <c r="F51" s="264"/>
      <c r="G51" s="234" t="s">
        <v>1560</v>
      </c>
    </row>
    <row r="52" spans="1:7" s="208" customFormat="1" ht="16.5" thickBot="1">
      <c r="A52" s="265" t="s">
        <v>1561</v>
      </c>
      <c r="B52" s="266"/>
      <c r="C52" s="267">
        <f ca="1">C31+C51</f>
        <v>185434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0">
        <f>MATCH(B1,'数据-取费表'!A6:A16,0)+5</f>
        <v>10</v>
      </c>
      <c r="H1" s="1055" t="str">
        <f>IF(ISERROR(FIND("住宅",B1)),"非住宅","住宅")</f>
        <v>非住宅</v>
      </c>
    </row>
    <row r="2" spans="1:8" s="200" customFormat="1" ht="18" customHeight="1">
      <c r="A2" s="201" t="s">
        <v>1462</v>
      </c>
      <c r="B2" s="3418">
        <f ca="1">ROUND(IF(D2="——",C52/10000,C52/10000-E2),4)</f>
        <v>426.77710000000002</v>
      </c>
      <c r="C2" s="199" t="s">
        <v>1463</v>
      </c>
      <c r="D2" s="1847" t="s">
        <v>43</v>
      </c>
      <c r="E2" s="1163"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6206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137526</v>
      </c>
      <c r="D5" s="211" t="s">
        <v>1469</v>
      </c>
      <c r="E5" s="212" t="s">
        <v>1470</v>
      </c>
      <c r="F5" s="212" t="s">
        <v>1471</v>
      </c>
      <c r="G5" s="213"/>
    </row>
    <row r="6" spans="1:8" s="214" customFormat="1" ht="13.5" customHeight="1">
      <c r="A6" s="772" t="s">
        <v>1472</v>
      </c>
      <c r="B6" s="215" t="s">
        <v>1473</v>
      </c>
      <c r="C6" s="216"/>
      <c r="D6" s="217"/>
      <c r="E6" s="218"/>
      <c r="F6" s="218"/>
      <c r="G6" s="219"/>
    </row>
    <row r="7" spans="1:8" s="214" customFormat="1" ht="13.5" customHeight="1">
      <c r="A7" s="772" t="s">
        <v>1474</v>
      </c>
      <c r="B7" s="215" t="s">
        <v>1475</v>
      </c>
      <c r="C7" s="220">
        <f>ROUND(C6*F7,0)</f>
        <v>0</v>
      </c>
      <c r="D7" s="220"/>
      <c r="E7" s="218"/>
      <c r="F7" s="221">
        <f>IF(项目基本情况!B8="出让",0,'数据-取费表'!B48+'数据-取费表'!B49)</f>
        <v>3.0499999999999999E-2</v>
      </c>
      <c r="G7" s="219"/>
    </row>
    <row r="8" spans="1:8" s="223" customFormat="1">
      <c r="A8" s="772" t="s">
        <v>1476</v>
      </c>
      <c r="B8" s="215" t="s">
        <v>1477</v>
      </c>
      <c r="C8" s="220">
        <f ca="1">IF(G8="已包含在土地购买价格中",0,C9+C10)</f>
        <v>137526</v>
      </c>
      <c r="D8" s="222"/>
      <c r="E8" s="220"/>
      <c r="F8" s="221"/>
      <c r="G8" s="1850"/>
    </row>
    <row r="9" spans="1:8" s="214" customFormat="1" ht="13.5" customHeight="1">
      <c r="A9" s="773" t="s">
        <v>355</v>
      </c>
      <c r="B9" s="224" t="s">
        <v>1478</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1480</v>
      </c>
      <c r="C10" s="225">
        <f ca="1">ROUND(D10*E10,0)</f>
        <v>137526</v>
      </c>
      <c r="D10" s="839">
        <f ca="1">IF(B1="",'数据-汇总表'!E6,IF(INDIRECT("'数据-取费表'!c"&amp;$G$1)="住宅",INDIRECT("'数据-取费表'!s"&amp;$G$1),INDIRECT("'数据-取费表'!k"&amp;$G$1)+INDIRECT("'数据-取费表'!s"&amp;$G$1)))</f>
        <v>687.62999999999988</v>
      </c>
      <c r="E10" s="225">
        <f>'数据-取费表'!B28</f>
        <v>200</v>
      </c>
      <c r="F10" s="221"/>
      <c r="G10" s="226"/>
    </row>
    <row r="11" spans="1:8" s="214" customFormat="1" ht="13.5" hidden="1" customHeight="1">
      <c r="A11" s="227" t="s">
        <v>4</v>
      </c>
      <c r="B11" s="215" t="s">
        <v>1481</v>
      </c>
      <c r="C11" s="211"/>
      <c r="D11" s="841"/>
      <c r="E11" s="218"/>
      <c r="F11" s="218"/>
      <c r="G11" s="219"/>
    </row>
    <row r="12" spans="1:8" s="214" customFormat="1" ht="13.5" hidden="1" customHeight="1">
      <c r="A12" s="227" t="s">
        <v>5</v>
      </c>
      <c r="B12" s="215" t="s">
        <v>1564</v>
      </c>
      <c r="C12" s="211">
        <v>0</v>
      </c>
      <c r="D12" s="841"/>
      <c r="E12" s="228"/>
      <c r="F12" s="221">
        <v>3.0499999999999999E-2</v>
      </c>
      <c r="G12" s="219"/>
    </row>
    <row r="13" spans="1:8" s="214" customFormat="1" ht="13.5" hidden="1" customHeight="1">
      <c r="A13" s="227" t="s">
        <v>6</v>
      </c>
      <c r="B13" s="215" t="s">
        <v>1565</v>
      </c>
      <c r="C13" s="211"/>
      <c r="D13" s="841"/>
      <c r="E13" s="218"/>
      <c r="F13" s="218"/>
      <c r="G13" s="219"/>
    </row>
    <row r="14" spans="1:8" s="214" customFormat="1" ht="13.5" hidden="1" customHeight="1">
      <c r="A14" s="227" t="s">
        <v>7</v>
      </c>
      <c r="B14" s="215" t="s">
        <v>1477</v>
      </c>
      <c r="C14" s="211"/>
      <c r="D14" s="841"/>
      <c r="E14" s="218"/>
      <c r="F14" s="218"/>
      <c r="G14" s="219" t="s">
        <v>1566</v>
      </c>
    </row>
    <row r="15" spans="1:8" s="214" customFormat="1" ht="13.5" hidden="1" customHeight="1">
      <c r="A15" s="227" t="s">
        <v>8</v>
      </c>
      <c r="B15" s="215" t="s">
        <v>1567</v>
      </c>
      <c r="C15" s="220"/>
      <c r="D15" s="841"/>
      <c r="E15" s="218"/>
      <c r="F15" s="218"/>
      <c r="G15" s="219" t="s">
        <v>1568</v>
      </c>
    </row>
    <row r="16" spans="1:8" s="214" customFormat="1" ht="13.5" hidden="1" customHeight="1">
      <c r="A16" s="227" t="s">
        <v>9</v>
      </c>
      <c r="B16" s="215" t="s">
        <v>1477</v>
      </c>
      <c r="C16" s="220"/>
      <c r="D16" s="841"/>
      <c r="E16" s="218"/>
      <c r="F16" s="218"/>
      <c r="G16" s="219"/>
    </row>
    <row r="17" spans="1:7" s="214" customFormat="1" ht="13.5" hidden="1" customHeight="1">
      <c r="A17" s="227" t="s">
        <v>10</v>
      </c>
      <c r="B17" s="215" t="s">
        <v>1569</v>
      </c>
      <c r="C17" s="229"/>
      <c r="D17" s="842"/>
      <c r="E17" s="229"/>
      <c r="F17" s="229"/>
      <c r="G17" s="219" t="s">
        <v>1568</v>
      </c>
    </row>
    <row r="18" spans="1:7" s="214" customFormat="1" ht="13.5" hidden="1" customHeight="1">
      <c r="A18" s="227" t="s">
        <v>11</v>
      </c>
      <c r="B18" s="215" t="s">
        <v>1570</v>
      </c>
      <c r="C18" s="220">
        <v>0</v>
      </c>
      <c r="D18" s="841"/>
      <c r="E18" s="218"/>
      <c r="F18" s="221">
        <v>3.0499999999999999E-2</v>
      </c>
      <c r="G18" s="219" t="s">
        <v>1571</v>
      </c>
    </row>
    <row r="19" spans="1:7" s="223" customFormat="1" ht="13.5" customHeight="1">
      <c r="A19" s="255" t="s">
        <v>1572</v>
      </c>
      <c r="B19" s="210" t="s">
        <v>1573</v>
      </c>
      <c r="C19" s="211">
        <f ca="1">IF(G19="已包含在土地取得成本中","0",ROUND(D19*E19,0))</f>
        <v>137526</v>
      </c>
      <c r="D19" s="843">
        <f ca="1">D9+D10</f>
        <v>687.62999999999988</v>
      </c>
      <c r="E19" s="211">
        <f>'数据-取费表'!B31</f>
        <v>200</v>
      </c>
      <c r="F19" s="231"/>
      <c r="G19" s="1850"/>
    </row>
    <row r="20" spans="1:7" s="214" customFormat="1" ht="13.5" customHeight="1">
      <c r="A20" s="255" t="s">
        <v>1574</v>
      </c>
      <c r="B20" s="210" t="s">
        <v>1575</v>
      </c>
      <c r="C20" s="232">
        <f ca="1">ROUND((C5+C19)*F20,0)</f>
        <v>5501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1">
        <f ca="1">ROUND(SUM(C23:C25),0)</f>
        <v>18922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4" t="s">
        <v>1472</v>
      </c>
      <c r="B23" s="215" t="s">
        <v>1583</v>
      </c>
      <c r="C23" s="1122">
        <f ca="1">ROUND(IF('数据-取费表'!B22&lt;=1,C5*F22*'数据-取费表'!B22,C5*(POWER((1+F22),'数据-取费表'!B22)-1)),0)</f>
        <v>9369</v>
      </c>
      <c r="D23" s="238"/>
      <c r="E23" s="238"/>
      <c r="F23" s="239"/>
      <c r="G23" s="240" t="s">
        <v>1584</v>
      </c>
    </row>
    <row r="24" spans="1:7" s="214" customFormat="1" ht="13.5" customHeight="1">
      <c r="A24" s="774" t="s">
        <v>1474</v>
      </c>
      <c r="B24" s="215" t="s">
        <v>1585</v>
      </c>
      <c r="C24" s="1122">
        <f ca="1">ROUND(IF('数据-取费表'!B22&lt;=1,C19*F22*('数据-取费表'!B19/2+'数据-取费表'!B20),C19*(POWER((1+F22),('数据-取费表'!B19/2+'数据-取费表'!B20))-1)),0)</f>
        <v>9369</v>
      </c>
      <c r="D24" s="238"/>
      <c r="E24" s="238"/>
      <c r="F24" s="239"/>
      <c r="G24" s="240" t="s">
        <v>1586</v>
      </c>
    </row>
    <row r="25" spans="1:7" s="214" customFormat="1" ht="24">
      <c r="A25" s="774" t="s">
        <v>1476</v>
      </c>
      <c r="B25" s="215" t="s">
        <v>1587</v>
      </c>
      <c r="C25" s="1122">
        <f ca="1">ROUND(IF('数据-取费表'!B22&lt;=1,C20*F22*'数据-取费表'!B22/2,C20*(POWER((1+F22),'数据-取费表'!B22/2)-1)),0)</f>
        <v>184</v>
      </c>
      <c r="D25" s="238"/>
      <c r="E25" s="241"/>
      <c r="F25" s="239"/>
      <c r="G25" s="242" t="s">
        <v>1588</v>
      </c>
    </row>
    <row r="26" spans="1:7" s="214" customFormat="1">
      <c r="A26" s="774"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42083</v>
      </c>
      <c r="D27" s="235">
        <f ca="1">C29</f>
        <v>3.0000000000000001E-3</v>
      </c>
      <c r="E27" s="236" t="s">
        <v>1514</v>
      </c>
      <c r="F27" s="246">
        <f ca="1">IF(B1="",'数据-取费表'!Q16,INDIRECT("'数据-取费表'!q"&amp;$G$1))</f>
        <v>0.15</v>
      </c>
      <c r="G27" s="247" t="s">
        <v>1515</v>
      </c>
    </row>
    <row r="28" spans="1:7" s="214" customFormat="1" ht="13.5" customHeight="1">
      <c r="A28" s="774" t="s">
        <v>346</v>
      </c>
      <c r="B28" s="248" t="s">
        <v>1516</v>
      </c>
      <c r="C28" s="249">
        <f ca="1">ROUND((C5+C19+C20)*F27,0)</f>
        <v>42083</v>
      </c>
      <c r="D28" s="235"/>
      <c r="E28" s="236"/>
      <c r="F28" s="246"/>
      <c r="G28" s="247"/>
    </row>
    <row r="29" spans="1:7" s="214" customFormat="1" ht="13.5" customHeight="1">
      <c r="A29" s="774"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370052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3386578</v>
      </c>
      <c r="D33" s="232"/>
      <c r="E33" s="212"/>
      <c r="F33" s="241"/>
      <c r="G33" s="234"/>
    </row>
    <row r="34" spans="1:7" s="258" customFormat="1" ht="13.5" customHeight="1">
      <c r="A34" s="774" t="s">
        <v>346</v>
      </c>
      <c r="B34" s="215" t="s">
        <v>1525</v>
      </c>
      <c r="C34" s="220">
        <f ca="1">ROUND(IF(B1="",SUMPRODUCT('数据-取费表'!K6:K14,'数据-取费表'!L6:L14),INDIRECT("'数据-取费表'!l"&amp;$G$1)*INDIRECT("'数据-取费表'!k"&amp;$G$1)+'数据-取费表'!L14*INDIRECT("'数据-取费表'!S"&amp;$G$1)),0)</f>
        <v>3094335</v>
      </c>
      <c r="D34" s="217"/>
      <c r="E34" s="220"/>
      <c r="F34" s="257"/>
      <c r="G34" s="219"/>
    </row>
    <row r="35" spans="1:7" ht="13.5" customHeight="1">
      <c r="A35" s="774" t="s">
        <v>351</v>
      </c>
      <c r="B35" s="215" t="s">
        <v>1527</v>
      </c>
      <c r="C35" s="220">
        <f ca="1">ROUND(C34*F35,0)</f>
        <v>92830</v>
      </c>
      <c r="D35" s="220"/>
      <c r="E35" s="220"/>
      <c r="F35" s="259">
        <f>'数据-取费表'!B33</f>
        <v>0.03</v>
      </c>
      <c r="G35" s="219" t="s">
        <v>1528</v>
      </c>
    </row>
    <row r="36" spans="1:7" ht="24">
      <c r="A36" s="774"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4" t="s">
        <v>353</v>
      </c>
      <c r="B37" s="215" t="s">
        <v>1531</v>
      </c>
      <c r="C37" s="249">
        <f ca="1">ROUND(E37*D37,0)</f>
        <v>137526</v>
      </c>
      <c r="D37" s="217">
        <f ca="1">D19</f>
        <v>687.62999999999988</v>
      </c>
      <c r="E37" s="249">
        <f>'数据-取费表'!B35</f>
        <v>200</v>
      </c>
      <c r="F37" s="259"/>
      <c r="G37" s="261"/>
    </row>
    <row r="38" spans="1:7" ht="13.5" customHeight="1">
      <c r="A38" s="774" t="s">
        <v>354</v>
      </c>
      <c r="B38" s="215" t="s">
        <v>1533</v>
      </c>
      <c r="C38" s="220">
        <f ca="1">ROUND(C34*F38,0)</f>
        <v>61887</v>
      </c>
      <c r="D38" s="220"/>
      <c r="E38" s="220"/>
      <c r="F38" s="259">
        <f>'数据-取费表'!B36</f>
        <v>0.02</v>
      </c>
      <c r="G38" s="219" t="s">
        <v>1528</v>
      </c>
    </row>
    <row r="39" spans="1:7" s="214" customFormat="1" ht="13.5" customHeight="1">
      <c r="A39" s="255" t="s">
        <v>1534</v>
      </c>
      <c r="B39" s="210" t="s">
        <v>1535</v>
      </c>
      <c r="C39" s="232">
        <f ca="1">ROUND(C33*F20,0)</f>
        <v>67732</v>
      </c>
      <c r="D39" s="232"/>
      <c r="E39" s="232"/>
      <c r="F39" s="233">
        <f>F20</f>
        <v>0.02</v>
      </c>
      <c r="G39" s="234" t="s">
        <v>1536</v>
      </c>
    </row>
    <row r="40" spans="1:7" s="214" customFormat="1" ht="13.5" customHeight="1">
      <c r="A40" s="255" t="s">
        <v>1537</v>
      </c>
      <c r="B40" s="210" t="s">
        <v>1538</v>
      </c>
      <c r="C40" s="1321">
        <f>F21</f>
        <v>0.02</v>
      </c>
      <c r="D40" s="236" t="s">
        <v>1539</v>
      </c>
      <c r="E40" s="232"/>
      <c r="F40" s="233">
        <f>F21</f>
        <v>0.02</v>
      </c>
      <c r="G40" s="234" t="s">
        <v>1540</v>
      </c>
    </row>
    <row r="41" spans="1:7" s="214" customFormat="1" ht="13.5" customHeight="1">
      <c r="A41" s="255" t="s">
        <v>1541</v>
      </c>
      <c r="B41" s="210" t="s">
        <v>1542</v>
      </c>
      <c r="C41" s="232">
        <f ca="1">ROUND(SUM(C42:C43),0)</f>
        <v>115719</v>
      </c>
      <c r="D41" s="235">
        <f ca="1">C44</f>
        <v>6.9999999999999999E-4</v>
      </c>
      <c r="E41" s="236" t="s">
        <v>1539</v>
      </c>
      <c r="F41" s="237">
        <f ca="1">F22</f>
        <v>3.3500000000000002E-2</v>
      </c>
      <c r="G41" s="234" t="str">
        <f>IF('数据-取费表'!B22&lt;=1,"单利计息","复利计息")</f>
        <v>复利计息</v>
      </c>
    </row>
    <row r="42" spans="1:7" ht="13.5" customHeight="1">
      <c r="A42" s="774" t="s">
        <v>346</v>
      </c>
      <c r="B42" s="215" t="s">
        <v>1543</v>
      </c>
      <c r="C42" s="238">
        <f ca="1">ROUND(IF('数据-取费表'!B22&lt;=1,C33*F22*'数据-取费表'!B20/2,C33*(POWER((1+F22),'数据-取费表'!B20/2)-1)),0)</f>
        <v>113450</v>
      </c>
      <c r="D42" s="238"/>
      <c r="E42" s="238"/>
      <c r="F42" s="239"/>
      <c r="G42" s="3663" t="s">
        <v>1591</v>
      </c>
    </row>
    <row r="43" spans="1:7" ht="13.5" customHeight="1">
      <c r="A43" s="774" t="s">
        <v>347</v>
      </c>
      <c r="B43" s="215" t="s">
        <v>1545</v>
      </c>
      <c r="C43" s="238">
        <f ca="1">ROUND(IF('数据-取费表'!B22&lt;=1,C39*F22*'数据-取费表'!B20/2,C39*(POWER((1+F22),'数据-取费表'!B20/2)-1)),0)</f>
        <v>2269</v>
      </c>
      <c r="D43" s="238"/>
      <c r="E43" s="238"/>
      <c r="F43" s="239"/>
      <c r="G43" s="3664"/>
    </row>
    <row r="44" spans="1:7" ht="13.5" customHeight="1">
      <c r="A44" s="774" t="s">
        <v>348</v>
      </c>
      <c r="B44" s="215" t="s">
        <v>1546</v>
      </c>
      <c r="C44" s="238">
        <f ca="1">ROUND(IF('数据-取费表'!B22&lt;=1,C40*F22*'数据-取费表'!B20/2,C40*(POWER((1+F22),'数据-取费表'!B20/2)-1)),4)</f>
        <v>6.9999999999999999E-4</v>
      </c>
      <c r="D44" s="238"/>
      <c r="E44" s="238"/>
      <c r="F44" s="239"/>
      <c r="G44" s="3665"/>
    </row>
    <row r="45" spans="1:7" s="214" customFormat="1" ht="13.5" customHeight="1">
      <c r="A45" s="255" t="s">
        <v>1547</v>
      </c>
      <c r="B45" s="244" t="s">
        <v>1513</v>
      </c>
      <c r="C45" s="245">
        <f ca="1">C46</f>
        <v>518147</v>
      </c>
      <c r="D45" s="235">
        <f ca="1">C47</f>
        <v>3.0000000000000001E-3</v>
      </c>
      <c r="E45" s="236" t="s">
        <v>1539</v>
      </c>
      <c r="F45" s="246">
        <f ca="1">F27</f>
        <v>0.15</v>
      </c>
      <c r="G45" s="247" t="s">
        <v>1548</v>
      </c>
    </row>
    <row r="46" spans="1:7" s="214" customFormat="1" ht="13.5" customHeight="1">
      <c r="A46" s="774" t="s">
        <v>346</v>
      </c>
      <c r="B46" s="248" t="s">
        <v>1549</v>
      </c>
      <c r="C46" s="249">
        <f ca="1">ROUND((C33+C39)*F27,0)</f>
        <v>518147</v>
      </c>
      <c r="D46" s="263"/>
      <c r="E46" s="236"/>
      <c r="F46" s="246"/>
      <c r="G46" s="247"/>
    </row>
    <row r="47" spans="1:7" s="214" customFormat="1" ht="13.5" customHeight="1">
      <c r="A47" s="774"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4429226</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3897719</v>
      </c>
      <c r="D51" s="232"/>
      <c r="E51" s="232"/>
      <c r="F51" s="264"/>
      <c r="G51" s="234" t="s">
        <v>1560</v>
      </c>
    </row>
    <row r="52" spans="1:7" s="208" customFormat="1" ht="16.5" thickBot="1">
      <c r="A52" s="265" t="s">
        <v>1561</v>
      </c>
      <c r="B52" s="266"/>
      <c r="C52" s="267">
        <f ca="1">C31+C51</f>
        <v>4267771</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5" customWidth="1"/>
    <col min="3" max="3" width="10.375" style="817" customWidth="1"/>
    <col min="4" max="4" width="9.875" style="775" customWidth="1"/>
    <col min="5" max="5" width="9.5" style="726"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1594</v>
      </c>
      <c r="B1" s="1185"/>
      <c r="C1" s="1186"/>
      <c r="D1" s="1184"/>
      <c r="E1" s="2800"/>
      <c r="F1" s="2800"/>
      <c r="G1" s="2665"/>
      <c r="H1" s="2800"/>
      <c r="I1" s="2800"/>
      <c r="J1" s="2800"/>
      <c r="K1" s="2801">
        <f>MATCH(C1,'数据-取费表'!A6:A16,0)+5</f>
        <v>10</v>
      </c>
    </row>
    <row r="2" spans="1:33" ht="18" customHeight="1">
      <c r="A2" s="201" t="s">
        <v>1462</v>
      </c>
      <c r="B2" s="204">
        <f ca="1">C32</f>
        <v>156755</v>
      </c>
      <c r="C2" s="276" t="s">
        <v>1595</v>
      </c>
      <c r="D2" s="276"/>
      <c r="E2" s="2800"/>
      <c r="F2" s="2800"/>
      <c r="G2" s="2800"/>
      <c r="H2" s="2800"/>
      <c r="I2" s="2800"/>
      <c r="J2" s="2800"/>
      <c r="K2" s="2800"/>
    </row>
    <row r="3" spans="1:33" ht="18" customHeight="1" thickBot="1">
      <c r="A3" s="203" t="s">
        <v>1464</v>
      </c>
      <c r="B3" s="204">
        <f ca="1">ROUND(B2*10000/IF(C1="",'数据-汇总表'!E3,INDIRECT("'数据-取费表'!K"&amp;$K$1)),0)</f>
        <v>2279642</v>
      </c>
      <c r="C3" s="276" t="s">
        <v>1596</v>
      </c>
      <c r="D3" s="276"/>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4"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9"/>
      <c r="F12" s="806">
        <f>'数据-取费表'!B33</f>
        <v>0.03</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9"/>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687.62999999999988</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31"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687.62999999999988</v>
      </c>
      <c r="E17" s="21">
        <f>'数据-取费表'!B32</f>
        <v>0</v>
      </c>
      <c r="F17" s="800"/>
      <c r="G17" s="131"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-137512</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14</v>
      </c>
      <c r="D20" s="840">
        <f ca="1">IF(C1="",'数据-汇总表'!E6,IF(INDIRECT("'数据-取费表'!c"&amp;$K$1)="住宅",INDIRECT("'数据-取费表'!s"&amp;$K$1),INDIRECT("'数据-取费表'!k"&amp;$K$1)+INDIRECT("'数据-取费表'!s"&amp;$K$1)))</f>
        <v>687.62999999999988</v>
      </c>
      <c r="E20" s="21">
        <f>'数据-取费表'!B28</f>
        <v>200</v>
      </c>
      <c r="F20" s="798"/>
      <c r="G20" s="12"/>
      <c r="H20" s="803"/>
      <c r="I20" s="803"/>
      <c r="J20" s="803"/>
      <c r="K20" s="804"/>
    </row>
    <row r="21" spans="1:33" s="797" customFormat="1" ht="13.5" customHeight="1">
      <c r="A21" s="784" t="s">
        <v>357</v>
      </c>
      <c r="B21" s="807" t="s">
        <v>1628</v>
      </c>
      <c r="C21" s="808">
        <f ca="1">C16+C17+C18</f>
        <v>-137512</v>
      </c>
      <c r="D21" s="809"/>
      <c r="E21" s="281"/>
      <c r="F21" s="281"/>
      <c r="G21" s="131" t="s">
        <v>1629</v>
      </c>
      <c r="H21" s="801"/>
      <c r="I21" s="801"/>
      <c r="J21" s="801"/>
      <c r="K21" s="802"/>
    </row>
    <row r="22" spans="1:33" s="797" customFormat="1" ht="13.5" customHeight="1">
      <c r="A22" s="784" t="s">
        <v>1601</v>
      </c>
      <c r="B22" s="807" t="s">
        <v>1630</v>
      </c>
      <c r="C22" s="808">
        <f ca="1">ROUND(C21*F22,0)</f>
        <v>-2750</v>
      </c>
      <c r="D22" s="281"/>
      <c r="E22" s="281"/>
      <c r="F22" s="810">
        <f>'数据-取费表'!B37</f>
        <v>0.02</v>
      </c>
      <c r="G22" s="5" t="s">
        <v>1631</v>
      </c>
      <c r="H22" s="791"/>
      <c r="I22" s="791"/>
      <c r="J22" s="791"/>
      <c r="K22" s="792"/>
    </row>
    <row r="23" spans="1:33" s="797" customFormat="1" ht="13.5" customHeight="1">
      <c r="A23" s="784" t="s">
        <v>1603</v>
      </c>
      <c r="B23" s="807" t="s">
        <v>1632</v>
      </c>
      <c r="C23" s="808">
        <f ca="1">ROUND(C4*F23*F11,0)</f>
        <v>0</v>
      </c>
      <c r="D23" s="281"/>
      <c r="E23" s="281"/>
      <c r="F23" s="810">
        <f>'数据-取费表'!B38</f>
        <v>0.02</v>
      </c>
      <c r="G23" s="5" t="s">
        <v>1633</v>
      </c>
      <c r="H23" s="791"/>
      <c r="I23" s="791"/>
      <c r="J23" s="791"/>
      <c r="K23" s="792"/>
    </row>
    <row r="24" spans="1:33" s="797" customFormat="1" ht="13.5" customHeight="1">
      <c r="A24" s="784" t="s">
        <v>1634</v>
      </c>
      <c r="B24" s="807" t="s">
        <v>1635</v>
      </c>
      <c r="C24" s="280">
        <f>ROUND(F24/(1+'数据-取费表'!C42),4)</f>
        <v>2.9000000000000001E-2</v>
      </c>
      <c r="D24" s="281" t="s">
        <v>12</v>
      </c>
      <c r="E24" s="281"/>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1641</v>
      </c>
      <c r="B28" s="1859" t="s">
        <v>1642</v>
      </c>
      <c r="C28" s="287">
        <f ca="1">C30</f>
        <v>-21039</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1643</v>
      </c>
      <c r="C29" s="284">
        <f ca="1">ROUND((1+C24)*F28*'数据-取费表'!B24/'数据-取费表'!B20,4)</f>
        <v>0</v>
      </c>
      <c r="D29" s="284"/>
      <c r="E29" s="285"/>
      <c r="F29" s="290"/>
      <c r="G29" s="131" t="s">
        <v>1644</v>
      </c>
      <c r="H29" s="801"/>
      <c r="I29" s="801"/>
      <c r="J29" s="801"/>
      <c r="K29" s="802"/>
    </row>
    <row r="30" spans="1:33" s="291" customFormat="1" ht="13.5" customHeight="1">
      <c r="A30" s="794" t="s">
        <v>359</v>
      </c>
      <c r="B30" s="816" t="s">
        <v>1645</v>
      </c>
      <c r="C30" s="292">
        <f ca="1">ROUND((C21+C22+C23)*F28,0)</f>
        <v>-21039</v>
      </c>
      <c r="D30" s="284"/>
      <c r="E30" s="285"/>
      <c r="F30" s="290"/>
      <c r="G30" s="131"/>
      <c r="H30" s="801"/>
      <c r="I30" s="801"/>
      <c r="J30" s="801"/>
      <c r="K30" s="802"/>
    </row>
    <row r="31" spans="1:33" s="797" customFormat="1" ht="13.5" customHeight="1" thickBot="1">
      <c r="A31" s="1860" t="s">
        <v>1646</v>
      </c>
      <c r="B31" s="827" t="s">
        <v>1647</v>
      </c>
      <c r="C31" s="828">
        <f>ROUND(C4*F31/(1+'数据-取费表'!C42),0)</f>
        <v>0</v>
      </c>
      <c r="D31" s="829"/>
      <c r="E31" s="830"/>
      <c r="F31" s="831">
        <f>'数据-取费表'!B41</f>
        <v>5.6000000000000001E-2</v>
      </c>
      <c r="G31" s="832" t="s">
        <v>1648</v>
      </c>
      <c r="H31" s="833"/>
      <c r="I31" s="833"/>
      <c r="J31" s="833"/>
      <c r="K31" s="834"/>
    </row>
    <row r="32" spans="1:33" s="793" customFormat="1" ht="13.5" customHeight="1" thickBot="1">
      <c r="A32" s="822" t="s">
        <v>1649</v>
      </c>
      <c r="B32" s="823"/>
      <c r="C32" s="824">
        <f ca="1">ROUND((C4-C21-C22-C23-C25-C28-C31)/(1+C24+D25+D28),0)</f>
        <v>156755</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c r="D1" s="1356" t="s">
        <v>43</v>
      </c>
      <c r="E1" s="1357" t="s">
        <v>678</v>
      </c>
      <c r="F1" s="1056">
        <f ca="1">J53</f>
        <v>0</v>
      </c>
      <c r="G1" s="1372">
        <f>MATCH(C1,'数据-取费表'!A6:A16,0)+5</f>
        <v>10</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81"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0</v>
      </c>
      <c r="D5" s="1358" t="s">
        <v>693</v>
      </c>
      <c r="E5" s="1065"/>
      <c r="F5" s="1066"/>
      <c r="G5" s="1378"/>
      <c r="H5" s="299">
        <v>1</v>
      </c>
      <c r="I5" s="300" t="s">
        <v>692</v>
      </c>
      <c r="J5" s="1064">
        <f ca="1">J6+J10+J12</f>
        <v>0</v>
      </c>
      <c r="K5" s="1358" t="s">
        <v>693</v>
      </c>
      <c r="L5" s="1065"/>
      <c r="M5" s="1066"/>
    </row>
    <row r="6" spans="1:37" ht="18" customHeight="1">
      <c r="A6" s="1063" t="s">
        <v>398</v>
      </c>
      <c r="B6" s="3668" t="s">
        <v>694</v>
      </c>
      <c r="C6" s="1068">
        <f ca="1">ROUND(F6*F8*F7*(1-F9)/10000,0)</f>
        <v>0</v>
      </c>
      <c r="D6" s="155" t="s">
        <v>2108</v>
      </c>
      <c r="E6" s="302" t="s">
        <v>696</v>
      </c>
      <c r="F6" s="303">
        <f ca="1">INDIRECT("'数据-取费表'!u"&amp;$G$1)</f>
        <v>0</v>
      </c>
      <c r="G6" s="1378"/>
      <c r="H6" s="1063" t="s">
        <v>398</v>
      </c>
      <c r="I6" s="3668" t="s">
        <v>694</v>
      </c>
      <c r="J6" s="301">
        <f ca="1">ROUND(M6*M8*M7*(1-M9)/10000,0)</f>
        <v>0</v>
      </c>
      <c r="K6" s="155" t="s">
        <v>2107</v>
      </c>
      <c r="L6" s="302" t="s">
        <v>696</v>
      </c>
      <c r="M6" s="303">
        <f ca="1">INDIRECT("'数据-取费表'!z"&amp;$G$1)</f>
        <v>0</v>
      </c>
    </row>
    <row r="7" spans="1:37" ht="18" customHeight="1">
      <c r="A7" s="1067"/>
      <c r="B7" s="3669"/>
      <c r="C7" s="1069"/>
      <c r="D7" s="307"/>
      <c r="E7" s="1070" t="s">
        <v>697</v>
      </c>
      <c r="F7" s="303">
        <f ca="1">IF(INDIRECT("'数据-取费表'!ah"&amp;$G$1)="",INDIRECT("'数据-取费表'!k"&amp;$G$1),INDIRECT("'数据-取费表'!ah"&amp;$G$1))</f>
        <v>0</v>
      </c>
      <c r="G7" s="1378"/>
      <c r="H7" s="304"/>
      <c r="I7" s="3669"/>
      <c r="J7" s="306"/>
      <c r="K7" s="307"/>
      <c r="L7" s="302" t="s">
        <v>697</v>
      </c>
      <c r="M7" s="303">
        <f ca="1">F7</f>
        <v>0</v>
      </c>
    </row>
    <row r="8" spans="1:37" ht="18" customHeight="1">
      <c r="A8" s="304"/>
      <c r="B8" s="3669"/>
      <c r="C8" s="306"/>
      <c r="D8" s="307"/>
      <c r="E8" s="302" t="s">
        <v>698</v>
      </c>
      <c r="F8" s="303">
        <f ca="1">INDIRECT("'数据-取费表'!ai"&amp;$G$1)</f>
        <v>0</v>
      </c>
      <c r="G8" s="1378"/>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78"/>
      <c r="H9" s="304"/>
      <c r="I9" s="3670"/>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2116</v>
      </c>
      <c r="E10" s="313" t="s">
        <v>701</v>
      </c>
      <c r="F10" s="1110"/>
      <c r="G10" s="1378"/>
      <c r="H10" s="1063" t="s">
        <v>402</v>
      </c>
      <c r="I10" s="1359" t="s">
        <v>700</v>
      </c>
      <c r="J10" s="301">
        <f ca="1">ROUND(IF(M10="押一",J6/12*M11,IF(M10="押二",J6/12*2*M11,IF(M10="押三",J6/12*3*M11,J11*M11))),0)</f>
        <v>0</v>
      </c>
      <c r="K10" s="1360" t="s">
        <v>2115</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ROUND(F17*(F43+INDIRECT("'数据-取费表'!S"&amp;$G$1))/10000,0)</f>
        <v>0</v>
      </c>
      <c r="D17" s="302" t="s">
        <v>717</v>
      </c>
      <c r="E17" s="302" t="s">
        <v>718</v>
      </c>
      <c r="F17" s="23">
        <f>'数据-取费表'!B35</f>
        <v>200</v>
      </c>
      <c r="G17" s="1390"/>
      <c r="H17" s="976" t="s">
        <v>398</v>
      </c>
      <c r="I17" s="302"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0.02</v>
      </c>
      <c r="G18" s="1390"/>
      <c r="H18" s="976" t="s">
        <v>397</v>
      </c>
      <c r="I18" s="302" t="s">
        <v>723</v>
      </c>
      <c r="J18" s="21">
        <f ca="1">ROUND(J6*M18/(1+'数据-取费表'!C42),2)</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IF(K19="按租金收入计税",ROUND(J6*M19/(1+'数据-取费表'!C42),2),ROUND(C29*M19*0.7,2))</f>
        <v>0</v>
      </c>
      <c r="K19" s="1364" t="s">
        <v>3337</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302" t="s">
        <v>723</v>
      </c>
      <c r="C32" s="21">
        <f ca="1">IF(项目基本情况!B11="自然人","——",ROUND(C6*F32/(1+'数据-取费表'!C42),2))</f>
        <v>0</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IF(项目基本情况!B11="自然人","——",IF(D33="按租金收入计税",ROUND(C6*F33/(1+'数据-取费表'!C42),2),IF(D33="按房产原值计税",ROUND(C29*F33*0.7,2),INDIRECT("'数据-取费表'!Aj"&amp;$G$1))))</f>
        <v>0</v>
      </c>
      <c r="D33" s="1364" t="s">
        <v>3337</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IF(项目基本情况!B11="自然人","——",ROUND(F34*F35/10000,2))</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ROUND(C29*F36,2)</f>
        <v>0</v>
      </c>
      <c r="D36" s="1338" t="s">
        <v>771</v>
      </c>
      <c r="E36" s="302" t="s">
        <v>712</v>
      </c>
      <c r="F36" s="328">
        <f ca="1">INDIRECT("'数据-取费表'!Ak"&amp;$G$1)</f>
        <v>0</v>
      </c>
      <c r="G36" s="1378"/>
      <c r="H36" s="2694"/>
      <c r="I36" s="1392"/>
      <c r="J36" s="1393"/>
      <c r="K36" s="2538"/>
      <c r="L36" s="2694"/>
      <c r="M36" s="2694"/>
    </row>
    <row r="37" spans="1:18" ht="18" customHeight="1">
      <c r="A37" s="976" t="s">
        <v>437</v>
      </c>
      <c r="B37" s="302" t="s">
        <v>742</v>
      </c>
      <c r="C37" s="21">
        <f ca="1">ROUND(C13*F37,2)</f>
        <v>0</v>
      </c>
      <c r="D37" s="1338" t="s">
        <v>743</v>
      </c>
      <c r="E37" s="302" t="s">
        <v>744</v>
      </c>
      <c r="F37" s="330">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10">
        <f ca="1">C5-C30</f>
        <v>0</v>
      </c>
      <c r="D39" s="1089" t="s">
        <v>773</v>
      </c>
      <c r="E39" s="1090"/>
      <c r="F39" s="1091"/>
      <c r="G39" s="1378"/>
      <c r="H39" s="2694"/>
      <c r="I39" s="1392"/>
      <c r="J39" s="1393"/>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t="e">
        <f ca="1">ROUND(C40*10000/F43,0)</f>
        <v>#DIV/0!</v>
      </c>
      <c r="D43" s="337" t="s">
        <v>777</v>
      </c>
      <c r="E43" s="338" t="s">
        <v>778</v>
      </c>
      <c r="F43" s="339">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4"/>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20"/>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20"/>
      <c r="H48" s="721"/>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2109</v>
      </c>
      <c r="E49" s="1366" t="s">
        <v>780</v>
      </c>
      <c r="F49" s="1054"/>
      <c r="G49" s="1419"/>
      <c r="H49" s="721"/>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21"/>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303">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2">
        <f ca="1">IF(M47="住宅",IF(D1="——",MAX(J51,L48),MAX(J51,L48-'数据-取费表'!B24)),IF(D1="——",MIN(J51,L48),MIN(J51,L48-'数据-取费表'!B24)))</f>
        <v>0</v>
      </c>
      <c r="K53" s="3666" t="s">
        <v>837</v>
      </c>
      <c r="L53" s="3667"/>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32">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5" t="s">
        <v>393</v>
      </c>
      <c r="B58" s="952" t="s">
        <v>714</v>
      </c>
      <c r="C58" s="316">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3337</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12">
        <f t="shared" ca="1" si="0"/>
        <v>0</v>
      </c>
      <c r="O66" s="1412" t="s">
        <v>404</v>
      </c>
      <c r="P66" s="1413" t="s">
        <v>846</v>
      </c>
      <c r="Q66" s="1414" t="e">
        <f ca="1">L60</f>
        <v>#DIV/0!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ROUND(C68*10000/F71,0)</f>
        <v>#DIV/0!</v>
      </c>
      <c r="D71" s="967" t="s">
        <v>777</v>
      </c>
      <c r="E71" s="968" t="s">
        <v>778</v>
      </c>
      <c r="F71" s="339">
        <f ca="1">F43</f>
        <v>0</v>
      </c>
      <c r="O71" s="1422" t="s">
        <v>413</v>
      </c>
      <c r="P71" s="1461" t="s">
        <v>874</v>
      </c>
      <c r="Q71" s="1425">
        <f ca="1">C76</f>
        <v>0</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71" priority="56">
      <formula>$L$48&gt;$J$51</formula>
    </cfRule>
  </conditionalFormatting>
  <conditionalFormatting sqref="I55 I60">
    <cfRule type="expression" dxfId="270" priority="57">
      <formula>$J$51&gt;$L$48</formula>
    </cfRule>
  </conditionalFormatting>
  <conditionalFormatting sqref="C11">
    <cfRule type="expression" dxfId="269" priority="3">
      <formula>$F$10="自定义"</formula>
    </cfRule>
  </conditionalFormatting>
  <conditionalFormatting sqref="J11">
    <cfRule type="expression" dxfId="268" priority="2">
      <formula>$M$10="自定义"</formula>
    </cfRule>
  </conditionalFormatting>
  <conditionalFormatting sqref="C54">
    <cfRule type="expression" dxfId="2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2436</v>
      </c>
      <c r="B1" s="2826"/>
      <c r="C1" s="2838"/>
      <c r="D1" s="2838"/>
      <c r="E1" s="2827"/>
      <c r="F1" s="2828"/>
      <c r="G1" s="2829"/>
      <c r="J1" s="2832" t="s">
        <v>2316</v>
      </c>
      <c r="K1" s="2833"/>
      <c r="L1" s="2833"/>
      <c r="M1" s="2833"/>
      <c r="N1" s="2833"/>
      <c r="O1" s="2833"/>
      <c r="P1" s="2833"/>
      <c r="Q1" s="2833"/>
      <c r="R1" s="2834"/>
      <c r="S1" s="2835"/>
      <c r="T1" s="2835"/>
      <c r="U1" s="2835"/>
    </row>
    <row r="2" spans="1:22" s="2847" customFormat="1" ht="13.15" customHeight="1">
      <c r="A2" s="1379" t="s">
        <v>2317</v>
      </c>
      <c r="B2" s="2837" t="e">
        <f>IF(D2="——",C40,C40+E2)</f>
        <v>#DIV/0!</v>
      </c>
      <c r="C2" s="2838" t="s">
        <v>2318</v>
      </c>
      <c r="D2" s="3436" t="s">
        <v>3360</v>
      </c>
      <c r="E2" s="3437"/>
      <c r="F2" s="2840"/>
      <c r="G2" s="2841"/>
      <c r="H2" s="2842"/>
      <c r="I2" s="2843"/>
      <c r="J2" s="3677" t="s">
        <v>2319</v>
      </c>
      <c r="K2" s="3678"/>
      <c r="L2" s="2844" t="s">
        <v>2320</v>
      </c>
      <c r="M2" s="2844" t="s">
        <v>2321</v>
      </c>
      <c r="N2" s="2844" t="s">
        <v>2322</v>
      </c>
      <c r="O2" s="2844" t="s">
        <v>2323</v>
      </c>
      <c r="P2" s="2844" t="s">
        <v>2324</v>
      </c>
      <c r="Q2" s="2845" t="s">
        <v>2325</v>
      </c>
      <c r="R2" s="2846" t="s">
        <v>2326</v>
      </c>
      <c r="S2" s="2835"/>
      <c r="T2" s="2835"/>
      <c r="U2" s="2835"/>
      <c r="V2" s="2843"/>
    </row>
    <row r="3" spans="1:22" s="2847" customFormat="1" ht="13.15" customHeight="1">
      <c r="A3" s="2848" t="s">
        <v>2327</v>
      </c>
      <c r="B3" s="2849" t="e">
        <f>ROUND(B2*10000/B4,0)</f>
        <v>#DIV/0!</v>
      </c>
      <c r="C3" s="2838" t="s">
        <v>2328</v>
      </c>
      <c r="D3" s="2838"/>
      <c r="E3" s="2839"/>
      <c r="F3" s="2840"/>
      <c r="G3" s="2841"/>
      <c r="H3" s="2842"/>
      <c r="I3" s="2843"/>
      <c r="J3" s="3679" t="s">
        <v>2329</v>
      </c>
      <c r="K3" s="3680"/>
      <c r="L3" s="2850"/>
      <c r="M3" s="2850"/>
      <c r="N3" s="2850"/>
      <c r="O3" s="2850"/>
      <c r="P3" s="2850"/>
      <c r="Q3" s="2851"/>
      <c r="R3" s="2852">
        <f>SUM(L3:Q3)</f>
        <v>0</v>
      </c>
      <c r="S3" s="2835"/>
      <c r="T3" s="2835"/>
      <c r="U3" s="2835"/>
      <c r="V3" s="2843"/>
    </row>
    <row r="4" spans="1:22" s="2847" customFormat="1" ht="13.15" customHeight="1">
      <c r="A4" s="2853" t="s">
        <v>2330</v>
      </c>
      <c r="B4" s="2854"/>
      <c r="C4" s="2838"/>
      <c r="D4" s="2838"/>
      <c r="E4" s="2839"/>
      <c r="F4" s="2840"/>
      <c r="G4" s="2841"/>
      <c r="H4" s="2842"/>
      <c r="I4" s="2843"/>
      <c r="J4" s="3679" t="s">
        <v>2331</v>
      </c>
      <c r="K4" s="3680"/>
      <c r="L4" s="2855"/>
      <c r="M4" s="2855"/>
      <c r="N4" s="2855"/>
      <c r="O4" s="2855"/>
      <c r="P4" s="2855"/>
      <c r="Q4" s="2856"/>
      <c r="R4" s="2857">
        <f>SUM(L4:Q4)</f>
        <v>0</v>
      </c>
      <c r="S4" s="2835"/>
      <c r="T4" s="2835"/>
      <c r="U4" s="2835"/>
      <c r="V4" s="2843"/>
    </row>
    <row r="5" spans="1:22" s="2847" customFormat="1" ht="13.15" customHeight="1" thickBot="1">
      <c r="A5" s="2858" t="s">
        <v>2332</v>
      </c>
      <c r="B5" s="2859"/>
      <c r="C5" s="2838"/>
      <c r="D5" s="2860"/>
      <c r="E5" s="2840"/>
      <c r="F5" s="2840"/>
      <c r="G5" s="2841"/>
      <c r="H5" s="2842"/>
      <c r="I5" s="2843"/>
      <c r="J5" s="2861" t="s">
        <v>2333</v>
      </c>
      <c r="K5" s="2862"/>
      <c r="L5" s="2862"/>
      <c r="M5" s="2863"/>
      <c r="N5" s="2863"/>
      <c r="O5" s="2863"/>
      <c r="P5" s="2863"/>
      <c r="Q5" s="2863"/>
      <c r="R5" s="2846">
        <f>SUM(R14,R19,R24,R25,R27,R28)</f>
        <v>0</v>
      </c>
      <c r="S5" s="2835"/>
      <c r="T5" s="2835" t="s">
        <v>2334</v>
      </c>
      <c r="U5" s="2835" t="e">
        <f>ROUND(R5*10000/365/R3,1)</f>
        <v>#DIV/0!</v>
      </c>
      <c r="V5" s="2843"/>
    </row>
    <row r="6" spans="1:22" s="2847" customFormat="1" ht="13.15" customHeight="1" thickBot="1">
      <c r="A6" s="3685" t="s">
        <v>2335</v>
      </c>
      <c r="B6" s="3686"/>
      <c r="C6" s="3687"/>
      <c r="D6" s="2864"/>
      <c r="E6" s="2865"/>
      <c r="F6" s="2866"/>
      <c r="G6" s="2867"/>
      <c r="H6" s="2842"/>
      <c r="I6" s="2843"/>
      <c r="J6" s="3671">
        <v>1</v>
      </c>
      <c r="K6" s="3672" t="s">
        <v>2336</v>
      </c>
      <c r="L6" s="2868" t="s">
        <v>2337</v>
      </c>
      <c r="M6" s="2869" t="s">
        <v>2338</v>
      </c>
      <c r="N6" s="2869" t="s">
        <v>2339</v>
      </c>
      <c r="O6" s="2869" t="s">
        <v>2340</v>
      </c>
      <c r="P6" s="2869" t="s">
        <v>2341</v>
      </c>
      <c r="Q6" s="2869" t="s">
        <v>2342</v>
      </c>
      <c r="R6" s="2852" t="s">
        <v>2343</v>
      </c>
      <c r="S6" s="2835"/>
      <c r="T6" s="2835" t="s">
        <v>2344</v>
      </c>
      <c r="U6" s="2835"/>
      <c r="V6" s="2843"/>
    </row>
    <row r="7" spans="1:22" s="2847" customFormat="1" ht="13.15" customHeight="1">
      <c r="A7" s="2870" t="s">
        <v>2345</v>
      </c>
      <c r="B7" s="2871"/>
      <c r="C7" s="2872"/>
      <c r="D7" s="2873">
        <f>SUM(D9,D10,D11,D17,0)</f>
        <v>0</v>
      </c>
      <c r="E7" s="2874" t="e">
        <f>E9+E10+E11+E17</f>
        <v>#DIV/0!</v>
      </c>
      <c r="F7" s="2875"/>
      <c r="G7" s="2876"/>
      <c r="H7" s="2842"/>
      <c r="I7" s="2843"/>
      <c r="J7" s="3671"/>
      <c r="K7" s="3673"/>
      <c r="L7" s="2877" t="s">
        <v>2346</v>
      </c>
      <c r="M7" s="2878"/>
      <c r="N7" s="2854"/>
      <c r="O7" s="2879"/>
      <c r="P7" s="2879"/>
      <c r="Q7" s="2880">
        <v>365</v>
      </c>
      <c r="R7" s="2881">
        <f>ROUND(M7*N7*O7*P7*Q7/10000,0)</f>
        <v>0</v>
      </c>
      <c r="S7" s="2835"/>
      <c r="T7" s="2835" t="s">
        <v>2347</v>
      </c>
      <c r="U7" s="2835"/>
      <c r="V7" s="2843"/>
    </row>
    <row r="8" spans="1:22" s="2847" customFormat="1" ht="13.15" customHeight="1">
      <c r="A8" s="2882" t="s">
        <v>2348</v>
      </c>
      <c r="B8" s="3688" t="s">
        <v>2349</v>
      </c>
      <c r="C8" s="3689"/>
      <c r="D8" s="2883" t="s">
        <v>2350</v>
      </c>
      <c r="E8" s="2884" t="s">
        <v>2351</v>
      </c>
      <c r="F8" s="2885" t="s">
        <v>2352</v>
      </c>
      <c r="G8" s="2886"/>
      <c r="H8" s="2842"/>
      <c r="I8" s="2843"/>
      <c r="J8" s="3671"/>
      <c r="K8" s="3673"/>
      <c r="L8" s="2877" t="s">
        <v>2353</v>
      </c>
      <c r="M8" s="2878"/>
      <c r="N8" s="2854"/>
      <c r="O8" s="2879"/>
      <c r="P8" s="2879"/>
      <c r="Q8" s="2880">
        <v>365</v>
      </c>
      <c r="R8" s="2881">
        <f t="shared" ref="R8:R13" si="0">ROUND(M8*N8*O8*P8*Q8/10000,0)</f>
        <v>0</v>
      </c>
      <c r="S8" s="2835"/>
      <c r="T8" s="2835" t="s">
        <v>2354</v>
      </c>
      <c r="U8" s="2835"/>
      <c r="V8" s="2843"/>
    </row>
    <row r="9" spans="1:22" s="2847" customFormat="1" ht="13.15" customHeight="1">
      <c r="A9" s="2882">
        <v>1</v>
      </c>
      <c r="B9" s="3688" t="s">
        <v>2355</v>
      </c>
      <c r="C9" s="3689"/>
      <c r="D9" s="2883">
        <f>ROUND(D6*E9,0)</f>
        <v>0</v>
      </c>
      <c r="E9" s="2887"/>
      <c r="F9" s="2888" t="s">
        <v>2356</v>
      </c>
      <c r="G9" s="2867"/>
      <c r="H9" s="2842"/>
      <c r="I9" s="2843"/>
      <c r="J9" s="3671"/>
      <c r="K9" s="3673"/>
      <c r="L9" s="2877" t="s">
        <v>2357</v>
      </c>
      <c r="M9" s="2878"/>
      <c r="N9" s="2854"/>
      <c r="O9" s="2879"/>
      <c r="P9" s="2879"/>
      <c r="Q9" s="2880">
        <v>365</v>
      </c>
      <c r="R9" s="2881">
        <f t="shared" si="0"/>
        <v>0</v>
      </c>
      <c r="S9" s="2835"/>
      <c r="T9" s="2835"/>
      <c r="U9" s="2835"/>
      <c r="V9" s="2843"/>
    </row>
    <row r="10" spans="1:22" s="2847" customFormat="1" ht="13.15" customHeight="1">
      <c r="A10" s="2882">
        <v>2</v>
      </c>
      <c r="B10" s="3688" t="s">
        <v>2358</v>
      </c>
      <c r="C10" s="3689"/>
      <c r="D10" s="2883">
        <f>ROUND(D6*E10,0)</f>
        <v>0</v>
      </c>
      <c r="E10" s="2887"/>
      <c r="F10" s="2888" t="s">
        <v>2359</v>
      </c>
      <c r="G10" s="2867"/>
      <c r="H10" s="2842"/>
      <c r="I10" s="2843"/>
      <c r="J10" s="3671"/>
      <c r="K10" s="3673"/>
      <c r="L10" s="2877" t="s">
        <v>2360</v>
      </c>
      <c r="M10" s="2878"/>
      <c r="N10" s="2854"/>
      <c r="O10" s="2879"/>
      <c r="P10" s="2879"/>
      <c r="Q10" s="2880">
        <v>365</v>
      </c>
      <c r="R10" s="2881">
        <f t="shared" si="0"/>
        <v>0</v>
      </c>
      <c r="S10" s="2835"/>
      <c r="T10" s="2835"/>
      <c r="U10" s="2835"/>
      <c r="V10" s="2843"/>
    </row>
    <row r="11" spans="1:22" s="2847" customFormat="1" ht="13.15" customHeight="1">
      <c r="A11" s="2882">
        <v>3</v>
      </c>
      <c r="B11" s="3688" t="s">
        <v>2361</v>
      </c>
      <c r="C11" s="3689"/>
      <c r="D11" s="2883">
        <f>D12+D14+D15+D16</f>
        <v>0</v>
      </c>
      <c r="E11" s="2889" t="e">
        <f>D11/D6</f>
        <v>#DIV/0!</v>
      </c>
      <c r="F11" s="2885"/>
      <c r="G11" s="2886"/>
      <c r="H11" s="2842"/>
      <c r="I11" s="2843"/>
      <c r="J11" s="3671"/>
      <c r="K11" s="3673"/>
      <c r="L11" s="2877" t="s">
        <v>2362</v>
      </c>
      <c r="M11" s="2878"/>
      <c r="N11" s="2854"/>
      <c r="O11" s="2879"/>
      <c r="P11" s="2879"/>
      <c r="Q11" s="2880">
        <v>365</v>
      </c>
      <c r="R11" s="2881">
        <f t="shared" si="0"/>
        <v>0</v>
      </c>
      <c r="S11" s="2835"/>
      <c r="T11" s="2835"/>
      <c r="U11" s="2835"/>
      <c r="V11" s="2843"/>
    </row>
    <row r="12" spans="1:22" s="2847" customFormat="1" ht="13.15" customHeight="1">
      <c r="A12" s="2890" t="s">
        <v>2363</v>
      </c>
      <c r="B12" s="3681" t="s">
        <v>2364</v>
      </c>
      <c r="C12" s="3682"/>
      <c r="D12" s="2891">
        <f>ROUND(D13*1.2%*(1-30%),0)</f>
        <v>0</v>
      </c>
      <c r="E12" s="2892">
        <v>1.2E-2</v>
      </c>
      <c r="F12" s="2885" t="s">
        <v>2365</v>
      </c>
      <c r="G12" s="2886"/>
      <c r="H12" s="2842"/>
      <c r="I12" s="2843"/>
      <c r="J12" s="3671"/>
      <c r="K12" s="3673"/>
      <c r="L12" s="2877" t="s">
        <v>2366</v>
      </c>
      <c r="M12" s="2878"/>
      <c r="N12" s="2854"/>
      <c r="O12" s="2879"/>
      <c r="P12" s="2879"/>
      <c r="Q12" s="2880">
        <v>365</v>
      </c>
      <c r="R12" s="2881">
        <f t="shared" si="0"/>
        <v>0</v>
      </c>
      <c r="S12" s="2835"/>
      <c r="T12" s="2835"/>
      <c r="U12" s="2835"/>
      <c r="V12" s="2843"/>
    </row>
    <row r="13" spans="1:22" s="2847" customFormat="1" ht="13.15" customHeight="1">
      <c r="A13" s="2890"/>
      <c r="B13" s="2893"/>
      <c r="C13" s="2894" t="s">
        <v>2367</v>
      </c>
      <c r="D13" s="2895"/>
      <c r="E13" s="2896"/>
      <c r="F13" s="2885"/>
      <c r="G13" s="2886"/>
      <c r="H13" s="2842"/>
      <c r="I13" s="2843"/>
      <c r="J13" s="3671"/>
      <c r="K13" s="3673"/>
      <c r="L13" s="2877" t="s">
        <v>2368</v>
      </c>
      <c r="M13" s="2878"/>
      <c r="N13" s="2854"/>
      <c r="O13" s="2879"/>
      <c r="P13" s="2879"/>
      <c r="Q13" s="2880">
        <v>365</v>
      </c>
      <c r="R13" s="2881">
        <f t="shared" si="0"/>
        <v>0</v>
      </c>
      <c r="S13" s="2835"/>
      <c r="T13" s="2835"/>
      <c r="U13" s="2835"/>
      <c r="V13" s="2843"/>
    </row>
    <row r="14" spans="1:22" s="2847" customFormat="1" ht="13.15" customHeight="1">
      <c r="A14" s="2890" t="s">
        <v>2369</v>
      </c>
      <c r="B14" s="3681" t="s">
        <v>2370</v>
      </c>
      <c r="C14" s="3682"/>
      <c r="D14" s="2891">
        <f>ROUND(E14*B5/10000,0)</f>
        <v>0</v>
      </c>
      <c r="E14" s="2880"/>
      <c r="F14" s="2885" t="s">
        <v>2371</v>
      </c>
      <c r="G14" s="2886"/>
      <c r="H14" s="2842"/>
      <c r="I14" s="2843"/>
      <c r="J14" s="3671"/>
      <c r="K14" s="3674"/>
      <c r="L14" s="2897" t="s">
        <v>2372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2373</v>
      </c>
      <c r="B15" s="3681" t="s">
        <v>2374</v>
      </c>
      <c r="C15" s="3682"/>
      <c r="D15" s="2891">
        <f>ROUND(D6*E15,0)</f>
        <v>0</v>
      </c>
      <c r="E15" s="2892">
        <v>5.5E-2</v>
      </c>
      <c r="F15" s="2885" t="s">
        <v>2375</v>
      </c>
      <c r="G15" s="2867"/>
      <c r="H15" s="2842"/>
      <c r="I15" s="2843"/>
      <c r="J15" s="3671">
        <v>2</v>
      </c>
      <c r="K15" s="3672" t="s">
        <v>2376</v>
      </c>
      <c r="L15" s="2877" t="s">
        <v>2377</v>
      </c>
      <c r="M15" s="2878" t="s">
        <v>2378</v>
      </c>
      <c r="N15" s="2878" t="s">
        <v>2379</v>
      </c>
      <c r="O15" s="2879" t="s">
        <v>2380</v>
      </c>
      <c r="P15" s="2879" t="s">
        <v>2342</v>
      </c>
      <c r="Q15" s="2854" t="s">
        <v>2381</v>
      </c>
      <c r="R15" s="2901" t="s">
        <v>2343</v>
      </c>
      <c r="S15" s="2835"/>
      <c r="T15" s="2835"/>
      <c r="U15" s="2835"/>
      <c r="V15" s="2843"/>
    </row>
    <row r="16" spans="1:22" s="2847" customFormat="1" ht="13.15" customHeight="1">
      <c r="A16" s="2890" t="s">
        <v>2382</v>
      </c>
      <c r="B16" s="3681" t="s">
        <v>2383</v>
      </c>
      <c r="C16" s="3682"/>
      <c r="D16" s="2902">
        <f>D6*E16</f>
        <v>0</v>
      </c>
      <c r="E16" s="2903"/>
      <c r="F16" s="2888" t="s">
        <v>2384</v>
      </c>
      <c r="G16" s="2867"/>
      <c r="H16" s="2842"/>
      <c r="I16" s="2843"/>
      <c r="J16" s="3671"/>
      <c r="K16" s="3673"/>
      <c r="L16" s="2877" t="s">
        <v>2385</v>
      </c>
      <c r="M16" s="2878"/>
      <c r="N16" s="2878"/>
      <c r="O16" s="2879"/>
      <c r="P16" s="2880">
        <v>365</v>
      </c>
      <c r="Q16" s="2854"/>
      <c r="R16" s="2901">
        <f>ROUND(M16*N16*O16*P16/10000,0)</f>
        <v>0</v>
      </c>
      <c r="S16" s="2835"/>
      <c r="T16" s="2835"/>
      <c r="U16" s="2835"/>
      <c r="V16" s="2843"/>
    </row>
    <row r="17" spans="1:22" s="2847" customFormat="1" ht="13.15" customHeight="1" thickBot="1">
      <c r="A17" s="2904">
        <v>4</v>
      </c>
      <c r="B17" s="3683" t="s">
        <v>2386</v>
      </c>
      <c r="C17" s="3684"/>
      <c r="D17" s="2905">
        <f>ROUND(D6*E17,0)</f>
        <v>0</v>
      </c>
      <c r="E17" s="2906"/>
      <c r="F17" s="2907" t="s">
        <v>2387</v>
      </c>
      <c r="G17" s="2867"/>
      <c r="H17" s="2842"/>
      <c r="I17" s="2843"/>
      <c r="J17" s="3671"/>
      <c r="K17" s="3673"/>
      <c r="L17" s="2877" t="s">
        <v>2388</v>
      </c>
      <c r="M17" s="2878"/>
      <c r="N17" s="2878"/>
      <c r="O17" s="2879"/>
      <c r="P17" s="2880">
        <v>365</v>
      </c>
      <c r="Q17" s="2854"/>
      <c r="R17" s="2901">
        <f>ROUND(M17*N17*O17*P17/10000,0)</f>
        <v>0</v>
      </c>
      <c r="S17" s="2835"/>
      <c r="T17" s="2835"/>
      <c r="U17" s="2835"/>
      <c r="V17" s="2843"/>
    </row>
    <row r="18" spans="1:22" s="2847" customFormat="1" ht="13.15" customHeight="1" thickBot="1">
      <c r="A18" s="2870" t="s">
        <v>2389</v>
      </c>
      <c r="B18" s="2871"/>
      <c r="C18" s="2871"/>
      <c r="D18" s="2908">
        <f>ROUND(D6*E18,0)</f>
        <v>0</v>
      </c>
      <c r="E18" s="2909"/>
      <c r="F18" s="2910" t="s">
        <v>2390</v>
      </c>
      <c r="G18" s="2867"/>
      <c r="H18" s="2842"/>
      <c r="I18" s="2843"/>
      <c r="J18" s="3671"/>
      <c r="K18" s="3673"/>
      <c r="L18" s="2877" t="s">
        <v>2391</v>
      </c>
      <c r="M18" s="2878"/>
      <c r="N18" s="2878"/>
      <c r="O18" s="2879"/>
      <c r="P18" s="2880">
        <v>365</v>
      </c>
      <c r="Q18" s="2854"/>
      <c r="R18" s="2901">
        <f>ROUND(M18*N18*O18*P18/10000,0)</f>
        <v>0</v>
      </c>
      <c r="S18" s="2835"/>
      <c r="T18" s="2835"/>
      <c r="U18" s="2835"/>
      <c r="V18" s="2843"/>
    </row>
    <row r="19" spans="1:22" s="2847" customFormat="1" ht="13.15" customHeight="1" thickBot="1">
      <c r="A19" s="2911" t="s">
        <v>2392</v>
      </c>
      <c r="B19" s="2865"/>
      <c r="C19" s="2865"/>
      <c r="D19" s="2865"/>
      <c r="E19" s="2865"/>
      <c r="F19" s="2866"/>
      <c r="G19" s="2886"/>
      <c r="H19" s="2842"/>
      <c r="I19" s="2843"/>
      <c r="J19" s="3671"/>
      <c r="K19" s="3674"/>
      <c r="L19" s="2897" t="s">
        <v>2372</v>
      </c>
      <c r="M19" s="2898"/>
      <c r="N19" s="2898">
        <f>SUM(N16:N18)</f>
        <v>0</v>
      </c>
      <c r="O19" s="2899"/>
      <c r="P19" s="2912" t="s">
        <v>2435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1">
        <v>3</v>
      </c>
      <c r="K20" s="3672" t="s">
        <v>2393</v>
      </c>
      <c r="L20" s="2877" t="s">
        <v>2394</v>
      </c>
      <c r="M20" s="2878" t="s">
        <v>2395</v>
      </c>
      <c r="N20" s="2915" t="s">
        <v>2396</v>
      </c>
      <c r="O20" s="2879" t="s">
        <v>2397</v>
      </c>
      <c r="P20" s="2880" t="s">
        <v>2398</v>
      </c>
      <c r="Q20" s="2854" t="s">
        <v>2399</v>
      </c>
      <c r="R20" s="2901" t="s">
        <v>2400</v>
      </c>
      <c r="S20" s="2916"/>
      <c r="T20" s="2916"/>
      <c r="U20" s="2916"/>
      <c r="V20" s="2843"/>
    </row>
    <row r="21" spans="1:22" s="2847" customFormat="1" ht="13.15" customHeight="1">
      <c r="A21" s="2870"/>
      <c r="B21" s="2871"/>
      <c r="C21" s="2917" t="s">
        <v>2401</v>
      </c>
      <c r="D21" s="2918" t="s">
        <v>2402</v>
      </c>
      <c r="E21" s="2919" t="s">
        <v>2403</v>
      </c>
      <c r="F21" s="2914"/>
      <c r="G21" s="2886"/>
      <c r="H21" s="2842"/>
      <c r="I21" s="2843"/>
      <c r="J21" s="3671"/>
      <c r="K21" s="3673"/>
      <c r="L21" s="2877" t="s">
        <v>2404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2405</v>
      </c>
      <c r="D22" s="2922" t="s">
        <v>2406</v>
      </c>
      <c r="E22" s="2923" t="s">
        <v>2407</v>
      </c>
      <c r="F22" s="2914"/>
      <c r="G22" s="2924"/>
      <c r="H22" s="2842"/>
      <c r="I22" s="2843"/>
      <c r="J22" s="3671"/>
      <c r="K22" s="3673"/>
      <c r="L22" s="2877" t="s">
        <v>2408</v>
      </c>
      <c r="M22" s="2878"/>
      <c r="N22" s="2878"/>
      <c r="O22" s="2879"/>
      <c r="P22" s="2880">
        <v>365</v>
      </c>
      <c r="Q22" s="2854"/>
      <c r="R22" s="2920">
        <f>ROUND(M22*N22*O22*P22/10000,0)</f>
        <v>0</v>
      </c>
      <c r="S22" s="2916"/>
      <c r="T22" s="2916"/>
      <c r="U22" s="2916"/>
      <c r="V22" s="2843"/>
    </row>
    <row r="23" spans="1:22" s="2847" customFormat="1" ht="13.15" customHeight="1">
      <c r="A23" s="2925">
        <v>1</v>
      </c>
      <c r="B23" s="2926" t="s">
        <v>2409</v>
      </c>
      <c r="C23" s="2927">
        <f>D6</f>
        <v>0</v>
      </c>
      <c r="D23" s="2928">
        <f>C23*(1+D24)</f>
        <v>0</v>
      </c>
      <c r="E23" s="2929">
        <f>D23*(1+E24)</f>
        <v>0</v>
      </c>
      <c r="F23" s="2930"/>
      <c r="G23" s="2931"/>
      <c r="H23" s="2842"/>
      <c r="I23" s="2843"/>
      <c r="J23" s="3671"/>
      <c r="K23" s="3673"/>
      <c r="L23" s="2877" t="s">
        <v>2410</v>
      </c>
      <c r="M23" s="2878"/>
      <c r="N23" s="2878"/>
      <c r="O23" s="2879"/>
      <c r="P23" s="2880">
        <v>365</v>
      </c>
      <c r="Q23" s="2854"/>
      <c r="R23" s="2920">
        <f>ROUND(M23*N23*O23*P23/10000,0)</f>
        <v>0</v>
      </c>
      <c r="S23" s="2835"/>
      <c r="T23" s="2835"/>
      <c r="U23" s="2835"/>
      <c r="V23" s="2843"/>
    </row>
    <row r="24" spans="1:22" s="2847" customFormat="1" ht="13.15" customHeight="1">
      <c r="A24" s="2932"/>
      <c r="B24" s="2933" t="s">
        <v>2411</v>
      </c>
      <c r="C24" s="2934"/>
      <c r="D24" s="2935"/>
      <c r="E24" s="2936"/>
      <c r="F24" s="2937"/>
      <c r="G24" s="2931"/>
      <c r="H24" s="2842"/>
      <c r="I24" s="2843"/>
      <c r="J24" s="3671"/>
      <c r="K24" s="3674"/>
      <c r="L24" s="2897" t="s">
        <v>2372</v>
      </c>
      <c r="M24" s="2898">
        <f>SUM(M21:M23)</f>
        <v>0</v>
      </c>
      <c r="N24" s="2898"/>
      <c r="O24" s="2899"/>
      <c r="P24" s="2912" t="s">
        <v>2435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2412</v>
      </c>
      <c r="L25" s="2940"/>
      <c r="M25" s="2940"/>
      <c r="N25" s="2940"/>
      <c r="O25" s="2940"/>
      <c r="P25" s="2941"/>
      <c r="Q25" s="2942">
        <v>0</v>
      </c>
      <c r="R25" s="2913">
        <f>ROUND(R14*Q25,0)</f>
        <v>0</v>
      </c>
      <c r="S25" s="2835"/>
      <c r="T25" s="2835"/>
      <c r="U25" s="2835"/>
      <c r="V25" s="2943"/>
    </row>
    <row r="26" spans="1:22" s="2944" customFormat="1" ht="13.15" customHeight="1">
      <c r="A26" s="2925">
        <v>2</v>
      </c>
      <c r="B26" s="2926" t="s">
        <v>2413</v>
      </c>
      <c r="C26" s="2927">
        <f>D7</f>
        <v>0</v>
      </c>
      <c r="D26" s="2928">
        <f>D23*D27</f>
        <v>0</v>
      </c>
      <c r="E26" s="2929">
        <f>E23*E27</f>
        <v>0</v>
      </c>
      <c r="F26" s="2930"/>
      <c r="G26" s="2931"/>
      <c r="H26" s="2842"/>
      <c r="I26" s="2843"/>
      <c r="J26" s="3675">
        <v>5</v>
      </c>
      <c r="K26" s="2945" t="s">
        <v>2414</v>
      </c>
      <c r="L26" s="2946"/>
      <c r="M26" s="2947"/>
      <c r="N26" s="2948" t="s">
        <v>2415</v>
      </c>
      <c r="O26" s="2948" t="s">
        <v>2416</v>
      </c>
      <c r="P26" s="2949" t="s">
        <v>2417</v>
      </c>
      <c r="Q26" s="2949" t="s">
        <v>2418</v>
      </c>
      <c r="R26" s="2852" t="s">
        <v>2343</v>
      </c>
      <c r="S26" s="2950"/>
      <c r="T26" s="2950"/>
      <c r="U26" s="2950"/>
      <c r="V26" s="2943"/>
    </row>
    <row r="27" spans="1:22" s="2847" customFormat="1" ht="13.15" customHeight="1">
      <c r="A27" s="2932"/>
      <c r="B27" s="2933" t="s">
        <v>2419</v>
      </c>
      <c r="C27" s="2951" t="e">
        <f>E7</f>
        <v>#DIV/0!</v>
      </c>
      <c r="D27" s="2935"/>
      <c r="E27" s="2936"/>
      <c r="F27" s="2937"/>
      <c r="G27" s="2931"/>
      <c r="H27" s="2952"/>
      <c r="I27" s="2943"/>
      <c r="J27" s="367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2420</v>
      </c>
      <c r="F28" s="2937"/>
      <c r="G28" s="2924"/>
      <c r="H28" s="2952"/>
      <c r="I28" s="2943"/>
      <c r="J28" s="2958">
        <v>6</v>
      </c>
      <c r="K28" s="2959" t="s">
        <v>2421</v>
      </c>
      <c r="L28" s="2960" t="s">
        <v>2422</v>
      </c>
      <c r="M28" s="2961"/>
      <c r="N28" s="2960" t="s">
        <v>2423</v>
      </c>
      <c r="O28" s="2962"/>
      <c r="P28" s="2960" t="s">
        <v>2424</v>
      </c>
      <c r="Q28" s="2963">
        <v>1.4999999999999999E-2</v>
      </c>
      <c r="R28" s="2964"/>
      <c r="S28" s="2916"/>
      <c r="T28" s="2916"/>
      <c r="U28" s="2916"/>
      <c r="V28" s="2943"/>
    </row>
    <row r="29" spans="1:22" s="2944" customFormat="1" ht="13.15" customHeight="1">
      <c r="A29" s="2925">
        <v>3</v>
      </c>
      <c r="B29" s="2926" t="s">
        <v>2425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2426</v>
      </c>
      <c r="K31" s="2833"/>
      <c r="L31" s="2833"/>
      <c r="M31" s="2833"/>
      <c r="N31" s="2833"/>
      <c r="O31" s="2833"/>
      <c r="P31" s="2833"/>
      <c r="Q31" s="2833"/>
      <c r="R31" s="2834"/>
      <c r="S31" s="2916"/>
      <c r="T31" s="2835"/>
      <c r="U31" s="2835"/>
      <c r="V31" s="2943"/>
    </row>
    <row r="32" spans="1:22" s="2944" customFormat="1" ht="13.15" customHeight="1">
      <c r="A32" s="2925">
        <v>4</v>
      </c>
      <c r="B32" s="2926" t="s">
        <v>2427</v>
      </c>
      <c r="C32" s="2927">
        <f>C23-C26-C29</f>
        <v>0</v>
      </c>
      <c r="D32" s="2928">
        <f>D23-D26-D29</f>
        <v>0</v>
      </c>
      <c r="E32" s="2929">
        <f>E23-E26-E29</f>
        <v>0</v>
      </c>
      <c r="F32" s="2930"/>
      <c r="G32" s="2924"/>
      <c r="H32" s="2842"/>
      <c r="I32" s="2843"/>
      <c r="J32" s="3677" t="s">
        <v>2319</v>
      </c>
      <c r="K32" s="3678"/>
      <c r="L32" s="2844" t="s">
        <v>2320</v>
      </c>
      <c r="M32" s="2844" t="s">
        <v>2321</v>
      </c>
      <c r="N32" s="2844" t="s">
        <v>2322</v>
      </c>
      <c r="O32" s="2844" t="s">
        <v>2323</v>
      </c>
      <c r="P32" s="2844" t="s">
        <v>2324</v>
      </c>
      <c r="Q32" s="2845" t="s">
        <v>2325</v>
      </c>
      <c r="R32" s="2967" t="s">
        <v>2326</v>
      </c>
      <c r="S32" s="2916"/>
      <c r="T32" s="2835"/>
      <c r="U32" s="2835"/>
      <c r="V32" s="2943"/>
    </row>
    <row r="33" spans="1:23" s="2847" customFormat="1" ht="13.15" customHeight="1">
      <c r="A33" s="2925"/>
      <c r="B33" s="2926"/>
      <c r="C33" s="2927"/>
      <c r="D33" s="2968"/>
      <c r="E33" s="2969"/>
      <c r="F33" s="2930"/>
      <c r="G33" s="2924"/>
      <c r="H33" s="2952"/>
      <c r="I33" s="2943"/>
      <c r="J33" s="3679" t="s">
        <v>2329</v>
      </c>
      <c r="K33" s="3680"/>
      <c r="L33" s="2850"/>
      <c r="M33" s="2850"/>
      <c r="N33" s="2850"/>
      <c r="O33" s="2850"/>
      <c r="P33" s="2850"/>
      <c r="Q33" s="2851"/>
      <c r="R33" s="2970">
        <f>SUM(L33:Q33)</f>
        <v>0</v>
      </c>
      <c r="S33" s="2916"/>
      <c r="T33" s="2835"/>
      <c r="U33" s="2835"/>
      <c r="V33" s="2843"/>
    </row>
    <row r="34" spans="1:23" s="2847" customFormat="1" ht="13.15" customHeight="1">
      <c r="A34" s="2925">
        <v>5</v>
      </c>
      <c r="B34" s="2926" t="s">
        <v>2428</v>
      </c>
      <c r="C34" s="2971"/>
      <c r="D34" s="2972"/>
      <c r="E34" s="2973"/>
      <c r="F34" s="2930"/>
      <c r="G34" s="2924"/>
      <c r="H34" s="2952"/>
      <c r="I34" s="2943"/>
      <c r="J34" s="3679" t="s">
        <v>2331</v>
      </c>
      <c r="K34" s="368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2429</v>
      </c>
      <c r="C35" s="2975"/>
      <c r="D35" s="2976"/>
      <c r="E35" s="2977"/>
      <c r="F35" s="2930"/>
      <c r="G35" s="2978"/>
      <c r="H35" s="2842"/>
      <c r="I35" s="2943"/>
      <c r="J35" s="2861" t="s">
        <v>2333</v>
      </c>
      <c r="K35" s="2862"/>
      <c r="L35" s="2862"/>
      <c r="M35" s="2863"/>
      <c r="N35" s="2863"/>
      <c r="O35" s="2863"/>
      <c r="P35" s="2863"/>
      <c r="Q35" s="2863"/>
      <c r="R35" s="2979">
        <f>R40+R41+R43</f>
        <v>0</v>
      </c>
      <c r="S35" s="2916"/>
      <c r="T35" s="2835" t="s">
        <v>2334</v>
      </c>
      <c r="U35" s="2835"/>
      <c r="V35" s="2843"/>
    </row>
    <row r="36" spans="1:23" s="2847" customFormat="1" ht="13.15" customHeight="1" thickBot="1">
      <c r="A36" s="2925">
        <v>7</v>
      </c>
      <c r="B36" s="2980" t="s">
        <v>2430</v>
      </c>
      <c r="C36" s="2981"/>
      <c r="D36" s="2982"/>
      <c r="E36" s="2983"/>
      <c r="F36" s="2984">
        <f>C36+D36+E36</f>
        <v>0</v>
      </c>
      <c r="G36" s="2924"/>
      <c r="H36" s="2842"/>
      <c r="I36" s="2843"/>
      <c r="J36" s="3671">
        <v>1</v>
      </c>
      <c r="K36" s="3672" t="s">
        <v>2431</v>
      </c>
      <c r="L36" s="2868"/>
      <c r="M36" s="2869"/>
      <c r="N36" s="2869"/>
      <c r="O36" s="2869"/>
      <c r="P36" s="2869"/>
      <c r="Q36" s="2869"/>
      <c r="R36" s="2852" t="s">
        <v>2343</v>
      </c>
      <c r="S36" s="2916"/>
      <c r="T36" s="2835" t="s">
        <v>2344</v>
      </c>
      <c r="U36" s="2835"/>
      <c r="V36" s="2843"/>
    </row>
    <row r="37" spans="1:23" s="2847" customFormat="1" ht="13.15" customHeight="1">
      <c r="A37" s="2925"/>
      <c r="B37" s="2926"/>
      <c r="C37" s="2926"/>
      <c r="D37" s="2926"/>
      <c r="E37" s="2926"/>
      <c r="F37" s="2930"/>
      <c r="G37" s="2924"/>
      <c r="H37" s="2842"/>
      <c r="I37" s="2843"/>
      <c r="J37" s="3671"/>
      <c r="K37" s="3673"/>
      <c r="L37" s="2877"/>
      <c r="M37" s="2878"/>
      <c r="N37" s="2854"/>
      <c r="O37" s="2879"/>
      <c r="P37" s="2879"/>
      <c r="Q37" s="2880"/>
      <c r="R37" s="2881"/>
      <c r="S37" s="2916"/>
      <c r="T37" s="2835" t="s">
        <v>2347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1"/>
      <c r="K38" s="3673"/>
      <c r="L38" s="2877"/>
      <c r="M38" s="2878"/>
      <c r="N38" s="2854"/>
      <c r="O38" s="2879"/>
      <c r="P38" s="2879"/>
      <c r="Q38" s="2880"/>
      <c r="R38" s="2881"/>
      <c r="S38" s="2916"/>
      <c r="T38" s="2835" t="s">
        <v>2354</v>
      </c>
      <c r="U38" s="2835"/>
      <c r="V38" s="2843"/>
    </row>
    <row r="39" spans="1:23" s="2847" customFormat="1" ht="13.15" customHeight="1">
      <c r="A39" s="2925">
        <v>9</v>
      </c>
      <c r="B39" s="2926" t="s">
        <v>2432</v>
      </c>
      <c r="C39" s="2891" t="e">
        <f>C38</f>
        <v>#DIV/0!</v>
      </c>
      <c r="D39" s="2926">
        <f>D38/(1+D34)^C36</f>
        <v>0</v>
      </c>
      <c r="E39" s="2926">
        <f>E38/(1+E34)^(C36+D36)</f>
        <v>0</v>
      </c>
      <c r="F39" s="2930"/>
      <c r="G39" s="2985"/>
      <c r="H39" s="2842"/>
      <c r="I39" s="2843"/>
      <c r="J39" s="3671"/>
      <c r="K39" s="3673"/>
      <c r="L39" s="2877"/>
      <c r="M39" s="2878"/>
      <c r="N39" s="2854"/>
      <c r="O39" s="2879"/>
      <c r="P39" s="2879"/>
      <c r="Q39" s="2880"/>
      <c r="R39" s="2881"/>
      <c r="S39" s="2916"/>
      <c r="T39" s="2835"/>
      <c r="U39" s="2835"/>
      <c r="V39" s="2843"/>
    </row>
    <row r="40" spans="1:23" s="2847" customFormat="1" ht="13.15" customHeight="1">
      <c r="A40" s="2986">
        <v>10</v>
      </c>
      <c r="B40" s="2926" t="s">
        <v>2433</v>
      </c>
      <c r="C40" s="2987" t="e">
        <f>C39+D39+E39</f>
        <v>#DIV/0!</v>
      </c>
      <c r="D40" s="2988"/>
      <c r="E40" s="2988"/>
      <c r="F40" s="2989"/>
      <c r="G40" s="2924"/>
      <c r="H40" s="2842"/>
      <c r="I40" s="2843"/>
      <c r="J40" s="3671"/>
      <c r="K40" s="3674"/>
      <c r="L40" s="2897" t="s">
        <v>2372</v>
      </c>
      <c r="M40" s="2898"/>
      <c r="N40" s="2898"/>
      <c r="O40" s="2899"/>
      <c r="P40" s="2899"/>
      <c r="Q40" s="2900"/>
      <c r="R40" s="2846">
        <f>SUM(R37:R39)</f>
        <v>0</v>
      </c>
      <c r="S40" s="2916"/>
      <c r="T40" s="2835"/>
      <c r="U40" s="2835"/>
      <c r="V40" s="2843"/>
    </row>
    <row r="41" spans="1:23" s="2847" customFormat="1" ht="13.15" customHeight="1" thickBot="1">
      <c r="A41" s="2990">
        <v>11</v>
      </c>
      <c r="B41" s="2991" t="s">
        <v>2434</v>
      </c>
      <c r="C41" s="2991" t="e">
        <f>ROUND(C40*10000/B4,0)</f>
        <v>#DIV/0!</v>
      </c>
      <c r="D41" s="2992"/>
      <c r="E41" s="2992"/>
      <c r="F41" s="2993"/>
      <c r="G41" s="2994"/>
      <c r="H41" s="2842"/>
      <c r="I41" s="2843"/>
      <c r="J41" s="2938">
        <v>2</v>
      </c>
      <c r="K41" s="2939" t="s">
        <v>2412</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5">
        <v>3</v>
      </c>
      <c r="K42" s="2945" t="s">
        <v>2414</v>
      </c>
      <c r="L42" s="2946"/>
      <c r="M42" s="2947"/>
      <c r="N42" s="2948" t="s">
        <v>2415</v>
      </c>
      <c r="O42" s="2948" t="s">
        <v>2416</v>
      </c>
      <c r="P42" s="2949" t="s">
        <v>2417</v>
      </c>
      <c r="Q42" s="2949" t="s">
        <v>2418</v>
      </c>
      <c r="R42" s="2852" t="s">
        <v>2343</v>
      </c>
      <c r="S42" s="2950"/>
      <c r="T42" s="2950"/>
      <c r="U42" s="2835"/>
      <c r="V42" s="2843"/>
    </row>
    <row r="43" spans="1:23" ht="13.15" customHeight="1">
      <c r="A43" s="2847"/>
      <c r="B43" s="2847"/>
      <c r="C43" s="2847"/>
      <c r="D43" s="2847"/>
      <c r="E43" s="2847"/>
      <c r="F43" s="2847"/>
      <c r="I43" s="2830"/>
      <c r="J43" s="367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2421</v>
      </c>
      <c r="L44" s="2998" t="s">
        <v>2422</v>
      </c>
      <c r="M44" s="2961"/>
      <c r="N44" s="2998" t="s">
        <v>2423</v>
      </c>
      <c r="O44" s="2961"/>
      <c r="P44" s="2998" t="s">
        <v>2424</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1351.6048000000001</v>
      </c>
      <c r="C2" s="1866" t="s">
        <v>1651</v>
      </c>
      <c r="D2" s="1867" t="s">
        <v>1652</v>
      </c>
      <c r="E2" s="2601">
        <f>SUM(E6:E13)</f>
        <v>687.62999999999988</v>
      </c>
      <c r="F2" s="2701"/>
      <c r="G2" s="1483"/>
      <c r="H2" s="1483"/>
      <c r="I2" s="1483"/>
      <c r="J2" s="1483"/>
      <c r="K2" s="1483"/>
      <c r="L2" s="1483"/>
      <c r="M2" s="1483"/>
      <c r="N2" s="1483"/>
      <c r="O2" s="1483"/>
      <c r="P2" s="1483"/>
      <c r="Q2" s="1483"/>
      <c r="R2" s="1483"/>
      <c r="S2" s="1483"/>
    </row>
    <row r="3" spans="1:22" ht="15.75">
      <c r="A3" s="1864" t="s">
        <v>686</v>
      </c>
      <c r="B3" s="2595">
        <f ca="1">ROUND(B2*10000/E2,0)</f>
        <v>19656</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690" t="s">
        <v>1654</v>
      </c>
      <c r="C5" s="3691"/>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收益法-1803</v>
      </c>
      <c r="B6" s="2596">
        <f ca="1">IF(F6="是",'数据-取费表'!AO6,0)</f>
        <v>290.20060000000001</v>
      </c>
      <c r="C6" s="1866" t="s">
        <v>1651</v>
      </c>
      <c r="D6" s="2703"/>
      <c r="E6" s="2600">
        <f>IF(OR(A6=0,F6="否"),0,'数据-取费表'!K6+'数据-取费表'!S6)</f>
        <v>147.63999999999999</v>
      </c>
      <c r="F6" s="1870" t="s">
        <v>1657</v>
      </c>
      <c r="G6" s="1483"/>
      <c r="H6" s="1483"/>
      <c r="I6" s="1483"/>
      <c r="J6" s="1483"/>
      <c r="K6" s="1483"/>
      <c r="L6" s="1483"/>
      <c r="M6" s="1483"/>
      <c r="N6" s="1483"/>
      <c r="O6" s="1483"/>
      <c r="P6" s="1483"/>
      <c r="Q6" s="1483"/>
      <c r="R6" s="1483"/>
      <c r="S6" s="1483"/>
    </row>
    <row r="7" spans="1:22">
      <c r="A7" s="2598" t="str">
        <f>'数据-取费表'!AN7</f>
        <v>收益法-1804</v>
      </c>
      <c r="B7" s="2596">
        <f ca="1">IF(F7="是",'数据-取费表'!AO7,0)</f>
        <v>290.20060000000001</v>
      </c>
      <c r="C7" s="1866" t="s">
        <v>1651</v>
      </c>
      <c r="D7" s="2703"/>
      <c r="E7" s="2600">
        <f>IF(OR(A7=0,F7="否"),0,'数据-取费表'!K7+'数据-取费表'!S7)</f>
        <v>147.63999999999999</v>
      </c>
      <c r="F7" s="1870" t="s">
        <v>1657</v>
      </c>
      <c r="G7" s="1483"/>
      <c r="H7" s="1483"/>
      <c r="I7" s="1483"/>
      <c r="J7" s="1483"/>
      <c r="K7" s="1483"/>
      <c r="L7" s="1483"/>
      <c r="M7" s="1483"/>
      <c r="N7" s="1483"/>
      <c r="O7" s="1483"/>
      <c r="P7" s="1483"/>
      <c r="Q7" s="1483"/>
      <c r="R7" s="1483"/>
      <c r="S7" s="1483"/>
    </row>
    <row r="8" spans="1:22">
      <c r="A8" s="2598" t="str">
        <f>'数据-取费表'!AN8</f>
        <v>收益法-1805</v>
      </c>
      <c r="B8" s="2596">
        <f ca="1">IF(F8="是",'数据-取费表'!AO8,0)</f>
        <v>407.91840000000002</v>
      </c>
      <c r="C8" s="1866" t="s">
        <v>1651</v>
      </c>
      <c r="D8" s="2703"/>
      <c r="E8" s="2600">
        <f>IF(OR(A8=0,F8="否"),0,'数据-取费表'!K8+'数据-取费表'!S8)</f>
        <v>207.53</v>
      </c>
      <c r="F8" s="1870" t="s">
        <v>1657</v>
      </c>
      <c r="G8" s="1483"/>
      <c r="H8" s="1483"/>
      <c r="I8" s="1483"/>
      <c r="J8" s="1483"/>
      <c r="K8" s="1483"/>
      <c r="L8" s="1483"/>
      <c r="M8" s="1483"/>
      <c r="N8" s="1483"/>
      <c r="O8" s="1483"/>
      <c r="P8" s="1483"/>
      <c r="Q8" s="1483"/>
      <c r="R8" s="1483"/>
      <c r="S8" s="1483"/>
    </row>
    <row r="9" spans="1:22">
      <c r="A9" s="2598" t="str">
        <f>'数据-取费表'!AN9</f>
        <v>收益法-1806</v>
      </c>
      <c r="B9" s="2596">
        <f ca="1">IF(F9="是",'数据-取费表'!AO9,0)</f>
        <v>363.28519999999997</v>
      </c>
      <c r="C9" s="1866" t="s">
        <v>1651</v>
      </c>
      <c r="D9" s="2703"/>
      <c r="E9" s="2600">
        <f>IF(OR(A9=0,F9="否"),0,'数据-取费表'!K9+'数据-取费表'!S9)</f>
        <v>184.82</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687.62999999999988</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5" t="s">
        <v>1666</v>
      </c>
      <c r="B4" s="356"/>
      <c r="C4" s="3710" t="s">
        <v>1667</v>
      </c>
      <c r="D4" s="3711"/>
      <c r="E4" s="3712" t="s">
        <v>1668</v>
      </c>
      <c r="F4" s="3713"/>
      <c r="G4" s="3710" t="s">
        <v>1669</v>
      </c>
      <c r="H4" s="3711"/>
      <c r="I4" s="3710" t="s">
        <v>1670</v>
      </c>
      <c r="J4" s="3711"/>
      <c r="K4" s="1883" t="s">
        <v>1671</v>
      </c>
      <c r="L4" s="2709"/>
      <c r="M4" s="2710"/>
      <c r="N4" s="2710"/>
      <c r="O4" s="2710"/>
      <c r="P4" s="3714" t="s">
        <v>1672</v>
      </c>
      <c r="Q4" s="3715"/>
      <c r="R4" s="3720" t="s">
        <v>1668</v>
      </c>
      <c r="S4" s="3721"/>
      <c r="T4" s="3720" t="s">
        <v>1669</v>
      </c>
      <c r="U4" s="3721"/>
      <c r="V4" s="3726" t="s">
        <v>1670</v>
      </c>
      <c r="W4" s="3726"/>
      <c r="X4" s="1349"/>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84"/>
      <c r="L5" s="2709"/>
      <c r="M5" s="2710"/>
      <c r="N5" s="2710"/>
      <c r="O5" s="2710"/>
      <c r="P5" s="3716"/>
      <c r="Q5" s="3717"/>
      <c r="R5" s="3722"/>
      <c r="S5" s="3723"/>
      <c r="T5" s="3722"/>
      <c r="U5" s="3723"/>
      <c r="V5" s="3726"/>
      <c r="W5" s="3726"/>
      <c r="X5" s="1349"/>
      <c r="Y5" s="3722"/>
      <c r="Z5" s="3723"/>
      <c r="AA5" s="3708"/>
      <c r="AB5" s="3708"/>
      <c r="AC5" s="3708"/>
    </row>
    <row r="6" spans="1:29" ht="15.75" thickBot="1">
      <c r="A6" s="360"/>
      <c r="B6" s="361"/>
      <c r="C6" s="3727" t="s">
        <v>1677</v>
      </c>
      <c r="D6" s="3728"/>
      <c r="E6" s="3734" t="s">
        <v>1677</v>
      </c>
      <c r="F6" s="3735"/>
      <c r="G6" s="3727" t="s">
        <v>1677</v>
      </c>
      <c r="H6" s="3728"/>
      <c r="I6" s="3727" t="s">
        <v>1677</v>
      </c>
      <c r="J6" s="3728"/>
      <c r="K6" s="1884" t="s">
        <v>1678</v>
      </c>
      <c r="L6" s="2709"/>
      <c r="M6" s="2710"/>
      <c r="N6" s="2710"/>
      <c r="O6" s="2710"/>
      <c r="P6" s="3718"/>
      <c r="Q6" s="3719"/>
      <c r="R6" s="3722"/>
      <c r="S6" s="3723"/>
      <c r="T6" s="3724"/>
      <c r="U6" s="3725"/>
      <c r="V6" s="3726"/>
      <c r="W6" s="3726"/>
      <c r="X6" s="1349"/>
      <c r="Y6" s="3724"/>
      <c r="Z6" s="3725"/>
      <c r="AA6" s="3709"/>
      <c r="AB6" s="3709"/>
      <c r="AC6" s="3709"/>
    </row>
    <row r="7" spans="1:29" s="108" customFormat="1" ht="15.75" thickBot="1">
      <c r="A7" s="362" t="s">
        <v>1679</v>
      </c>
      <c r="B7" s="363"/>
      <c r="C7" s="364">
        <f>'数据-取费表'!B2</f>
        <v>45506</v>
      </c>
      <c r="D7" s="365">
        <v>100</v>
      </c>
      <c r="E7" s="366"/>
      <c r="F7" s="367">
        <f>SUMIF(58:58,YEAR(E7)&amp;"-"&amp;MONTH(E7),59:59)</f>
        <v>0</v>
      </c>
      <c r="G7" s="366"/>
      <c r="H7" s="365">
        <f>SUMIF(58:58,YEAR(G7)&amp;"-"&amp;MONTH(G7),59:59)</f>
        <v>0</v>
      </c>
      <c r="I7" s="366"/>
      <c r="J7" s="365">
        <f>SUMIF(58:58,YEAR(I7)&amp;"-"&amp;MONTH(I7),59:59)</f>
        <v>0</v>
      </c>
      <c r="K7" s="1885"/>
      <c r="L7" s="2711"/>
      <c r="M7" s="2712"/>
      <c r="N7" s="2712"/>
      <c r="O7" s="2712"/>
      <c r="P7" s="3731" t="s">
        <v>1680</v>
      </c>
      <c r="Q7" s="3733"/>
      <c r="R7" s="699" t="s">
        <v>20</v>
      </c>
      <c r="S7" s="700">
        <f t="shared" ref="S7:S15" si="0">F7</f>
        <v>0</v>
      </c>
      <c r="T7" s="699" t="s">
        <v>20</v>
      </c>
      <c r="U7" s="700">
        <f t="shared" ref="U7:U15" si="1">H7</f>
        <v>0</v>
      </c>
      <c r="V7" s="699" t="s">
        <v>20</v>
      </c>
      <c r="W7" s="700">
        <f t="shared" ref="W7:W15" si="2">J7</f>
        <v>0</v>
      </c>
      <c r="X7" s="701"/>
      <c r="Y7" s="3731" t="s">
        <v>1680</v>
      </c>
      <c r="Z7" s="3732"/>
      <c r="AA7" s="702" t="e">
        <f>D7/F7</f>
        <v>#DIV/0!</v>
      </c>
      <c r="AB7" s="702" t="e">
        <f>D7/H7</f>
        <v>#DIV/0!</v>
      </c>
      <c r="AC7" s="702"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11"/>
      <c r="M8" s="2712"/>
      <c r="N8" s="2712"/>
      <c r="O8" s="2712"/>
      <c r="P8" s="3731" t="s">
        <v>1683</v>
      </c>
      <c r="Q8" s="3732"/>
      <c r="R8" s="699" t="s">
        <v>20</v>
      </c>
      <c r="S8" s="700">
        <f t="shared" si="0"/>
        <v>100</v>
      </c>
      <c r="T8" s="699" t="s">
        <v>20</v>
      </c>
      <c r="U8" s="700">
        <f t="shared" si="1"/>
        <v>100</v>
      </c>
      <c r="V8" s="699" t="s">
        <v>20</v>
      </c>
      <c r="W8" s="700">
        <f t="shared" si="2"/>
        <v>100</v>
      </c>
      <c r="X8" s="701"/>
      <c r="Y8" s="3731" t="s">
        <v>1683</v>
      </c>
      <c r="Z8" s="373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11"/>
      <c r="M9" s="2712"/>
      <c r="N9" s="2712"/>
      <c r="O9" s="2712"/>
      <c r="P9" s="3706"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5"/>
      <c r="L10" s="2713"/>
      <c r="M10" s="2714"/>
      <c r="N10" s="2714"/>
      <c r="O10" s="2714"/>
      <c r="P10" s="3706"/>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06"/>
      <c r="Q11" s="1337" t="str">
        <f t="shared" si="6"/>
        <v>容积率</v>
      </c>
      <c r="R11" s="699" t="s">
        <v>18</v>
      </c>
      <c r="S11" s="700" t="e">
        <f t="shared" si="0"/>
        <v>#N/A</v>
      </c>
      <c r="T11" s="699" t="s">
        <v>18</v>
      </c>
      <c r="U11" s="700" t="e">
        <f t="shared" si="1"/>
        <v>#N/A</v>
      </c>
      <c r="V11" s="699" t="s">
        <v>18</v>
      </c>
      <c r="W11" s="700" t="e">
        <f t="shared" si="2"/>
        <v>#N/A</v>
      </c>
      <c r="X11" s="701"/>
      <c r="Y11" s="3570"/>
      <c r="Z11" s="52" t="str">
        <f t="shared" si="7"/>
        <v>容积率</v>
      </c>
      <c r="AA11" s="702" t="e">
        <f t="shared" si="3"/>
        <v>#N/A</v>
      </c>
      <c r="AB11" s="702" t="e">
        <f t="shared" si="4"/>
        <v>#N/A</v>
      </c>
      <c r="AC11" s="702"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1"/>
      <c r="M12" s="2712"/>
      <c r="N12" s="2712"/>
      <c r="O12" s="2712"/>
      <c r="P12" s="3706"/>
      <c r="Q12" s="1337">
        <f t="shared" si="6"/>
        <v>111</v>
      </c>
      <c r="R12" s="699" t="s">
        <v>18</v>
      </c>
      <c r="S12" s="700">
        <f t="shared" si="0"/>
        <v>100</v>
      </c>
      <c r="T12" s="699" t="s">
        <v>18</v>
      </c>
      <c r="U12" s="700">
        <f t="shared" si="1"/>
        <v>100</v>
      </c>
      <c r="V12" s="699" t="s">
        <v>18</v>
      </c>
      <c r="W12" s="700">
        <f t="shared" si="2"/>
        <v>100</v>
      </c>
      <c r="X12" s="701"/>
      <c r="Y12" s="3570"/>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6"/>
      <c r="M13" s="2710"/>
      <c r="N13" s="2710"/>
      <c r="O13" s="2710"/>
      <c r="P13" s="3706"/>
      <c r="Q13" s="1337">
        <f t="shared" si="6"/>
        <v>111</v>
      </c>
      <c r="R13" s="699" t="s">
        <v>18</v>
      </c>
      <c r="S13" s="700">
        <f t="shared" si="0"/>
        <v>100</v>
      </c>
      <c r="T13" s="699" t="s">
        <v>18</v>
      </c>
      <c r="U13" s="700">
        <f t="shared" si="1"/>
        <v>100</v>
      </c>
      <c r="V13" s="699" t="s">
        <v>18</v>
      </c>
      <c r="W13" s="700">
        <f t="shared" si="2"/>
        <v>100</v>
      </c>
      <c r="X13" s="701"/>
      <c r="Y13" s="3570"/>
      <c r="Z13" s="52">
        <f t="shared" si="7"/>
        <v>111</v>
      </c>
      <c r="AA13" s="702">
        <f t="shared" si="3"/>
        <v>1</v>
      </c>
      <c r="AB13" s="702">
        <f t="shared" si="4"/>
        <v>1</v>
      </c>
      <c r="AC13" s="702">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6"/>
      <c r="M14" s="2710"/>
      <c r="N14" s="2710"/>
      <c r="O14" s="2710"/>
      <c r="P14" s="3706"/>
      <c r="Q14" s="1337">
        <f t="shared" si="6"/>
        <v>111</v>
      </c>
      <c r="R14" s="699" t="s">
        <v>18</v>
      </c>
      <c r="S14" s="700">
        <f t="shared" si="0"/>
        <v>100</v>
      </c>
      <c r="T14" s="699" t="s">
        <v>18</v>
      </c>
      <c r="U14" s="700">
        <f t="shared" si="1"/>
        <v>100</v>
      </c>
      <c r="V14" s="699" t="s">
        <v>18</v>
      </c>
      <c r="W14" s="700">
        <f t="shared" si="2"/>
        <v>100</v>
      </c>
      <c r="X14" s="701"/>
      <c r="Y14" s="3570"/>
      <c r="Z14" s="52">
        <f t="shared" si="7"/>
        <v>111</v>
      </c>
      <c r="AA14" s="702">
        <f t="shared" si="3"/>
        <v>1</v>
      </c>
      <c r="AB14" s="702">
        <f t="shared" si="4"/>
        <v>1</v>
      </c>
      <c r="AC14" s="702">
        <f t="shared" si="5"/>
        <v>1</v>
      </c>
    </row>
    <row r="15" spans="1:29" ht="85.5">
      <c r="A15" s="391" t="s">
        <v>1690</v>
      </c>
      <c r="B15" s="61" t="s">
        <v>1257</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04" t="s">
        <v>1691</v>
      </c>
      <c r="Q15" s="1346" t="str">
        <f t="shared" si="6"/>
        <v>居住社区成熟度</v>
      </c>
      <c r="R15" s="703" t="s">
        <v>18</v>
      </c>
      <c r="S15" s="704">
        <f t="shared" si="0"/>
        <v>100</v>
      </c>
      <c r="T15" s="703" t="s">
        <v>18</v>
      </c>
      <c r="U15" s="704">
        <f t="shared" si="1"/>
        <v>100</v>
      </c>
      <c r="V15" s="703" t="s">
        <v>18</v>
      </c>
      <c r="W15" s="704">
        <f t="shared" si="2"/>
        <v>100</v>
      </c>
      <c r="X15" s="1349"/>
      <c r="Y15" s="3697"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16"/>
      <c r="M16" s="2710"/>
      <c r="N16" s="2710"/>
      <c r="O16" s="2710"/>
      <c r="P16" s="3705"/>
      <c r="Q16" s="1346"/>
      <c r="R16" s="703"/>
      <c r="S16" s="704"/>
      <c r="T16" s="703"/>
      <c r="U16" s="704"/>
      <c r="V16" s="703"/>
      <c r="W16" s="704"/>
      <c r="X16" s="1349"/>
      <c r="Y16" s="3698"/>
      <c r="Z16" s="1350"/>
      <c r="AA16" s="1347">
        <v>1</v>
      </c>
      <c r="AB16" s="1347">
        <v>1</v>
      </c>
      <c r="AC16" s="1347">
        <v>1</v>
      </c>
    </row>
    <row r="17" spans="1:29" ht="71.25">
      <c r="A17" s="379"/>
      <c r="B17" s="402" t="s">
        <v>1259</v>
      </c>
      <c r="C17" s="1894"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5"/>
      <c r="Q17" s="1346" t="str">
        <f>B17</f>
        <v>交通便捷度</v>
      </c>
      <c r="R17" s="703" t="s">
        <v>18</v>
      </c>
      <c r="S17" s="704">
        <f>F17</f>
        <v>100</v>
      </c>
      <c r="T17" s="703" t="s">
        <v>18</v>
      </c>
      <c r="U17" s="704">
        <f>H17</f>
        <v>100</v>
      </c>
      <c r="V17" s="703" t="s">
        <v>18</v>
      </c>
      <c r="W17" s="704">
        <f>J17</f>
        <v>100</v>
      </c>
      <c r="X17" s="1349"/>
      <c r="Y17" s="3698"/>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6"/>
      <c r="M18" s="2710"/>
      <c r="N18" s="2710"/>
      <c r="O18" s="2710"/>
      <c r="P18" s="3705"/>
      <c r="Q18" s="1346"/>
      <c r="R18" s="703"/>
      <c r="S18" s="704"/>
      <c r="T18" s="703"/>
      <c r="U18" s="704"/>
      <c r="V18" s="703"/>
      <c r="W18" s="704"/>
      <c r="X18" s="1349"/>
      <c r="Y18" s="3698"/>
      <c r="Z18" s="1350"/>
      <c r="AA18" s="1347">
        <v>1</v>
      </c>
      <c r="AB18" s="1347">
        <v>1</v>
      </c>
      <c r="AC18" s="1347">
        <v>1</v>
      </c>
    </row>
    <row r="19" spans="1:29" ht="42.75">
      <c r="A19" s="379"/>
      <c r="B19" s="402" t="s">
        <v>1258</v>
      </c>
      <c r="C19" s="1894"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5"/>
      <c r="Q19" s="1346" t="str">
        <f>B19</f>
        <v>公共配套设施</v>
      </c>
      <c r="R19" s="703" t="s">
        <v>18</v>
      </c>
      <c r="S19" s="704">
        <f>F19</f>
        <v>100</v>
      </c>
      <c r="T19" s="703" t="s">
        <v>18</v>
      </c>
      <c r="U19" s="704">
        <f>H19</f>
        <v>100</v>
      </c>
      <c r="V19" s="703" t="s">
        <v>18</v>
      </c>
      <c r="W19" s="704">
        <f>J19</f>
        <v>100</v>
      </c>
      <c r="X19" s="1349"/>
      <c r="Y19" s="3698"/>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6"/>
      <c r="M20" s="2710"/>
      <c r="N20" s="2710"/>
      <c r="O20" s="2710"/>
      <c r="P20" s="3705"/>
      <c r="Q20" s="1346"/>
      <c r="R20" s="703"/>
      <c r="S20" s="704"/>
      <c r="T20" s="703"/>
      <c r="U20" s="704"/>
      <c r="V20" s="703"/>
      <c r="W20" s="704"/>
      <c r="X20" s="1349"/>
      <c r="Y20" s="3698"/>
      <c r="Z20" s="1350"/>
      <c r="AA20" s="1347">
        <v>1</v>
      </c>
      <c r="AB20" s="1347">
        <v>1</v>
      </c>
      <c r="AC20" s="1347">
        <v>1</v>
      </c>
    </row>
    <row r="21" spans="1:29" ht="28.5">
      <c r="A21" s="379"/>
      <c r="B21" s="1125" t="s">
        <v>1260</v>
      </c>
      <c r="C21" s="1894"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5"/>
      <c r="Q21" s="1346" t="str">
        <f>B21</f>
        <v>基础设施水平</v>
      </c>
      <c r="R21" s="703" t="s">
        <v>14</v>
      </c>
      <c r="S21" s="704">
        <f>F21</f>
        <v>100</v>
      </c>
      <c r="T21" s="703" t="s">
        <v>14</v>
      </c>
      <c r="U21" s="704">
        <f>H21</f>
        <v>100</v>
      </c>
      <c r="V21" s="703" t="s">
        <v>14</v>
      </c>
      <c r="W21" s="704">
        <f>J21</f>
        <v>100</v>
      </c>
      <c r="X21" s="1349"/>
      <c r="Y21" s="3698"/>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6"/>
      <c r="M22" s="2710"/>
      <c r="N22" s="2710"/>
      <c r="O22" s="2710"/>
      <c r="P22" s="3705"/>
      <c r="Q22" s="1346"/>
      <c r="R22" s="703"/>
      <c r="S22" s="704"/>
      <c r="T22" s="703"/>
      <c r="U22" s="704"/>
      <c r="V22" s="703"/>
      <c r="W22" s="704"/>
      <c r="X22" s="1349"/>
      <c r="Y22" s="3698"/>
      <c r="Z22" s="1350"/>
      <c r="AA22" s="1347">
        <v>1</v>
      </c>
      <c r="AB22" s="1347">
        <v>1</v>
      </c>
      <c r="AC22" s="1347">
        <v>1</v>
      </c>
    </row>
    <row r="23" spans="1:29" ht="42.75">
      <c r="A23" s="379"/>
      <c r="B23" s="402" t="s">
        <v>1261</v>
      </c>
      <c r="C23" s="1894"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5"/>
      <c r="Q23" s="1346" t="str">
        <f>B23</f>
        <v>自然及人文环境</v>
      </c>
      <c r="R23" s="703" t="s">
        <v>18</v>
      </c>
      <c r="S23" s="704">
        <f>F23</f>
        <v>100</v>
      </c>
      <c r="T23" s="703" t="s">
        <v>18</v>
      </c>
      <c r="U23" s="704">
        <f>H23</f>
        <v>100</v>
      </c>
      <c r="V23" s="703" t="s">
        <v>18</v>
      </c>
      <c r="W23" s="704">
        <f>J23</f>
        <v>100</v>
      </c>
      <c r="X23" s="1349"/>
      <c r="Y23" s="3698"/>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6"/>
      <c r="M24" s="2710"/>
      <c r="N24" s="2710"/>
      <c r="O24" s="2710"/>
      <c r="P24" s="3705"/>
      <c r="Q24" s="1346"/>
      <c r="R24" s="703"/>
      <c r="S24" s="704"/>
      <c r="T24" s="703"/>
      <c r="U24" s="704"/>
      <c r="V24" s="703"/>
      <c r="W24" s="704"/>
      <c r="X24" s="1349"/>
      <c r="Y24" s="3698"/>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16"/>
      <c r="M25" s="2710"/>
      <c r="N25" s="2710"/>
      <c r="O25" s="2710"/>
      <c r="P25" s="3705"/>
      <c r="Q25" s="1346" t="str">
        <f t="shared" ref="Q25:Q46" si="11">B25</f>
        <v>楼层-1</v>
      </c>
      <c r="R25" s="703" t="s">
        <v>18</v>
      </c>
      <c r="S25" s="704">
        <f t="shared" ref="S25:S46" si="12">F25</f>
        <v>100</v>
      </c>
      <c r="T25" s="703" t="s">
        <v>18</v>
      </c>
      <c r="U25" s="704">
        <f t="shared" ref="U25:U46" si="13">H25</f>
        <v>100</v>
      </c>
      <c r="V25" s="703" t="s">
        <v>18</v>
      </c>
      <c r="W25" s="704">
        <f t="shared" ref="W25:W46" si="14">J25</f>
        <v>100</v>
      </c>
      <c r="X25" s="1349"/>
      <c r="Y25" s="3698"/>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16"/>
      <c r="M26" s="2710"/>
      <c r="N26" s="2710"/>
      <c r="O26" s="2710"/>
      <c r="P26" s="3705"/>
      <c r="Q26" s="1346" t="str">
        <f t="shared" si="11"/>
        <v>朝向</v>
      </c>
      <c r="R26" s="703" t="s">
        <v>18</v>
      </c>
      <c r="S26" s="704">
        <f t="shared" si="12"/>
        <v>100</v>
      </c>
      <c r="T26" s="703" t="s">
        <v>18</v>
      </c>
      <c r="U26" s="704">
        <f t="shared" si="13"/>
        <v>100</v>
      </c>
      <c r="V26" s="703" t="s">
        <v>18</v>
      </c>
      <c r="W26" s="704">
        <f t="shared" si="14"/>
        <v>100</v>
      </c>
      <c r="X26" s="1349"/>
      <c r="Y26" s="3698"/>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11"/>
      <c r="M27" s="2712"/>
      <c r="N27" s="2712"/>
      <c r="O27" s="2712"/>
      <c r="P27" s="3705"/>
      <c r="Q27" s="1337">
        <f t="shared" si="11"/>
        <v>111</v>
      </c>
      <c r="R27" s="699" t="s">
        <v>18</v>
      </c>
      <c r="S27" s="700">
        <f t="shared" si="12"/>
        <v>100</v>
      </c>
      <c r="T27" s="699" t="s">
        <v>18</v>
      </c>
      <c r="U27" s="700">
        <f t="shared" si="13"/>
        <v>100</v>
      </c>
      <c r="V27" s="699" t="s">
        <v>18</v>
      </c>
      <c r="W27" s="700">
        <f t="shared" si="14"/>
        <v>100</v>
      </c>
      <c r="X27" s="701"/>
      <c r="Y27" s="3698"/>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6"/>
      <c r="M28" s="2710"/>
      <c r="N28" s="2710"/>
      <c r="O28" s="2710"/>
      <c r="P28" s="3705"/>
      <c r="Q28" s="1346">
        <f t="shared" si="11"/>
        <v>111</v>
      </c>
      <c r="R28" s="703" t="s">
        <v>18</v>
      </c>
      <c r="S28" s="704">
        <f t="shared" si="12"/>
        <v>100</v>
      </c>
      <c r="T28" s="703" t="s">
        <v>18</v>
      </c>
      <c r="U28" s="704">
        <f t="shared" si="13"/>
        <v>100</v>
      </c>
      <c r="V28" s="703" t="s">
        <v>18</v>
      </c>
      <c r="W28" s="704">
        <f t="shared" si="14"/>
        <v>100</v>
      </c>
      <c r="X28" s="1349"/>
      <c r="Y28" s="3698"/>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6"/>
      <c r="M29" s="2710"/>
      <c r="N29" s="2710"/>
      <c r="O29" s="2710"/>
      <c r="P29" s="3705"/>
      <c r="Q29" s="1346">
        <f t="shared" si="11"/>
        <v>111</v>
      </c>
      <c r="R29" s="703" t="s">
        <v>18</v>
      </c>
      <c r="S29" s="704">
        <f t="shared" si="12"/>
        <v>100</v>
      </c>
      <c r="T29" s="703" t="s">
        <v>18</v>
      </c>
      <c r="U29" s="704">
        <f t="shared" si="13"/>
        <v>100</v>
      </c>
      <c r="V29" s="703" t="s">
        <v>18</v>
      </c>
      <c r="W29" s="704">
        <f t="shared" si="14"/>
        <v>100</v>
      </c>
      <c r="X29" s="1349"/>
      <c r="Y29" s="3698"/>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6"/>
      <c r="M30" s="2710"/>
      <c r="N30" s="2710"/>
      <c r="O30" s="2710"/>
      <c r="P30" s="3705"/>
      <c r="Q30" s="1346">
        <f t="shared" si="11"/>
        <v>111</v>
      </c>
      <c r="R30" s="703" t="s">
        <v>18</v>
      </c>
      <c r="S30" s="704">
        <f t="shared" si="12"/>
        <v>100</v>
      </c>
      <c r="T30" s="703" t="s">
        <v>18</v>
      </c>
      <c r="U30" s="704">
        <f t="shared" si="13"/>
        <v>100</v>
      </c>
      <c r="V30" s="703" t="s">
        <v>18</v>
      </c>
      <c r="W30" s="704">
        <f t="shared" si="14"/>
        <v>100</v>
      </c>
      <c r="X30" s="1349"/>
      <c r="Y30" s="3698"/>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6"/>
      <c r="M31" s="2710"/>
      <c r="N31" s="2710"/>
      <c r="O31" s="2710"/>
      <c r="P31" s="3705"/>
      <c r="Q31" s="1346">
        <f t="shared" si="11"/>
        <v>111</v>
      </c>
      <c r="R31" s="703" t="s">
        <v>18</v>
      </c>
      <c r="S31" s="704">
        <f t="shared" si="12"/>
        <v>100</v>
      </c>
      <c r="T31" s="703" t="s">
        <v>18</v>
      </c>
      <c r="U31" s="704">
        <f t="shared" si="13"/>
        <v>100</v>
      </c>
      <c r="V31" s="703" t="s">
        <v>18</v>
      </c>
      <c r="W31" s="704">
        <f t="shared" si="14"/>
        <v>100</v>
      </c>
      <c r="X31" s="1349"/>
      <c r="Y31" s="3698"/>
      <c r="Z31" s="1350">
        <f t="shared" si="18"/>
        <v>111</v>
      </c>
      <c r="AA31" s="1347">
        <f t="shared" si="15"/>
        <v>1</v>
      </c>
      <c r="AB31" s="1347">
        <f t="shared" si="16"/>
        <v>1</v>
      </c>
      <c r="AC31" s="1347">
        <f t="shared" si="17"/>
        <v>1</v>
      </c>
    </row>
    <row r="32" spans="1:29" ht="15">
      <c r="A32" s="391" t="s">
        <v>1694</v>
      </c>
      <c r="B32" s="63" t="s">
        <v>1695</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6"/>
      <c r="M32" s="2710"/>
      <c r="N32" s="2710"/>
      <c r="O32" s="2710"/>
      <c r="P32" s="3699" t="s">
        <v>1696</v>
      </c>
      <c r="Q32" s="1346" t="str">
        <f t="shared" si="11"/>
        <v>建筑类型</v>
      </c>
      <c r="R32" s="703" t="s">
        <v>18</v>
      </c>
      <c r="S32" s="704">
        <f t="shared" si="12"/>
        <v>100</v>
      </c>
      <c r="T32" s="703" t="s">
        <v>18</v>
      </c>
      <c r="U32" s="704">
        <f t="shared" si="13"/>
        <v>100</v>
      </c>
      <c r="V32" s="703" t="s">
        <v>18</v>
      </c>
      <c r="W32" s="704">
        <f t="shared" si="14"/>
        <v>100</v>
      </c>
      <c r="X32" s="1349"/>
      <c r="Y32" s="3702"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5"/>
      <c r="M33" s="2717"/>
      <c r="N33" s="2717"/>
      <c r="O33" s="2717"/>
      <c r="P33" s="3700"/>
      <c r="Q33" s="705" t="str">
        <f t="shared" si="11"/>
        <v>项目建筑规模</v>
      </c>
      <c r="R33" s="706" t="s">
        <v>18</v>
      </c>
      <c r="S33" s="707" t="e">
        <f t="shared" si="12"/>
        <v>#N/A</v>
      </c>
      <c r="T33" s="706" t="s">
        <v>18</v>
      </c>
      <c r="U33" s="707" t="e">
        <f t="shared" si="13"/>
        <v>#N/A</v>
      </c>
      <c r="V33" s="706" t="s">
        <v>18</v>
      </c>
      <c r="W33" s="707" t="e">
        <f t="shared" si="14"/>
        <v>#N/A</v>
      </c>
      <c r="X33" s="708"/>
      <c r="Y33" s="3702"/>
      <c r="Z33" s="709" t="str">
        <f t="shared" si="18"/>
        <v>项目建筑规模</v>
      </c>
      <c r="AA33" s="1347" t="e">
        <f t="shared" si="15"/>
        <v>#N/A</v>
      </c>
      <c r="AB33" s="1347" t="e">
        <f t="shared" si="16"/>
        <v>#N/A</v>
      </c>
      <c r="AC33" s="1347" t="e">
        <f t="shared" si="17"/>
        <v>#N/A</v>
      </c>
    </row>
    <row r="34" spans="1:29" ht="15">
      <c r="A34" s="423"/>
      <c r="B34" s="375" t="s">
        <v>1698</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6"/>
      <c r="M34" s="2710"/>
      <c r="N34" s="2710"/>
      <c r="O34" s="2710"/>
      <c r="P34" s="3700"/>
      <c r="Q34" s="1346" t="str">
        <f t="shared" si="11"/>
        <v>建筑结构</v>
      </c>
      <c r="R34" s="703" t="s">
        <v>18</v>
      </c>
      <c r="S34" s="704">
        <f t="shared" si="12"/>
        <v>100</v>
      </c>
      <c r="T34" s="703" t="s">
        <v>18</v>
      </c>
      <c r="U34" s="704">
        <f t="shared" si="13"/>
        <v>100</v>
      </c>
      <c r="V34" s="703" t="s">
        <v>18</v>
      </c>
      <c r="W34" s="704">
        <f t="shared" si="14"/>
        <v>100</v>
      </c>
      <c r="X34" s="1349"/>
      <c r="Y34" s="3702"/>
      <c r="Z34" s="1350" t="str">
        <f t="shared" si="18"/>
        <v>建筑结构</v>
      </c>
      <c r="AA34" s="1347">
        <f t="shared" si="15"/>
        <v>1</v>
      </c>
      <c r="AB34" s="1347">
        <f t="shared" si="16"/>
        <v>1</v>
      </c>
      <c r="AC34" s="1347">
        <f t="shared" si="17"/>
        <v>1</v>
      </c>
    </row>
    <row r="35" spans="1:29" ht="15">
      <c r="A35" s="423"/>
      <c r="B35" s="375" t="s">
        <v>1699</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6"/>
      <c r="M35" s="2710"/>
      <c r="N35" s="2710"/>
      <c r="O35" s="2710"/>
      <c r="P35" s="3700"/>
      <c r="Q35" s="1346" t="str">
        <f t="shared" si="11"/>
        <v>建筑品质</v>
      </c>
      <c r="R35" s="703" t="s">
        <v>18</v>
      </c>
      <c r="S35" s="704">
        <f t="shared" si="12"/>
        <v>100</v>
      </c>
      <c r="T35" s="703" t="s">
        <v>18</v>
      </c>
      <c r="U35" s="704">
        <f t="shared" si="13"/>
        <v>100</v>
      </c>
      <c r="V35" s="703" t="s">
        <v>18</v>
      </c>
      <c r="W35" s="704">
        <f t="shared" si="14"/>
        <v>100</v>
      </c>
      <c r="X35" s="1349"/>
      <c r="Y35" s="3702"/>
      <c r="Z35" s="1350" t="str">
        <f t="shared" si="18"/>
        <v>建筑品质</v>
      </c>
      <c r="AA35" s="1347">
        <f t="shared" si="15"/>
        <v>1</v>
      </c>
      <c r="AB35" s="1347">
        <f t="shared" si="16"/>
        <v>1</v>
      </c>
      <c r="AC35" s="1347">
        <f t="shared" si="17"/>
        <v>1</v>
      </c>
    </row>
    <row r="36" spans="1:29" ht="15">
      <c r="A36" s="423"/>
      <c r="B36" s="375" t="s">
        <v>1700</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6"/>
      <c r="M36" s="2710"/>
      <c r="N36" s="2710"/>
      <c r="O36" s="2710"/>
      <c r="P36" s="3700"/>
      <c r="Q36" s="1346" t="str">
        <f t="shared" si="11"/>
        <v>公共部分装修</v>
      </c>
      <c r="R36" s="703" t="s">
        <v>18</v>
      </c>
      <c r="S36" s="704">
        <f t="shared" si="12"/>
        <v>100</v>
      </c>
      <c r="T36" s="703" t="s">
        <v>18</v>
      </c>
      <c r="U36" s="704">
        <f t="shared" si="13"/>
        <v>100</v>
      </c>
      <c r="V36" s="703" t="s">
        <v>18</v>
      </c>
      <c r="W36" s="704">
        <f t="shared" si="14"/>
        <v>100</v>
      </c>
      <c r="X36" s="1349"/>
      <c r="Y36" s="3702"/>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0"/>
      <c r="Q37" s="1337" t="str">
        <f t="shared" si="11"/>
        <v>成新度</v>
      </c>
      <c r="R37" s="699" t="s">
        <v>18</v>
      </c>
      <c r="S37" s="700" t="e">
        <f t="shared" si="12"/>
        <v>#N/A</v>
      </c>
      <c r="T37" s="699" t="s">
        <v>18</v>
      </c>
      <c r="U37" s="700" t="e">
        <f t="shared" si="13"/>
        <v>#N/A</v>
      </c>
      <c r="V37" s="699" t="s">
        <v>18</v>
      </c>
      <c r="W37" s="700" t="e">
        <f t="shared" si="14"/>
        <v>#N/A</v>
      </c>
      <c r="X37" s="701"/>
      <c r="Y37" s="3702"/>
      <c r="Z37" s="52" t="str">
        <f t="shared" si="18"/>
        <v>成新度</v>
      </c>
      <c r="AA37" s="702" t="e">
        <f t="shared" si="15"/>
        <v>#N/A</v>
      </c>
      <c r="AB37" s="702" t="e">
        <f t="shared" si="16"/>
        <v>#N/A</v>
      </c>
      <c r="AC37" s="702" t="e">
        <f t="shared" si="17"/>
        <v>#N/A</v>
      </c>
    </row>
    <row r="38" spans="1:29" ht="15">
      <c r="A38" s="423"/>
      <c r="B38" s="375" t="s">
        <v>1702</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6"/>
      <c r="M38" s="2710"/>
      <c r="N38" s="2710"/>
      <c r="O38" s="2710"/>
      <c r="P38" s="3700" t="s">
        <v>1696</v>
      </c>
      <c r="Q38" s="1346" t="str">
        <f t="shared" si="11"/>
        <v>物业管理</v>
      </c>
      <c r="R38" s="703" t="s">
        <v>18</v>
      </c>
      <c r="S38" s="704">
        <f t="shared" si="12"/>
        <v>100</v>
      </c>
      <c r="T38" s="703" t="s">
        <v>18</v>
      </c>
      <c r="U38" s="704">
        <f t="shared" si="13"/>
        <v>100</v>
      </c>
      <c r="V38" s="703" t="s">
        <v>18</v>
      </c>
      <c r="W38" s="704">
        <f t="shared" si="14"/>
        <v>100</v>
      </c>
      <c r="X38" s="1349"/>
      <c r="Y38" s="3702" t="s">
        <v>1696</v>
      </c>
      <c r="Z38" s="1350" t="str">
        <f t="shared" si="18"/>
        <v>物业管理</v>
      </c>
      <c r="AA38" s="1347">
        <f t="shared" si="15"/>
        <v>1</v>
      </c>
      <c r="AB38" s="1347">
        <f t="shared" si="16"/>
        <v>1</v>
      </c>
      <c r="AC38" s="1347">
        <f t="shared" si="17"/>
        <v>1</v>
      </c>
    </row>
    <row r="39" spans="1:29" ht="15">
      <c r="A39" s="423"/>
      <c r="B39" s="375" t="s">
        <v>1703</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6"/>
      <c r="M39" s="2710"/>
      <c r="N39" s="2710"/>
      <c r="O39" s="2710"/>
      <c r="P39" s="3700"/>
      <c r="Q39" s="1346" t="str">
        <f t="shared" si="11"/>
        <v>市政基础设施</v>
      </c>
      <c r="R39" s="703" t="s">
        <v>18</v>
      </c>
      <c r="S39" s="704">
        <f t="shared" si="12"/>
        <v>100</v>
      </c>
      <c r="T39" s="703" t="s">
        <v>18</v>
      </c>
      <c r="U39" s="704">
        <f t="shared" si="13"/>
        <v>100</v>
      </c>
      <c r="V39" s="703" t="s">
        <v>18</v>
      </c>
      <c r="W39" s="704">
        <f t="shared" si="14"/>
        <v>100</v>
      </c>
      <c r="X39" s="1349"/>
      <c r="Y39" s="3702"/>
      <c r="Z39" s="1350" t="str">
        <f t="shared" si="18"/>
        <v>市政基础设施</v>
      </c>
      <c r="AA39" s="1347">
        <f t="shared" si="15"/>
        <v>1</v>
      </c>
      <c r="AB39" s="1347">
        <f t="shared" si="16"/>
        <v>1</v>
      </c>
      <c r="AC39" s="1347">
        <f t="shared" si="17"/>
        <v>1</v>
      </c>
    </row>
    <row r="40" spans="1:29" ht="15">
      <c r="A40" s="423"/>
      <c r="B40" s="375" t="s">
        <v>1704</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6"/>
      <c r="M40" s="2710"/>
      <c r="N40" s="2710"/>
      <c r="O40" s="2710"/>
      <c r="P40" s="3700"/>
      <c r="Q40" s="1346" t="str">
        <f t="shared" si="11"/>
        <v>房型</v>
      </c>
      <c r="R40" s="703" t="s">
        <v>18</v>
      </c>
      <c r="S40" s="704">
        <f t="shared" si="12"/>
        <v>100</v>
      </c>
      <c r="T40" s="703" t="s">
        <v>18</v>
      </c>
      <c r="U40" s="704">
        <f t="shared" si="13"/>
        <v>100</v>
      </c>
      <c r="V40" s="703" t="s">
        <v>18</v>
      </c>
      <c r="W40" s="704">
        <f t="shared" si="14"/>
        <v>100</v>
      </c>
      <c r="X40" s="1349"/>
      <c r="Y40" s="3702"/>
      <c r="Z40" s="1350" t="str">
        <f t="shared" si="18"/>
        <v>房型</v>
      </c>
      <c r="AA40" s="1347">
        <f t="shared" si="15"/>
        <v>1</v>
      </c>
      <c r="AB40" s="1347">
        <f t="shared" si="16"/>
        <v>1</v>
      </c>
      <c r="AC40" s="1347">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5"/>
      <c r="M41" s="2717"/>
      <c r="N41" s="2717"/>
      <c r="O41" s="2717"/>
      <c r="P41" s="3700"/>
      <c r="Q41" s="705" t="str">
        <f t="shared" si="11"/>
        <v>单套/主力户型建筑面积</v>
      </c>
      <c r="R41" s="706" t="s">
        <v>18</v>
      </c>
      <c r="S41" s="707">
        <f t="shared" si="12"/>
        <v>100</v>
      </c>
      <c r="T41" s="706" t="s">
        <v>18</v>
      </c>
      <c r="U41" s="707">
        <f t="shared" si="13"/>
        <v>100</v>
      </c>
      <c r="V41" s="706" t="s">
        <v>18</v>
      </c>
      <c r="W41" s="707">
        <f t="shared" si="14"/>
        <v>100</v>
      </c>
      <c r="X41" s="708"/>
      <c r="Y41" s="3702"/>
      <c r="Z41" s="709" t="str">
        <f t="shared" si="18"/>
        <v>单套/主力户型建筑面积</v>
      </c>
      <c r="AA41" s="1347">
        <f t="shared" si="15"/>
        <v>1</v>
      </c>
      <c r="AB41" s="1347">
        <f t="shared" si="16"/>
        <v>1</v>
      </c>
      <c r="AC41" s="1347">
        <f t="shared" si="17"/>
        <v>1</v>
      </c>
    </row>
    <row r="42" spans="1:29" ht="15">
      <c r="A42" s="423"/>
      <c r="B42" s="375" t="s">
        <v>1706</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6"/>
      <c r="M42" s="2710"/>
      <c r="N42" s="2710"/>
      <c r="O42" s="2710"/>
      <c r="P42" s="3700"/>
      <c r="Q42" s="1346" t="str">
        <f t="shared" si="11"/>
        <v>内部装修</v>
      </c>
      <c r="R42" s="703" t="s">
        <v>18</v>
      </c>
      <c r="S42" s="704">
        <f t="shared" si="12"/>
        <v>100</v>
      </c>
      <c r="T42" s="703" t="s">
        <v>18</v>
      </c>
      <c r="U42" s="704">
        <f t="shared" si="13"/>
        <v>100</v>
      </c>
      <c r="V42" s="703" t="s">
        <v>18</v>
      </c>
      <c r="W42" s="704">
        <f t="shared" si="14"/>
        <v>100</v>
      </c>
      <c r="X42" s="1349"/>
      <c r="Y42" s="3702"/>
      <c r="Z42" s="1350" t="str">
        <f t="shared" si="18"/>
        <v>内部装修</v>
      </c>
      <c r="AA42" s="1347">
        <f t="shared" si="15"/>
        <v>1</v>
      </c>
      <c r="AB42" s="1347">
        <f t="shared" si="16"/>
        <v>1</v>
      </c>
      <c r="AC42" s="1347">
        <f t="shared" si="17"/>
        <v>1</v>
      </c>
    </row>
    <row r="43" spans="1:29" ht="15">
      <c r="A43" s="423"/>
      <c r="B43" s="375" t="s">
        <v>1707</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6"/>
      <c r="M43" s="2710"/>
      <c r="N43" s="2710"/>
      <c r="O43" s="2710"/>
      <c r="P43" s="3700"/>
      <c r="Q43" s="1346" t="str">
        <f t="shared" si="11"/>
        <v>内部装修维护情况</v>
      </c>
      <c r="R43" s="703" t="s">
        <v>18</v>
      </c>
      <c r="S43" s="704">
        <f t="shared" si="12"/>
        <v>100</v>
      </c>
      <c r="T43" s="703" t="s">
        <v>18</v>
      </c>
      <c r="U43" s="704">
        <f t="shared" si="13"/>
        <v>100</v>
      </c>
      <c r="V43" s="703" t="s">
        <v>18</v>
      </c>
      <c r="W43" s="704">
        <f t="shared" si="14"/>
        <v>100</v>
      </c>
      <c r="X43" s="1349"/>
      <c r="Y43" s="3702"/>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1"/>
      <c r="M44" s="2712"/>
      <c r="N44" s="2712"/>
      <c r="O44" s="2712"/>
      <c r="P44" s="3700"/>
      <c r="Q44" s="1337">
        <f t="shared" si="11"/>
        <v>111</v>
      </c>
      <c r="R44" s="699" t="s">
        <v>18</v>
      </c>
      <c r="S44" s="700">
        <f t="shared" si="12"/>
        <v>100</v>
      </c>
      <c r="T44" s="699" t="s">
        <v>18</v>
      </c>
      <c r="U44" s="700">
        <f t="shared" si="13"/>
        <v>100</v>
      </c>
      <c r="V44" s="699" t="s">
        <v>18</v>
      </c>
      <c r="W44" s="700">
        <f t="shared" si="14"/>
        <v>100</v>
      </c>
      <c r="X44" s="701"/>
      <c r="Y44" s="3702"/>
      <c r="Z44" s="52">
        <f t="shared" si="18"/>
        <v>111</v>
      </c>
      <c r="AA44" s="702">
        <f t="shared" si="15"/>
        <v>1</v>
      </c>
      <c r="AB44" s="702">
        <f t="shared" si="16"/>
        <v>1</v>
      </c>
      <c r="AC44" s="702">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6"/>
      <c r="M45" s="2710"/>
      <c r="N45" s="2710"/>
      <c r="O45" s="2710"/>
      <c r="P45" s="3700"/>
      <c r="Q45" s="1346">
        <f t="shared" si="11"/>
        <v>111</v>
      </c>
      <c r="R45" s="703" t="s">
        <v>18</v>
      </c>
      <c r="S45" s="704">
        <f t="shared" si="12"/>
        <v>100</v>
      </c>
      <c r="T45" s="703" t="s">
        <v>18</v>
      </c>
      <c r="U45" s="704">
        <f t="shared" si="13"/>
        <v>100</v>
      </c>
      <c r="V45" s="703" t="s">
        <v>18</v>
      </c>
      <c r="W45" s="704">
        <f t="shared" si="14"/>
        <v>100</v>
      </c>
      <c r="X45" s="1349"/>
      <c r="Y45" s="3702"/>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6"/>
      <c r="M46" s="2710"/>
      <c r="N46" s="2710"/>
      <c r="O46" s="2710"/>
      <c r="P46" s="3701"/>
      <c r="Q46" s="1346">
        <f t="shared" si="11"/>
        <v>111</v>
      </c>
      <c r="R46" s="703" t="s">
        <v>17</v>
      </c>
      <c r="S46" s="704">
        <f t="shared" si="12"/>
        <v>100</v>
      </c>
      <c r="T46" s="703" t="s">
        <v>17</v>
      </c>
      <c r="U46" s="704">
        <f t="shared" si="13"/>
        <v>100</v>
      </c>
      <c r="V46" s="703" t="s">
        <v>17</v>
      </c>
      <c r="W46" s="704">
        <f t="shared" si="14"/>
        <v>100</v>
      </c>
      <c r="X46" s="1349"/>
      <c r="Y46" s="3703"/>
      <c r="Z46" s="1350">
        <f t="shared" si="18"/>
        <v>111</v>
      </c>
      <c r="AA46" s="1347">
        <f t="shared" si="15"/>
        <v>1</v>
      </c>
      <c r="AB46" s="1347">
        <f t="shared" si="16"/>
        <v>1</v>
      </c>
      <c r="AC46" s="1347">
        <f t="shared" si="17"/>
        <v>1</v>
      </c>
    </row>
    <row r="47" spans="1:29" ht="15">
      <c r="A47" s="430" t="s">
        <v>1708</v>
      </c>
      <c r="B47" s="431"/>
      <c r="C47" s="1148" t="s">
        <v>16</v>
      </c>
      <c r="D47" s="1149"/>
      <c r="E47" s="1150"/>
      <c r="F47" s="1151"/>
      <c r="G47" s="1152"/>
      <c r="H47" s="1153"/>
      <c r="I47" s="1150"/>
      <c r="J47" s="1153"/>
      <c r="K47" s="1908"/>
      <c r="L47" s="2718"/>
      <c r="M47" s="2719"/>
      <c r="N47" s="2710"/>
      <c r="O47" s="2719"/>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56" t="e">
        <f>R49</f>
        <v>#DIV/0!</v>
      </c>
      <c r="D49" s="1157"/>
      <c r="E49" s="1157"/>
      <c r="F49" s="1157"/>
      <c r="G49" s="1157"/>
      <c r="H49" s="1157"/>
      <c r="I49" s="1157"/>
      <c r="J49" s="1157"/>
      <c r="K49" s="1909"/>
      <c r="L49" s="2718"/>
      <c r="M49" s="2719"/>
      <c r="N49" s="2719"/>
      <c r="O49" s="2719"/>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1"/>
    </row>
    <row r="55" spans="1:29" s="451"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5"/>
      <c r="L57" s="936"/>
      <c r="M57" s="934"/>
      <c r="N57" s="934"/>
      <c r="O57" s="934"/>
      <c r="P57" s="1912"/>
      <c r="Q57" s="453"/>
    </row>
    <row r="58" spans="1:29" s="457" customFormat="1" ht="15">
      <c r="A58" s="454" t="s">
        <v>1715</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3"/>
      <c r="C59" s="1177">
        <v>100</v>
      </c>
      <c r="D59" s="460"/>
      <c r="E59" s="461"/>
      <c r="F59" s="461"/>
      <c r="G59" s="461"/>
      <c r="H59" s="461"/>
      <c r="I59" s="461"/>
      <c r="J59" s="461"/>
      <c r="K59" s="461"/>
      <c r="L59" s="461"/>
      <c r="M59" s="462"/>
      <c r="N59" s="461"/>
      <c r="O59" s="462"/>
      <c r="P59" s="1914"/>
    </row>
    <row r="60" spans="1:29" s="108" customFormat="1" ht="15.75" thickBot="1">
      <c r="A60" s="464" t="s">
        <v>1716</v>
      </c>
      <c r="B60" s="465"/>
      <c r="C60" s="466"/>
      <c r="D60" s="467"/>
      <c r="E60" s="467"/>
      <c r="F60" s="467"/>
      <c r="G60" s="467"/>
      <c r="H60" s="467"/>
      <c r="I60" s="467"/>
      <c r="J60" s="467"/>
      <c r="K60" s="467"/>
      <c r="L60" s="467"/>
      <c r="M60" s="468"/>
      <c r="N60" s="467"/>
      <c r="O60" s="468"/>
      <c r="P60" s="1914"/>
      <c r="Q60" s="453"/>
    </row>
    <row r="61" spans="1:29" s="108" customFormat="1" ht="15">
      <c r="A61" s="470" t="s">
        <v>1717</v>
      </c>
      <c r="B61" s="459"/>
      <c r="C61" s="471" t="s">
        <v>1718</v>
      </c>
      <c r="D61" s="472"/>
      <c r="E61" s="472"/>
      <c r="F61" s="472"/>
      <c r="G61" s="472"/>
      <c r="H61" s="472"/>
      <c r="I61" s="472"/>
      <c r="J61" s="472"/>
      <c r="K61" s="472"/>
      <c r="L61" s="473"/>
      <c r="M61" s="474"/>
      <c r="N61" s="926"/>
      <c r="O61" s="926"/>
      <c r="P61" s="1915"/>
      <c r="Q61" s="453"/>
    </row>
    <row r="62" spans="1:29" s="108" customFormat="1" ht="15.75" thickBot="1">
      <c r="A62" s="470"/>
      <c r="B62" s="459"/>
      <c r="C62" s="460">
        <v>100</v>
      </c>
      <c r="D62" s="461"/>
      <c r="E62" s="461"/>
      <c r="F62" s="461"/>
      <c r="G62" s="461"/>
      <c r="H62" s="461"/>
      <c r="I62" s="461"/>
      <c r="J62" s="461"/>
      <c r="K62" s="461"/>
      <c r="L62" s="461"/>
      <c r="M62" s="463"/>
      <c r="N62" s="926"/>
      <c r="O62" s="926"/>
      <c r="P62" s="1914"/>
      <c r="Q62" s="453"/>
    </row>
    <row r="63" spans="1:29">
      <c r="A63" s="476" t="s">
        <v>1719</v>
      </c>
      <c r="B63" s="477" t="s">
        <v>1685</v>
      </c>
      <c r="C63" s="478">
        <f>C9</f>
        <v>0</v>
      </c>
      <c r="D63" s="479"/>
      <c r="E63" s="479"/>
      <c r="F63" s="479"/>
      <c r="G63" s="479"/>
      <c r="H63" s="479"/>
      <c r="I63" s="479"/>
      <c r="J63" s="479"/>
      <c r="K63" s="480"/>
      <c r="L63" s="481"/>
      <c r="M63" s="482"/>
      <c r="N63" s="927"/>
      <c r="O63" s="927"/>
      <c r="P63" s="1916"/>
      <c r="Q63" s="453"/>
    </row>
    <row r="64" spans="1:29" ht="15.75" thickBot="1">
      <c r="A64" s="483"/>
      <c r="B64" s="484"/>
      <c r="C64" s="485">
        <v>100</v>
      </c>
      <c r="D64" s="485"/>
      <c r="E64" s="485"/>
      <c r="F64" s="485"/>
      <c r="G64" s="485"/>
      <c r="H64" s="485"/>
      <c r="I64" s="485"/>
      <c r="J64" s="485"/>
      <c r="K64" s="485"/>
      <c r="L64" s="485"/>
      <c r="M64" s="486"/>
      <c r="N64" s="928"/>
      <c r="O64" s="928"/>
      <c r="P64" s="1916"/>
      <c r="Q64" s="453"/>
    </row>
    <row r="65" spans="1:17" ht="27.75" thickTop="1">
      <c r="A65" s="483"/>
      <c r="B65" s="487" t="s">
        <v>1688</v>
      </c>
      <c r="C65" s="532"/>
      <c r="D65" s="532"/>
      <c r="E65" s="532"/>
      <c r="F65" s="532"/>
      <c r="G65" s="532"/>
      <c r="H65" s="532"/>
      <c r="I65" s="532"/>
      <c r="J65" s="532"/>
      <c r="K65" s="532"/>
      <c r="L65" s="532"/>
      <c r="M65" s="532"/>
      <c r="N65" s="928"/>
      <c r="O65" s="928"/>
      <c r="P65" s="1916"/>
      <c r="Q65" s="453"/>
    </row>
    <row r="66" spans="1:17" ht="15.75" thickBot="1">
      <c r="A66" s="483"/>
      <c r="B66" s="492"/>
      <c r="C66" s="485"/>
      <c r="D66" s="485"/>
      <c r="E66" s="485"/>
      <c r="F66" s="485"/>
      <c r="G66" s="485"/>
      <c r="H66" s="485"/>
      <c r="I66" s="485"/>
      <c r="J66" s="485"/>
      <c r="K66" s="485"/>
      <c r="L66" s="485"/>
      <c r="M66" s="486"/>
      <c r="N66" s="928"/>
      <c r="O66" s="928"/>
      <c r="P66" s="1916"/>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6"/>
      <c r="Q67" s="453"/>
    </row>
    <row r="68" spans="1:17" ht="15">
      <c r="A68" s="483"/>
      <c r="B68" s="497"/>
      <c r="C68" s="498"/>
      <c r="D68" s="498"/>
      <c r="E68" s="498"/>
      <c r="F68" s="498"/>
      <c r="G68" s="498"/>
      <c r="H68" s="498"/>
      <c r="I68" s="498"/>
      <c r="J68" s="498"/>
      <c r="K68" s="499"/>
      <c r="L68" s="500"/>
      <c r="M68" s="501"/>
      <c r="N68" s="927"/>
      <c r="O68" s="927"/>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6"/>
      <c r="Q69" s="453"/>
    </row>
    <row r="70" spans="1:17" s="422" customFormat="1" ht="15.75" thickTop="1">
      <c r="A70" s="502"/>
      <c r="B70" s="487">
        <f>B12</f>
        <v>111</v>
      </c>
      <c r="C70" s="503"/>
      <c r="D70" s="503"/>
      <c r="E70" s="503"/>
      <c r="F70" s="503"/>
      <c r="G70" s="503"/>
      <c r="H70" s="504"/>
      <c r="I70" s="504"/>
      <c r="J70" s="504"/>
      <c r="K70" s="504"/>
      <c r="L70" s="505"/>
      <c r="M70" s="506"/>
      <c r="N70" s="929"/>
      <c r="O70" s="929"/>
      <c r="P70" s="1917"/>
      <c r="Q70" s="508"/>
    </row>
    <row r="71" spans="1:17" s="422" customFormat="1" ht="15.75" thickBot="1">
      <c r="A71" s="502"/>
      <c r="B71" s="492"/>
      <c r="C71" s="509"/>
      <c r="D71" s="485"/>
      <c r="E71" s="485"/>
      <c r="F71" s="485"/>
      <c r="G71" s="485"/>
      <c r="H71" s="485"/>
      <c r="I71" s="485"/>
      <c r="J71" s="485"/>
      <c r="K71" s="485"/>
      <c r="L71" s="485"/>
      <c r="M71" s="486"/>
      <c r="N71" s="928"/>
      <c r="O71" s="928"/>
      <c r="P71" s="1917"/>
      <c r="Q71" s="508"/>
    </row>
    <row r="72" spans="1:17" s="422" customFormat="1" ht="15.75" thickTop="1">
      <c r="A72" s="502"/>
      <c r="B72" s="487">
        <f>B13</f>
        <v>111</v>
      </c>
      <c r="C72" s="503"/>
      <c r="D72" s="503"/>
      <c r="E72" s="503"/>
      <c r="F72" s="503"/>
      <c r="G72" s="503"/>
      <c r="H72" s="504"/>
      <c r="I72" s="504"/>
      <c r="J72" s="504"/>
      <c r="K72" s="504"/>
      <c r="L72" s="505"/>
      <c r="M72" s="506"/>
      <c r="N72" s="929"/>
      <c r="O72" s="929"/>
      <c r="P72" s="1918"/>
      <c r="Q72" s="510"/>
    </row>
    <row r="73" spans="1:17" s="422" customFormat="1" ht="15.75" thickBot="1">
      <c r="A73" s="502"/>
      <c r="B73" s="492"/>
      <c r="C73" s="509"/>
      <c r="D73" s="509"/>
      <c r="E73" s="509"/>
      <c r="F73" s="509"/>
      <c r="G73" s="509"/>
      <c r="H73" s="511"/>
      <c r="I73" s="511"/>
      <c r="J73" s="511"/>
      <c r="K73" s="511"/>
      <c r="L73" s="511"/>
      <c r="M73" s="512"/>
      <c r="N73" s="929"/>
      <c r="O73" s="929"/>
      <c r="P73" s="1917"/>
      <c r="Q73" s="508"/>
    </row>
    <row r="74" spans="1:17" s="422" customFormat="1" ht="15.75" thickTop="1">
      <c r="A74" s="502"/>
      <c r="B74" s="495">
        <f>B14</f>
        <v>111</v>
      </c>
      <c r="C74" s="503"/>
      <c r="D74" s="503"/>
      <c r="E74" s="503"/>
      <c r="F74" s="503"/>
      <c r="G74" s="472"/>
      <c r="H74" s="513"/>
      <c r="I74" s="513"/>
      <c r="J74" s="513"/>
      <c r="K74" s="513"/>
      <c r="L74" s="514"/>
      <c r="M74" s="515"/>
      <c r="N74" s="929"/>
      <c r="O74" s="929"/>
      <c r="P74" s="1919"/>
      <c r="Q74" s="508"/>
    </row>
    <row r="75" spans="1:17" s="422" customFormat="1" ht="15.75" thickBot="1">
      <c r="A75" s="517"/>
      <c r="B75" s="518"/>
      <c r="C75" s="519"/>
      <c r="D75" s="519"/>
      <c r="E75" s="519"/>
      <c r="F75" s="519"/>
      <c r="G75" s="519"/>
      <c r="H75" s="520"/>
      <c r="I75" s="520"/>
      <c r="J75" s="520"/>
      <c r="K75" s="520"/>
      <c r="L75" s="520"/>
      <c r="M75" s="521"/>
      <c r="N75" s="929"/>
      <c r="O75" s="929"/>
      <c r="P75" s="1917"/>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7"/>
      <c r="O76" s="927"/>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6"/>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7"/>
      <c r="O78" s="927"/>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6"/>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7"/>
      <c r="O80" s="927"/>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6"/>
      <c r="Q81" s="453"/>
    </row>
    <row r="82" spans="1:17" ht="15.75" thickTop="1">
      <c r="A82" s="483"/>
      <c r="B82" s="495" t="s">
        <v>1260</v>
      </c>
      <c r="C82" s="488" t="s">
        <v>1728</v>
      </c>
      <c r="D82" s="488" t="s">
        <v>1729</v>
      </c>
      <c r="E82" s="488" t="s">
        <v>1730</v>
      </c>
      <c r="F82" s="488" t="s">
        <v>1731</v>
      </c>
      <c r="G82" s="488" t="s">
        <v>1732</v>
      </c>
      <c r="H82" s="488"/>
      <c r="I82" s="488"/>
      <c r="J82" s="488"/>
      <c r="K82" s="488"/>
      <c r="L82" s="488"/>
      <c r="M82" s="1123"/>
      <c r="N82" s="928"/>
      <c r="O82" s="928"/>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6"/>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7"/>
      <c r="O84" s="927"/>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6"/>
      <c r="Q85" s="453"/>
    </row>
    <row r="86" spans="1:17" s="108" customFormat="1" ht="15.75" thickTop="1">
      <c r="A86" s="528"/>
      <c r="B86" s="487" t="s">
        <v>1734</v>
      </c>
      <c r="C86" s="503"/>
      <c r="D86" s="503"/>
      <c r="E86" s="503"/>
      <c r="F86" s="503"/>
      <c r="G86" s="503"/>
      <c r="H86" s="503"/>
      <c r="I86" s="503"/>
      <c r="J86" s="503"/>
      <c r="K86" s="503"/>
      <c r="L86" s="529"/>
      <c r="M86" s="530"/>
      <c r="N86" s="926"/>
      <c r="O86" s="926"/>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6"/>
      <c r="Q87" s="453"/>
    </row>
    <row r="88" spans="1:17" s="108" customFormat="1" ht="15.75" thickTop="1">
      <c r="A88" s="528"/>
      <c r="B88" s="487" t="s">
        <v>1735</v>
      </c>
      <c r="C88" s="503"/>
      <c r="D88" s="503"/>
      <c r="E88" s="503"/>
      <c r="F88" s="1921"/>
      <c r="G88" s="503"/>
      <c r="H88" s="503"/>
      <c r="I88" s="503"/>
      <c r="J88" s="503"/>
      <c r="K88" s="503"/>
      <c r="L88" s="503"/>
      <c r="M88" s="530"/>
      <c r="N88" s="926"/>
      <c r="O88" s="926"/>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6"/>
      <c r="Q89" s="453"/>
    </row>
    <row r="90" spans="1:17" s="422" customFormat="1" ht="15.75" thickTop="1">
      <c r="A90" s="502"/>
      <c r="B90" s="487">
        <f>B27</f>
        <v>111</v>
      </c>
      <c r="C90" s="503"/>
      <c r="D90" s="503"/>
      <c r="E90" s="503"/>
      <c r="F90" s="503"/>
      <c r="G90" s="503"/>
      <c r="H90" s="504"/>
      <c r="I90" s="504"/>
      <c r="J90" s="504"/>
      <c r="K90" s="504"/>
      <c r="L90" s="505"/>
      <c r="M90" s="506"/>
      <c r="N90" s="929"/>
      <c r="O90" s="929"/>
      <c r="P90" s="1917"/>
      <c r="Q90" s="508"/>
    </row>
    <row r="91" spans="1:17" s="422" customFormat="1" ht="15.75" thickBot="1">
      <c r="A91" s="502"/>
      <c r="B91" s="492"/>
      <c r="C91" s="509"/>
      <c r="D91" s="509"/>
      <c r="E91" s="509"/>
      <c r="F91" s="509"/>
      <c r="G91" s="509"/>
      <c r="H91" s="511"/>
      <c r="I91" s="511"/>
      <c r="J91" s="511"/>
      <c r="K91" s="511"/>
      <c r="L91" s="511"/>
      <c r="M91" s="512"/>
      <c r="N91" s="929"/>
      <c r="O91" s="929"/>
      <c r="P91" s="1917"/>
      <c r="Q91" s="508"/>
    </row>
    <row r="92" spans="1:17" ht="15.75" thickTop="1">
      <c r="A92" s="483"/>
      <c r="B92" s="487">
        <f>B28</f>
        <v>111</v>
      </c>
      <c r="C92" s="503"/>
      <c r="D92" s="503"/>
      <c r="E92" s="503"/>
      <c r="F92" s="503"/>
      <c r="G92" s="532"/>
      <c r="H92" s="532"/>
      <c r="I92" s="532"/>
      <c r="J92" s="532"/>
      <c r="K92" s="533"/>
      <c r="L92" s="534"/>
      <c r="M92" s="535"/>
      <c r="N92" s="927"/>
      <c r="O92" s="927"/>
      <c r="P92" s="1916"/>
      <c r="Q92" s="453"/>
    </row>
    <row r="93" spans="1:17" ht="15.75" thickBot="1">
      <c r="A93" s="483"/>
      <c r="B93" s="492"/>
      <c r="C93" s="509"/>
      <c r="D93" s="485"/>
      <c r="E93" s="485"/>
      <c r="F93" s="485"/>
      <c r="G93" s="485"/>
      <c r="H93" s="485"/>
      <c r="I93" s="485"/>
      <c r="J93" s="485"/>
      <c r="K93" s="485"/>
      <c r="L93" s="485"/>
      <c r="M93" s="486"/>
      <c r="N93" s="928"/>
      <c r="O93" s="928"/>
      <c r="P93" s="1916"/>
      <c r="Q93" s="453"/>
    </row>
    <row r="94" spans="1:17" ht="15.75" thickTop="1">
      <c r="A94" s="483"/>
      <c r="B94" s="487">
        <f>B29</f>
        <v>111</v>
      </c>
      <c r="C94" s="503"/>
      <c r="D94" s="503"/>
      <c r="E94" s="503"/>
      <c r="F94" s="503"/>
      <c r="G94" s="532"/>
      <c r="H94" s="532"/>
      <c r="I94" s="532"/>
      <c r="J94" s="532"/>
      <c r="K94" s="533"/>
      <c r="L94" s="534"/>
      <c r="M94" s="535"/>
      <c r="N94" s="927"/>
      <c r="O94" s="927"/>
      <c r="P94" s="1916"/>
      <c r="Q94" s="453"/>
    </row>
    <row r="95" spans="1:17" ht="15.75" thickBot="1">
      <c r="A95" s="483"/>
      <c r="B95" s="492"/>
      <c r="C95" s="509"/>
      <c r="D95" s="509"/>
      <c r="E95" s="509"/>
      <c r="F95" s="509"/>
      <c r="G95" s="485"/>
      <c r="H95" s="485"/>
      <c r="I95" s="485"/>
      <c r="J95" s="485"/>
      <c r="K95" s="485"/>
      <c r="L95" s="485"/>
      <c r="M95" s="486"/>
      <c r="N95" s="928"/>
      <c r="O95" s="928"/>
      <c r="P95" s="1916"/>
      <c r="Q95" s="453"/>
    </row>
    <row r="96" spans="1:17" ht="15.75" thickTop="1">
      <c r="A96" s="483"/>
      <c r="B96" s="487">
        <f>B30</f>
        <v>111</v>
      </c>
      <c r="C96" s="503"/>
      <c r="D96" s="503"/>
      <c r="E96" s="503"/>
      <c r="F96" s="503"/>
      <c r="G96" s="532"/>
      <c r="H96" s="532"/>
      <c r="I96" s="532"/>
      <c r="J96" s="532"/>
      <c r="K96" s="533"/>
      <c r="L96" s="534"/>
      <c r="M96" s="535"/>
      <c r="N96" s="927"/>
      <c r="O96" s="927"/>
      <c r="P96" s="1916"/>
      <c r="Q96" s="453"/>
    </row>
    <row r="97" spans="1:17" ht="15.75" thickBot="1">
      <c r="A97" s="483"/>
      <c r="B97" s="492"/>
      <c r="C97" s="519"/>
      <c r="D97" s="519"/>
      <c r="E97" s="519"/>
      <c r="F97" s="519"/>
      <c r="G97" s="485"/>
      <c r="H97" s="485"/>
      <c r="I97" s="485"/>
      <c r="J97" s="485"/>
      <c r="K97" s="485"/>
      <c r="L97" s="485"/>
      <c r="M97" s="486"/>
      <c r="N97" s="928"/>
      <c r="O97" s="928"/>
      <c r="P97" s="1916"/>
      <c r="Q97" s="453"/>
    </row>
    <row r="98" spans="1:17" ht="15.75" thickTop="1">
      <c r="A98" s="483"/>
      <c r="B98" s="495">
        <f>B31</f>
        <v>111</v>
      </c>
      <c r="C98" s="536"/>
      <c r="D98" s="536"/>
      <c r="E98" s="536"/>
      <c r="F98" s="536"/>
      <c r="G98" s="536"/>
      <c r="H98" s="536"/>
      <c r="I98" s="536"/>
      <c r="J98" s="536"/>
      <c r="K98" s="537"/>
      <c r="L98" s="538"/>
      <c r="M98" s="539"/>
      <c r="N98" s="927"/>
      <c r="O98" s="927"/>
      <c r="P98" s="1916"/>
      <c r="Q98" s="453"/>
    </row>
    <row r="99" spans="1:17" ht="15.75" thickBot="1">
      <c r="A99" s="1922"/>
      <c r="B99" s="518"/>
      <c r="C99" s="540"/>
      <c r="D99" s="540"/>
      <c r="E99" s="540"/>
      <c r="F99" s="540"/>
      <c r="G99" s="540"/>
      <c r="H99" s="540"/>
      <c r="I99" s="540"/>
      <c r="J99" s="540"/>
      <c r="K99" s="540"/>
      <c r="L99" s="540"/>
      <c r="M99" s="541"/>
      <c r="N99" s="928"/>
      <c r="O99" s="928"/>
      <c r="P99" s="1916"/>
      <c r="Q99" s="453"/>
    </row>
    <row r="100" spans="1:17">
      <c r="A100" s="476" t="s">
        <v>1694</v>
      </c>
      <c r="B100" s="477" t="s">
        <v>1736</v>
      </c>
      <c r="C100" s="479"/>
      <c r="D100" s="479"/>
      <c r="E100" s="479"/>
      <c r="F100" s="479"/>
      <c r="G100" s="479"/>
      <c r="H100" s="479"/>
      <c r="I100" s="479"/>
      <c r="J100" s="479"/>
      <c r="K100" s="480"/>
      <c r="L100" s="481"/>
      <c r="M100" s="482"/>
      <c r="N100" s="927"/>
      <c r="O100" s="927"/>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6"/>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6"/>
      <c r="Q102" s="453"/>
    </row>
    <row r="103" spans="1:17" s="422" customFormat="1">
      <c r="A103" s="542"/>
      <c r="B103" s="543"/>
      <c r="C103" s="544"/>
      <c r="D103" s="544"/>
      <c r="E103" s="544"/>
      <c r="F103" s="544"/>
      <c r="G103" s="544"/>
      <c r="H103" s="544"/>
      <c r="I103" s="544"/>
      <c r="J103" s="545"/>
      <c r="K103" s="545"/>
      <c r="L103" s="546"/>
      <c r="M103" s="547"/>
      <c r="N103" s="929"/>
      <c r="O103" s="929"/>
      <c r="P103" s="1917"/>
      <c r="Q103" s="508"/>
    </row>
    <row r="104" spans="1:17" s="422" customFormat="1" ht="15.75" thickBot="1">
      <c r="A104" s="502"/>
      <c r="B104" s="492"/>
      <c r="C104" s="509"/>
      <c r="D104" s="485"/>
      <c r="E104" s="485"/>
      <c r="F104" s="485"/>
      <c r="G104" s="485"/>
      <c r="H104" s="485"/>
      <c r="I104" s="485"/>
      <c r="J104" s="485"/>
      <c r="K104" s="485"/>
      <c r="L104" s="485"/>
      <c r="M104" s="485"/>
      <c r="N104" s="928"/>
      <c r="O104" s="928"/>
      <c r="P104" s="1917"/>
      <c r="Q104" s="508"/>
    </row>
    <row r="105" spans="1:17" ht="15" thickTop="1">
      <c r="A105" s="548"/>
      <c r="B105" s="487" t="s">
        <v>1738</v>
      </c>
      <c r="C105" s="503"/>
      <c r="D105" s="503"/>
      <c r="E105" s="532"/>
      <c r="F105" s="532"/>
      <c r="G105" s="532"/>
      <c r="H105" s="532"/>
      <c r="I105" s="532"/>
      <c r="J105" s="532"/>
      <c r="K105" s="533"/>
      <c r="L105" s="534"/>
      <c r="M105" s="535"/>
      <c r="N105" s="927"/>
      <c r="O105" s="927"/>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6"/>
      <c r="Q106" s="453"/>
    </row>
    <row r="107" spans="1:17" ht="15" thickTop="1">
      <c r="A107" s="548"/>
      <c r="B107" s="487" t="s">
        <v>1739</v>
      </c>
      <c r="C107" s="532"/>
      <c r="D107" s="532"/>
      <c r="E107" s="532"/>
      <c r="F107" s="532"/>
      <c r="G107" s="532"/>
      <c r="H107" s="532"/>
      <c r="I107" s="532"/>
      <c r="J107" s="532"/>
      <c r="K107" s="533"/>
      <c r="L107" s="534"/>
      <c r="M107" s="535"/>
      <c r="N107" s="927"/>
      <c r="O107" s="927"/>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6"/>
      <c r="Q108" s="453"/>
    </row>
    <row r="109" spans="1:17" ht="15" thickTop="1">
      <c r="A109" s="548"/>
      <c r="B109" s="487" t="s">
        <v>1740</v>
      </c>
      <c r="C109" s="503"/>
      <c r="D109" s="503"/>
      <c r="E109" s="503"/>
      <c r="F109" s="532"/>
      <c r="G109" s="532"/>
      <c r="H109" s="532"/>
      <c r="I109" s="532"/>
      <c r="J109" s="532"/>
      <c r="K109" s="533"/>
      <c r="L109" s="534"/>
      <c r="M109" s="535"/>
      <c r="N109" s="927"/>
      <c r="O109" s="927"/>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7"/>
      <c r="Q113" s="508"/>
    </row>
    <row r="114" spans="1:17" ht="15" thickTop="1">
      <c r="A114" s="548"/>
      <c r="B114" s="487" t="s">
        <v>1741</v>
      </c>
      <c r="C114" s="503"/>
      <c r="D114" s="503"/>
      <c r="E114" s="532"/>
      <c r="F114" s="532"/>
      <c r="G114" s="532"/>
      <c r="H114" s="532"/>
      <c r="I114" s="532"/>
      <c r="J114" s="532"/>
      <c r="K114" s="533"/>
      <c r="L114" s="534"/>
      <c r="M114" s="535"/>
      <c r="N114" s="927"/>
      <c r="O114" s="927"/>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6"/>
      <c r="Q115" s="453"/>
    </row>
    <row r="116" spans="1:17" ht="15" thickTop="1">
      <c r="A116" s="548"/>
      <c r="B116" s="487" t="s">
        <v>1742</v>
      </c>
      <c r="C116" s="503"/>
      <c r="D116" s="503"/>
      <c r="E116" s="503"/>
      <c r="F116" s="503"/>
      <c r="G116" s="503"/>
      <c r="H116" s="532"/>
      <c r="I116" s="532"/>
      <c r="J116" s="532"/>
      <c r="K116" s="533"/>
      <c r="L116" s="534"/>
      <c r="M116" s="535"/>
      <c r="N116" s="927"/>
      <c r="O116" s="927"/>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6"/>
      <c r="Q117" s="453"/>
    </row>
    <row r="118" spans="1:17" ht="15" thickTop="1">
      <c r="A118" s="548"/>
      <c r="B118" s="487" t="s">
        <v>1743</v>
      </c>
      <c r="C118" s="532"/>
      <c r="D118" s="532"/>
      <c r="E118" s="532"/>
      <c r="F118" s="532"/>
      <c r="G118" s="532"/>
      <c r="H118" s="532"/>
      <c r="I118" s="532"/>
      <c r="J118" s="532"/>
      <c r="K118" s="533"/>
      <c r="L118" s="534"/>
      <c r="M118" s="535"/>
      <c r="N118" s="927"/>
      <c r="O118" s="927"/>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6"/>
      <c r="Q119" s="453"/>
    </row>
    <row r="120" spans="1:17" s="422" customFormat="1" ht="28.5" thickTop="1">
      <c r="A120" s="542"/>
      <c r="B120" s="487" t="s">
        <v>1705</v>
      </c>
      <c r="C120" s="503"/>
      <c r="D120" s="503"/>
      <c r="E120" s="503"/>
      <c r="F120" s="503"/>
      <c r="G120" s="503"/>
      <c r="H120" s="503"/>
      <c r="I120" s="503"/>
      <c r="J120" s="503"/>
      <c r="K120" s="503"/>
      <c r="L120" s="529"/>
      <c r="M120" s="530"/>
      <c r="N120" s="929"/>
      <c r="O120" s="929"/>
      <c r="P120" s="1917"/>
      <c r="Q120" s="508"/>
    </row>
    <row r="121" spans="1:17" s="422" customFormat="1" ht="15.75" thickBot="1">
      <c r="A121" s="502"/>
      <c r="B121" s="484"/>
      <c r="C121" s="509"/>
      <c r="D121" s="485"/>
      <c r="E121" s="485"/>
      <c r="F121" s="485"/>
      <c r="G121" s="485"/>
      <c r="H121" s="485"/>
      <c r="I121" s="485"/>
      <c r="J121" s="485"/>
      <c r="K121" s="485"/>
      <c r="L121" s="485"/>
      <c r="M121" s="485"/>
      <c r="N121" s="929"/>
      <c r="O121" s="929"/>
      <c r="P121" s="1917"/>
      <c r="Q121" s="508"/>
    </row>
    <row r="122" spans="1:17" ht="15" thickTop="1">
      <c r="A122" s="548"/>
      <c r="B122" s="487" t="s">
        <v>1744</v>
      </c>
      <c r="C122" s="503"/>
      <c r="D122" s="503"/>
      <c r="E122" s="503"/>
      <c r="F122" s="532"/>
      <c r="G122" s="532"/>
      <c r="H122" s="532"/>
      <c r="I122" s="532"/>
      <c r="J122" s="532"/>
      <c r="K122" s="533"/>
      <c r="L122" s="534"/>
      <c r="M122" s="535"/>
      <c r="N122" s="927"/>
      <c r="O122" s="927"/>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6"/>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7"/>
      <c r="O124" s="927"/>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6"/>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7"/>
      <c r="Q126" s="508"/>
    </row>
    <row r="127" spans="1:17" s="422" customFormat="1" ht="15.75" thickBot="1">
      <c r="A127" s="502"/>
      <c r="B127" s="492"/>
      <c r="C127" s="509"/>
      <c r="D127" s="485"/>
      <c r="E127" s="485"/>
      <c r="F127" s="485"/>
      <c r="G127" s="509"/>
      <c r="H127" s="511"/>
      <c r="I127" s="511"/>
      <c r="J127" s="511"/>
      <c r="K127" s="511"/>
      <c r="L127" s="511"/>
      <c r="M127" s="512"/>
      <c r="N127" s="929"/>
      <c r="O127" s="929"/>
      <c r="P127" s="1917"/>
      <c r="Q127" s="508"/>
    </row>
    <row r="128" spans="1:17" ht="15" thickTop="1">
      <c r="A128" s="548"/>
      <c r="B128" s="487">
        <f>B45</f>
        <v>111</v>
      </c>
      <c r="C128" s="503"/>
      <c r="D128" s="503"/>
      <c r="E128" s="503"/>
      <c r="F128" s="503"/>
      <c r="G128" s="532"/>
      <c r="H128" s="532"/>
      <c r="I128" s="532"/>
      <c r="J128" s="532"/>
      <c r="K128" s="533"/>
      <c r="L128" s="534"/>
      <c r="M128" s="535"/>
      <c r="N128" s="927"/>
      <c r="O128" s="927"/>
      <c r="P128" s="1916"/>
      <c r="Q128" s="453"/>
    </row>
    <row r="129" spans="1:17" ht="15.75" thickBot="1">
      <c r="A129" s="483"/>
      <c r="B129" s="492"/>
      <c r="C129" s="509"/>
      <c r="D129" s="509"/>
      <c r="E129" s="509"/>
      <c r="F129" s="509"/>
      <c r="G129" s="485"/>
      <c r="H129" s="485"/>
      <c r="I129" s="485"/>
      <c r="J129" s="485"/>
      <c r="K129" s="485"/>
      <c r="L129" s="485"/>
      <c r="M129" s="486"/>
      <c r="N129" s="928"/>
      <c r="O129" s="928"/>
      <c r="P129" s="1916"/>
      <c r="Q129" s="453"/>
    </row>
    <row r="130" spans="1:17" ht="15" thickTop="1">
      <c r="A130" s="548"/>
      <c r="B130" s="495">
        <f>B46</f>
        <v>111</v>
      </c>
      <c r="C130" s="503"/>
      <c r="D130" s="503"/>
      <c r="E130" s="503"/>
      <c r="F130" s="503"/>
      <c r="G130" s="536"/>
      <c r="H130" s="536"/>
      <c r="I130" s="536"/>
      <c r="J130" s="536"/>
      <c r="K130" s="472"/>
      <c r="L130" s="473"/>
      <c r="M130" s="539"/>
      <c r="N130" s="927"/>
      <c r="O130" s="927"/>
      <c r="P130" s="1916"/>
      <c r="Q130" s="453"/>
    </row>
    <row r="131" spans="1:17" ht="15.75" thickBot="1">
      <c r="A131" s="1922"/>
      <c r="B131" s="518"/>
      <c r="C131" s="519"/>
      <c r="D131" s="519"/>
      <c r="E131" s="519"/>
      <c r="F131" s="519"/>
      <c r="G131" s="540"/>
      <c r="H131" s="540"/>
      <c r="I131" s="540"/>
      <c r="J131" s="540"/>
      <c r="K131" s="540"/>
      <c r="L131" s="540"/>
      <c r="M131" s="541"/>
      <c r="N131" s="928"/>
      <c r="O131" s="928"/>
      <c r="P131" s="1916"/>
      <c r="Q131" s="453"/>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71">
        <f>ROUNDUP((J139-1)/2,0)</f>
        <v>10</v>
      </c>
      <c r="K140" s="872">
        <v>100</v>
      </c>
    </row>
    <row r="141" spans="1:17" ht="15">
      <c r="B141" s="867">
        <v>4</v>
      </c>
      <c r="C141" s="868">
        <v>102</v>
      </c>
      <c r="D141" s="868"/>
      <c r="E141" s="869"/>
      <c r="F141" s="870">
        <v>101.5</v>
      </c>
      <c r="G141" s="868"/>
      <c r="H141" s="871"/>
      <c r="I141" s="1936" t="s">
        <v>1758</v>
      </c>
      <c r="J141" s="271">
        <v>1</v>
      </c>
      <c r="K141" s="873">
        <f>ROUND(100+(J141-J140)*K139*100,1)</f>
        <v>96.4</v>
      </c>
    </row>
    <row r="142" spans="1:17" ht="15">
      <c r="B142" s="867">
        <v>3</v>
      </c>
      <c r="C142" s="868">
        <v>103</v>
      </c>
      <c r="D142" s="868"/>
      <c r="E142" s="869"/>
      <c r="F142" s="870">
        <v>101</v>
      </c>
      <c r="G142" s="868"/>
      <c r="H142" s="871"/>
      <c r="I142" s="1936" t="s">
        <v>1759</v>
      </c>
      <c r="J142" s="271">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66" priority="19" stopIfTrue="1" operator="containsText" text="超过">
      <formula>NOT(ISERROR(SEARCH("超过",F52)))</formula>
    </cfRule>
  </conditionalFormatting>
  <conditionalFormatting sqref="J54">
    <cfRule type="containsText" dxfId="265" priority="18" stopIfTrue="1" operator="containsText" text="超过">
      <formula>NOT(ISERROR(SEARCH("超过",J54)))</formula>
    </cfRule>
  </conditionalFormatting>
  <conditionalFormatting sqref="H54">
    <cfRule type="containsText" dxfId="264" priority="17" stopIfTrue="1" operator="containsText" text="超过">
      <formula>NOT(ISERROR(SEARCH("超过",H54)))</formula>
    </cfRule>
  </conditionalFormatting>
  <conditionalFormatting sqref="F54">
    <cfRule type="containsText" dxfId="263" priority="16" stopIfTrue="1" operator="containsText" text="超过">
      <formula>NOT(ISERROR(SEARCH("超过",F54)))</formula>
    </cfRule>
  </conditionalFormatting>
  <conditionalFormatting sqref="F53 H53 J53">
    <cfRule type="containsText" dxfId="262" priority="15" stopIfTrue="1" operator="containsText" text="超过">
      <formula>NOT(ISERROR(SEARCH("超过",F53)))</formula>
    </cfRule>
  </conditionalFormatting>
  <conditionalFormatting sqref="E52">
    <cfRule type="expression" dxfId="261" priority="14" stopIfTrue="1">
      <formula>$F$52="超过30%"</formula>
    </cfRule>
  </conditionalFormatting>
  <conditionalFormatting sqref="G54">
    <cfRule type="expression" dxfId="260" priority="12" stopIfTrue="1">
      <formula>$H$54="超过30%"</formula>
    </cfRule>
  </conditionalFormatting>
  <conditionalFormatting sqref="E53">
    <cfRule type="expression" dxfId="259" priority="11" stopIfTrue="1">
      <formula>$F$53="超过20%"</formula>
    </cfRule>
  </conditionalFormatting>
  <conditionalFormatting sqref="E54">
    <cfRule type="expression" dxfId="258" priority="10" stopIfTrue="1">
      <formula>$F$54="超过30%"</formula>
    </cfRule>
  </conditionalFormatting>
  <conditionalFormatting sqref="G52">
    <cfRule type="expression" dxfId="257" priority="9" stopIfTrue="1">
      <formula>$H$52="超过30%"</formula>
    </cfRule>
  </conditionalFormatting>
  <conditionalFormatting sqref="G53">
    <cfRule type="expression" dxfId="256" priority="8" stopIfTrue="1">
      <formula>$H$53="超过20%"</formula>
    </cfRule>
  </conditionalFormatting>
  <conditionalFormatting sqref="I52">
    <cfRule type="expression" dxfId="255" priority="7" stopIfTrue="1">
      <formula>$J$52="超过30%"</formula>
    </cfRule>
  </conditionalFormatting>
  <conditionalFormatting sqref="I53">
    <cfRule type="expression" dxfId="254" priority="6" stopIfTrue="1">
      <formula>$J$53="超过20%"</formula>
    </cfRule>
  </conditionalFormatting>
  <conditionalFormatting sqref="I54">
    <cfRule type="expression" dxfId="253" priority="5" stopIfTrue="1">
      <formula>$J$54="超过30%"</formula>
    </cfRule>
  </conditionalFormatting>
  <conditionalFormatting sqref="F48">
    <cfRule type="expression" dxfId="252" priority="4">
      <formula>$D$48="简单平均"</formula>
    </cfRule>
  </conditionalFormatting>
  <conditionalFormatting sqref="H48">
    <cfRule type="expression" dxfId="251" priority="3">
      <formula>$D$48="简单平均"</formula>
    </cfRule>
  </conditionalFormatting>
  <conditionalFormatting sqref="J48">
    <cfRule type="expression" dxfId="250" priority="2">
      <formula>$D$48="简单平均"</formula>
    </cfRule>
  </conditionalFormatting>
  <conditionalFormatting sqref="F7:F46 H7:H46 J7:J46">
    <cfRule type="cellIs" dxfId="2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t="s">
        <v>673</v>
      </c>
      <c r="E1" s="3420" t="s">
        <v>3397</v>
      </c>
      <c r="F1" s="1873" t="s">
        <v>3398</v>
      </c>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2" customFormat="1" ht="28.5" customHeight="1" thickTop="1">
      <c r="A2" s="1215" t="s">
        <v>1462</v>
      </c>
      <c r="B2" s="1158" t="e">
        <f>IF(E1="项目模式",IF(C2="——",ROUND(C49*D3/10000,0),ROUND(C49*D3/10000,0)-D2),IF(E1="单套模式",IF(C2="——",ROUND(C49*D3/10000,4),ROUND(C49*D3/10000,4)-D2)))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52" customFormat="1" ht="28.5" customHeight="1" thickBot="1">
      <c r="A3" s="203" t="s">
        <v>1464</v>
      </c>
      <c r="B3" s="558" t="e">
        <f>IF(C2="——",C49,ROUND(B2*10000/D3,0))</f>
        <v>#DIV/0!</v>
      </c>
      <c r="C3" s="354" t="s">
        <v>1768</v>
      </c>
      <c r="D3" s="353">
        <f>IF(D1="",'数据-汇总表'!E3,SUMIF('数据-汇总表'!$C19:$C33,D1,'数据-汇总表'!$E19:$E33))</f>
        <v>0</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5" t="s">
        <v>1769</v>
      </c>
      <c r="B4" s="356"/>
      <c r="C4" s="3710" t="s">
        <v>1770</v>
      </c>
      <c r="D4" s="3711"/>
      <c r="E4" s="3712" t="s">
        <v>1771</v>
      </c>
      <c r="F4" s="3713"/>
      <c r="G4" s="3710" t="s">
        <v>1772</v>
      </c>
      <c r="H4" s="3711"/>
      <c r="I4" s="3710" t="s">
        <v>1773</v>
      </c>
      <c r="J4" s="3711"/>
      <c r="K4" s="559" t="s">
        <v>1774</v>
      </c>
      <c r="L4" s="2709"/>
      <c r="M4" s="2710"/>
      <c r="N4" s="2710"/>
      <c r="O4" s="2710"/>
      <c r="P4" s="3714" t="s">
        <v>1775</v>
      </c>
      <c r="Q4" s="3715"/>
      <c r="R4" s="3720" t="s">
        <v>1771</v>
      </c>
      <c r="S4" s="3721"/>
      <c r="T4" s="3720" t="s">
        <v>1772</v>
      </c>
      <c r="U4" s="3721"/>
      <c r="V4" s="3726" t="s">
        <v>1773</v>
      </c>
      <c r="W4" s="3726"/>
      <c r="X4" s="1349"/>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09"/>
      <c r="M5" s="2710"/>
      <c r="N5" s="2710"/>
      <c r="O5" s="2710"/>
      <c r="P5" s="3716"/>
      <c r="Q5" s="3717"/>
      <c r="R5" s="3722"/>
      <c r="S5" s="3723"/>
      <c r="T5" s="3722"/>
      <c r="U5" s="3723"/>
      <c r="V5" s="3726"/>
      <c r="W5" s="3726"/>
      <c r="X5" s="1349"/>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18"/>
      <c r="Q6" s="3719"/>
      <c r="R6" s="3722"/>
      <c r="S6" s="3723"/>
      <c r="T6" s="3724"/>
      <c r="U6" s="3725"/>
      <c r="V6" s="3726"/>
      <c r="W6" s="3726"/>
      <c r="X6" s="1349"/>
      <c r="Y6" s="3724"/>
      <c r="Z6" s="3725"/>
      <c r="AA6" s="3709"/>
      <c r="AB6" s="3726"/>
      <c r="AC6" s="3709"/>
    </row>
    <row r="7" spans="1:29" s="108" customFormat="1" ht="15.75" thickBot="1">
      <c r="A7" s="362" t="s">
        <v>1679</v>
      </c>
      <c r="B7" s="363"/>
      <c r="C7" s="364">
        <f>'数据-取费表'!B2</f>
        <v>45506</v>
      </c>
      <c r="D7" s="365">
        <v>100</v>
      </c>
      <c r="E7" s="366">
        <v>45474</v>
      </c>
      <c r="F7" s="367">
        <f>SUMIF(58:58,YEAR(E7)&amp;"-"&amp;MONTH(E7),59:59)</f>
        <v>0</v>
      </c>
      <c r="G7" s="366">
        <v>45474</v>
      </c>
      <c r="H7" s="365">
        <f>SUMIF(58:58,YEAR(G7)&amp;"-"&amp;MONTH(G7),59:59)</f>
        <v>0</v>
      </c>
      <c r="I7" s="366">
        <v>45474</v>
      </c>
      <c r="J7" s="365">
        <f>SUMIF(58:58,YEAR(I7)&amp;"-"&amp;MONTH(I7),59:59)</f>
        <v>0</v>
      </c>
      <c r="K7" s="560"/>
      <c r="L7" s="2711"/>
      <c r="M7" s="2712"/>
      <c r="N7" s="2712"/>
      <c r="O7" s="2712"/>
      <c r="P7" s="3731" t="s">
        <v>1680</v>
      </c>
      <c r="Q7" s="3733"/>
      <c r="R7" s="699" t="s">
        <v>14</v>
      </c>
      <c r="S7" s="700">
        <f t="shared" ref="S7:S15" si="0">F7</f>
        <v>0</v>
      </c>
      <c r="T7" s="699" t="s">
        <v>14</v>
      </c>
      <c r="U7" s="700">
        <f t="shared" ref="U7:U15" si="1">H7</f>
        <v>0</v>
      </c>
      <c r="V7" s="699" t="s">
        <v>14</v>
      </c>
      <c r="W7" s="700">
        <f t="shared" ref="W7:W15" si="2">J7</f>
        <v>0</v>
      </c>
      <c r="X7" s="701"/>
      <c r="Y7" s="3731" t="s">
        <v>1680</v>
      </c>
      <c r="Z7" s="3732"/>
      <c r="AA7" s="702" t="e">
        <f>D7/F7</f>
        <v>#DIV/0!</v>
      </c>
      <c r="AB7" s="702" t="e">
        <f>D7/H7</f>
        <v>#DIV/0!</v>
      </c>
      <c r="AC7" s="702"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1"/>
      <c r="M8" s="2712"/>
      <c r="N8" s="2712"/>
      <c r="O8" s="2712"/>
      <c r="P8" s="3731" t="s">
        <v>1683</v>
      </c>
      <c r="Q8" s="3732"/>
      <c r="R8" s="699" t="s">
        <v>14</v>
      </c>
      <c r="S8" s="700">
        <f t="shared" si="0"/>
        <v>100</v>
      </c>
      <c r="T8" s="699" t="s">
        <v>14</v>
      </c>
      <c r="U8" s="700">
        <f t="shared" si="1"/>
        <v>100</v>
      </c>
      <c r="V8" s="699" t="s">
        <v>14</v>
      </c>
      <c r="W8" s="700">
        <f t="shared" si="2"/>
        <v>100</v>
      </c>
      <c r="X8" s="701"/>
      <c r="Y8" s="3731" t="s">
        <v>1683</v>
      </c>
      <c r="Z8" s="3732"/>
      <c r="AA8" s="702">
        <f t="shared" ref="AA8:AA46" si="3">D8/F8</f>
        <v>1</v>
      </c>
      <c r="AB8" s="702">
        <f t="shared" ref="AB8:AB46" si="4">D8/H8</f>
        <v>1</v>
      </c>
      <c r="AC8" s="702">
        <f t="shared" ref="AC8:AC46" si="5">D8/J8</f>
        <v>1</v>
      </c>
    </row>
    <row r="9" spans="1:29" s="108" customFormat="1">
      <c r="A9" s="369" t="s">
        <v>1684</v>
      </c>
      <c r="B9" s="63" t="s">
        <v>1685</v>
      </c>
      <c r="C9" s="3444" t="s">
        <v>3405</v>
      </c>
      <c r="D9" s="126">
        <v>100</v>
      </c>
      <c r="E9" s="371" t="s">
        <v>21</v>
      </c>
      <c r="F9" s="372">
        <f>SUMIF(63:63,E9,64:64)-SUMIF(63:63,C9,64:64)+100</f>
        <v>100</v>
      </c>
      <c r="G9" s="371" t="s">
        <v>21</v>
      </c>
      <c r="H9" s="126">
        <f>SUMIF(63:63,G9,64:64)-SUMIF(63:63,C9,64:64)+100</f>
        <v>100</v>
      </c>
      <c r="I9" s="371" t="s">
        <v>21</v>
      </c>
      <c r="J9" s="126">
        <f>SUMIF(63:63,I9,64:64)-SUMIF(63:63,C9,64:64)+100</f>
        <v>100</v>
      </c>
      <c r="K9" s="560"/>
      <c r="L9" s="2711"/>
      <c r="M9" s="2712"/>
      <c r="N9" s="2712"/>
      <c r="O9" s="2712"/>
      <c r="P9" s="3706"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06"/>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06"/>
      <c r="Q11" s="1337" t="str">
        <f t="shared" si="6"/>
        <v>容积率</v>
      </c>
      <c r="R11" s="699" t="s">
        <v>14</v>
      </c>
      <c r="S11" s="700">
        <f t="shared" si="0"/>
        <v>100</v>
      </c>
      <c r="T11" s="699" t="s">
        <v>14</v>
      </c>
      <c r="U11" s="700">
        <f t="shared" si="1"/>
        <v>100</v>
      </c>
      <c r="V11" s="699" t="s">
        <v>14</v>
      </c>
      <c r="W11" s="700">
        <f t="shared" si="2"/>
        <v>100</v>
      </c>
      <c r="X11" s="701"/>
      <c r="Y11" s="3570"/>
      <c r="Z11" s="52" t="str">
        <f t="shared" si="7"/>
        <v>容积率</v>
      </c>
      <c r="AA11" s="702">
        <f t="shared" si="3"/>
        <v>1</v>
      </c>
      <c r="AB11" s="702">
        <f t="shared" si="4"/>
        <v>1</v>
      </c>
      <c r="AC11" s="702">
        <f t="shared" si="5"/>
        <v>1</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06"/>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06"/>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702">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06"/>
      <c r="Q14" s="1337">
        <f t="shared" si="6"/>
        <v>111</v>
      </c>
      <c r="R14" s="699" t="s">
        <v>14</v>
      </c>
      <c r="S14" s="700">
        <f t="shared" si="0"/>
        <v>100</v>
      </c>
      <c r="T14" s="699" t="s">
        <v>14</v>
      </c>
      <c r="U14" s="700">
        <f t="shared" si="1"/>
        <v>100</v>
      </c>
      <c r="V14" s="699" t="s">
        <v>14</v>
      </c>
      <c r="W14" s="700">
        <f t="shared" si="2"/>
        <v>100</v>
      </c>
      <c r="X14" s="701"/>
      <c r="Y14" s="3570"/>
      <c r="Z14" s="52">
        <f t="shared" si="7"/>
        <v>111</v>
      </c>
      <c r="AA14" s="702">
        <f t="shared" si="3"/>
        <v>1</v>
      </c>
      <c r="AB14" s="702">
        <f t="shared" si="4"/>
        <v>1</v>
      </c>
      <c r="AC14" s="702">
        <f t="shared" si="5"/>
        <v>1</v>
      </c>
    </row>
    <row r="15" spans="1:29" ht="71.25">
      <c r="A15" s="391" t="s">
        <v>1690</v>
      </c>
      <c r="B15" s="61" t="s">
        <v>1777</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04" t="s">
        <v>1691</v>
      </c>
      <c r="Q15" s="1346" t="str">
        <f t="shared" si="6"/>
        <v>商业繁华度</v>
      </c>
      <c r="R15" s="703" t="s">
        <v>14</v>
      </c>
      <c r="S15" s="704">
        <f t="shared" si="0"/>
        <v>100</v>
      </c>
      <c r="T15" s="703" t="s">
        <v>14</v>
      </c>
      <c r="U15" s="704">
        <f t="shared" si="1"/>
        <v>100</v>
      </c>
      <c r="V15" s="703" t="s">
        <v>14</v>
      </c>
      <c r="W15" s="704">
        <f t="shared" si="2"/>
        <v>100</v>
      </c>
      <c r="X15" s="1349"/>
      <c r="Y15" s="3697" t="s">
        <v>1691</v>
      </c>
      <c r="Z15" s="1350" t="str">
        <f t="shared" si="7"/>
        <v>商业繁华度</v>
      </c>
      <c r="AA15" s="1347">
        <f t="shared" si="3"/>
        <v>1</v>
      </c>
      <c r="AB15" s="1347">
        <f t="shared" si="4"/>
        <v>1</v>
      </c>
      <c r="AC15" s="1347">
        <f t="shared" si="5"/>
        <v>1</v>
      </c>
    </row>
    <row r="16" spans="1:29" ht="15">
      <c r="A16" s="379"/>
      <c r="B16" s="397"/>
      <c r="C16" s="398" t="s">
        <v>3401</v>
      </c>
      <c r="D16" s="399"/>
      <c r="E16" s="398" t="s">
        <v>3401</v>
      </c>
      <c r="F16" s="400"/>
      <c r="G16" s="398" t="s">
        <v>3401</v>
      </c>
      <c r="H16" s="401"/>
      <c r="I16" s="398" t="s">
        <v>3401</v>
      </c>
      <c r="J16" s="399"/>
      <c r="K16" s="564"/>
      <c r="L16" s="2716"/>
      <c r="M16" s="2710"/>
      <c r="N16" s="2710"/>
      <c r="O16" s="2710"/>
      <c r="P16" s="3705"/>
      <c r="Q16" s="1346"/>
      <c r="R16" s="703"/>
      <c r="S16" s="704"/>
      <c r="T16" s="703"/>
      <c r="U16" s="704"/>
      <c r="V16" s="703"/>
      <c r="W16" s="704"/>
      <c r="X16" s="1349"/>
      <c r="Y16" s="3698"/>
      <c r="Z16" s="1350"/>
      <c r="AA16" s="1347">
        <v>1</v>
      </c>
      <c r="AB16" s="1347">
        <v>1</v>
      </c>
      <c r="AC16" s="1347">
        <v>1</v>
      </c>
    </row>
    <row r="17" spans="1:29" ht="85.5">
      <c r="A17" s="379"/>
      <c r="B17" s="402" t="s">
        <v>1259</v>
      </c>
      <c r="C17" s="1894"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05"/>
      <c r="Q17" s="1346" t="str">
        <f>B17</f>
        <v>交通便捷度</v>
      </c>
      <c r="R17" s="703" t="s">
        <v>14</v>
      </c>
      <c r="S17" s="704">
        <f>F17</f>
        <v>100</v>
      </c>
      <c r="T17" s="703" t="s">
        <v>14</v>
      </c>
      <c r="U17" s="704">
        <f>H17</f>
        <v>100</v>
      </c>
      <c r="V17" s="703" t="s">
        <v>14</v>
      </c>
      <c r="W17" s="704">
        <f>J17</f>
        <v>100</v>
      </c>
      <c r="X17" s="1349"/>
      <c r="Y17" s="3698"/>
      <c r="Z17" s="1350" t="str">
        <f>Q17</f>
        <v>交通便捷度</v>
      </c>
      <c r="AA17" s="1347">
        <f t="shared" si="3"/>
        <v>1</v>
      </c>
      <c r="AB17" s="1347">
        <f t="shared" si="4"/>
        <v>1</v>
      </c>
      <c r="AC17" s="1347">
        <f t="shared" si="5"/>
        <v>1</v>
      </c>
    </row>
    <row r="18" spans="1:29" ht="15">
      <c r="A18" s="379"/>
      <c r="B18" s="407"/>
      <c r="C18" s="398" t="s">
        <v>3401</v>
      </c>
      <c r="D18" s="401"/>
      <c r="E18" s="398" t="s">
        <v>3401</v>
      </c>
      <c r="F18" s="404"/>
      <c r="G18" s="398" t="s">
        <v>3401</v>
      </c>
      <c r="H18" s="399"/>
      <c r="I18" s="398" t="s">
        <v>3401</v>
      </c>
      <c r="J18" s="399"/>
      <c r="K18" s="564"/>
      <c r="L18" s="2716"/>
      <c r="M18" s="2710"/>
      <c r="N18" s="2710"/>
      <c r="O18" s="2710"/>
      <c r="P18" s="3705"/>
      <c r="Q18" s="1346"/>
      <c r="R18" s="703"/>
      <c r="S18" s="704"/>
      <c r="T18" s="703"/>
      <c r="U18" s="704"/>
      <c r="V18" s="703"/>
      <c r="W18" s="704"/>
      <c r="X18" s="1349"/>
      <c r="Y18" s="3698"/>
      <c r="Z18" s="1350"/>
      <c r="AA18" s="1347">
        <v>1</v>
      </c>
      <c r="AB18" s="1347">
        <v>1</v>
      </c>
      <c r="AC18" s="1347">
        <v>1</v>
      </c>
    </row>
    <row r="19" spans="1:29" ht="42.75">
      <c r="A19" s="379"/>
      <c r="B19" s="402" t="s">
        <v>1778</v>
      </c>
      <c r="C19" s="1894"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05"/>
      <c r="Q19" s="1346" t="str">
        <f>B19</f>
        <v>公共配套设施</v>
      </c>
      <c r="R19" s="703" t="s">
        <v>14</v>
      </c>
      <c r="S19" s="704">
        <f>F19</f>
        <v>100</v>
      </c>
      <c r="T19" s="703" t="s">
        <v>14</v>
      </c>
      <c r="U19" s="704">
        <f>H19</f>
        <v>100</v>
      </c>
      <c r="V19" s="703" t="s">
        <v>14</v>
      </c>
      <c r="W19" s="704">
        <f>J19</f>
        <v>100</v>
      </c>
      <c r="X19" s="1349"/>
      <c r="Y19" s="3698"/>
      <c r="Z19" s="1350" t="str">
        <f>Q19</f>
        <v>公共配套设施</v>
      </c>
      <c r="AA19" s="1347">
        <f t="shared" si="3"/>
        <v>1</v>
      </c>
      <c r="AB19" s="1347">
        <f t="shared" si="4"/>
        <v>1</v>
      </c>
      <c r="AC19" s="1347">
        <f t="shared" si="5"/>
        <v>1</v>
      </c>
    </row>
    <row r="20" spans="1:29" ht="15">
      <c r="A20" s="379"/>
      <c r="B20" s="407"/>
      <c r="C20" s="398" t="s">
        <v>3401</v>
      </c>
      <c r="D20" s="399"/>
      <c r="E20" s="398" t="s">
        <v>3401</v>
      </c>
      <c r="F20" s="400"/>
      <c r="G20" s="398" t="s">
        <v>3401</v>
      </c>
      <c r="H20" s="399"/>
      <c r="I20" s="398" t="s">
        <v>3401</v>
      </c>
      <c r="J20" s="399"/>
      <c r="K20" s="564"/>
      <c r="L20" s="2716"/>
      <c r="M20" s="2710"/>
      <c r="N20" s="2710"/>
      <c r="O20" s="2710"/>
      <c r="P20" s="3705"/>
      <c r="Q20" s="1346"/>
      <c r="R20" s="703"/>
      <c r="S20" s="704"/>
      <c r="T20" s="703"/>
      <c r="U20" s="704"/>
      <c r="V20" s="703"/>
      <c r="W20" s="704"/>
      <c r="X20" s="1349"/>
      <c r="Y20" s="3698"/>
      <c r="Z20" s="1350"/>
      <c r="AA20" s="1347">
        <v>1</v>
      </c>
      <c r="AB20" s="1347">
        <v>1</v>
      </c>
      <c r="AC20" s="1347">
        <v>1</v>
      </c>
    </row>
    <row r="21" spans="1:29" ht="28.5">
      <c r="A21" s="379"/>
      <c r="B21" s="1125" t="s">
        <v>1779</v>
      </c>
      <c r="C21" s="1894"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05"/>
      <c r="Q21" s="1346" t="str">
        <f>B21</f>
        <v>基础设施水平</v>
      </c>
      <c r="R21" s="703" t="s">
        <v>14</v>
      </c>
      <c r="S21" s="704">
        <f>F21</f>
        <v>100</v>
      </c>
      <c r="T21" s="703" t="s">
        <v>14</v>
      </c>
      <c r="U21" s="704">
        <f>H21</f>
        <v>100</v>
      </c>
      <c r="V21" s="703" t="s">
        <v>14</v>
      </c>
      <c r="W21" s="704">
        <f>J21</f>
        <v>100</v>
      </c>
      <c r="X21" s="1349"/>
      <c r="Y21" s="3698"/>
      <c r="Z21" s="1350" t="str">
        <f>Q21</f>
        <v>基础设施水平</v>
      </c>
      <c r="AA21" s="1347">
        <f t="shared" ref="AA21" si="8">D21/F21</f>
        <v>1</v>
      </c>
      <c r="AB21" s="1347">
        <f t="shared" ref="AB21" si="9">D21/H21</f>
        <v>1</v>
      </c>
      <c r="AC21" s="1347">
        <f t="shared" ref="AC21" si="10">D21/J21</f>
        <v>1</v>
      </c>
    </row>
    <row r="22" spans="1:29" ht="15">
      <c r="A22" s="379"/>
      <c r="B22" s="1125"/>
      <c r="C22" s="1895" t="s">
        <v>3402</v>
      </c>
      <c r="D22" s="399"/>
      <c r="E22" s="1895" t="s">
        <v>3402</v>
      </c>
      <c r="F22" s="400"/>
      <c r="G22" s="1895" t="s">
        <v>3402</v>
      </c>
      <c r="H22" s="399"/>
      <c r="I22" s="1895" t="s">
        <v>3402</v>
      </c>
      <c r="J22" s="399"/>
      <c r="K22" s="1124"/>
      <c r="L22" s="2716"/>
      <c r="M22" s="2710"/>
      <c r="N22" s="2710"/>
      <c r="O22" s="2710"/>
      <c r="P22" s="3705"/>
      <c r="Q22" s="1346"/>
      <c r="R22" s="703"/>
      <c r="S22" s="704"/>
      <c r="T22" s="703"/>
      <c r="U22" s="704"/>
      <c r="V22" s="703"/>
      <c r="W22" s="704"/>
      <c r="X22" s="1349"/>
      <c r="Y22" s="3698"/>
      <c r="Z22" s="1350"/>
      <c r="AA22" s="1347">
        <v>1</v>
      </c>
      <c r="AB22" s="1347">
        <v>1</v>
      </c>
      <c r="AC22" s="1347">
        <v>1</v>
      </c>
    </row>
    <row r="23" spans="1:29" ht="57">
      <c r="A23" s="379"/>
      <c r="B23" s="402" t="s">
        <v>1261</v>
      </c>
      <c r="C23" s="1949"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05"/>
      <c r="Q23" s="1346" t="str">
        <f>B23</f>
        <v>自然及人文环境</v>
      </c>
      <c r="R23" s="703" t="s">
        <v>14</v>
      </c>
      <c r="S23" s="704">
        <f>F23</f>
        <v>100</v>
      </c>
      <c r="T23" s="703" t="s">
        <v>14</v>
      </c>
      <c r="U23" s="704">
        <f>H23</f>
        <v>100</v>
      </c>
      <c r="V23" s="703" t="s">
        <v>14</v>
      </c>
      <c r="W23" s="704">
        <f>J23</f>
        <v>100</v>
      </c>
      <c r="X23" s="1349"/>
      <c r="Y23" s="3698"/>
      <c r="Z23" s="1350" t="str">
        <f>Q23</f>
        <v>自然及人文环境</v>
      </c>
      <c r="AA23" s="1347">
        <f t="shared" si="3"/>
        <v>1</v>
      </c>
      <c r="AB23" s="1347">
        <f t="shared" si="4"/>
        <v>1</v>
      </c>
      <c r="AC23" s="1347">
        <f t="shared" si="5"/>
        <v>1</v>
      </c>
    </row>
    <row r="24" spans="1:29" ht="15">
      <c r="A24" s="379"/>
      <c r="B24" s="407"/>
      <c r="C24" s="398" t="s">
        <v>3401</v>
      </c>
      <c r="D24" s="399"/>
      <c r="E24" s="398" t="s">
        <v>3401</v>
      </c>
      <c r="F24" s="400"/>
      <c r="G24" s="398" t="s">
        <v>3401</v>
      </c>
      <c r="H24" s="399"/>
      <c r="I24" s="398" t="s">
        <v>3401</v>
      </c>
      <c r="J24" s="399"/>
      <c r="K24" s="564"/>
      <c r="L24" s="2716"/>
      <c r="M24" s="2710"/>
      <c r="N24" s="2710"/>
      <c r="O24" s="2710"/>
      <c r="P24" s="3705"/>
      <c r="Q24" s="1346"/>
      <c r="R24" s="703"/>
      <c r="S24" s="704"/>
      <c r="T24" s="703"/>
      <c r="U24" s="704"/>
      <c r="V24" s="703"/>
      <c r="W24" s="704"/>
      <c r="X24" s="1349"/>
      <c r="Y24" s="3698"/>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05"/>
      <c r="Q25" s="1346" t="str">
        <f t="shared" ref="Q25:Q46" si="11">B25</f>
        <v>临街状况</v>
      </c>
      <c r="R25" s="703" t="s">
        <v>14</v>
      </c>
      <c r="S25" s="704">
        <f>F25</f>
        <v>100</v>
      </c>
      <c r="T25" s="703" t="s">
        <v>14</v>
      </c>
      <c r="U25" s="704">
        <f>H25</f>
        <v>100</v>
      </c>
      <c r="V25" s="703" t="s">
        <v>14</v>
      </c>
      <c r="W25" s="704">
        <f>J25</f>
        <v>100</v>
      </c>
      <c r="X25" s="1349"/>
      <c r="Y25" s="3698"/>
      <c r="Z25" s="1350" t="str">
        <f>Q25</f>
        <v>临街状况</v>
      </c>
      <c r="AA25" s="1347">
        <f t="shared" si="3"/>
        <v>1</v>
      </c>
      <c r="AB25" s="1347">
        <f t="shared" si="4"/>
        <v>1</v>
      </c>
      <c r="AC25" s="1347">
        <f t="shared" si="5"/>
        <v>1</v>
      </c>
    </row>
    <row r="26" spans="1:29" ht="15">
      <c r="A26" s="379"/>
      <c r="B26" s="1127"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5"/>
      <c r="Q26" s="1346" t="str">
        <f t="shared" si="11"/>
        <v>平面位置/可视性</v>
      </c>
      <c r="R26" s="703" t="s">
        <v>14</v>
      </c>
      <c r="S26" s="704">
        <f>F26</f>
        <v>100</v>
      </c>
      <c r="T26" s="703" t="s">
        <v>14</v>
      </c>
      <c r="U26" s="704">
        <f>H26</f>
        <v>100</v>
      </c>
      <c r="V26" s="703" t="s">
        <v>14</v>
      </c>
      <c r="W26" s="704">
        <f>J26</f>
        <v>100</v>
      </c>
      <c r="X26" s="1349"/>
      <c r="Y26" s="3698"/>
      <c r="Z26" s="1350" t="str">
        <f>Q26</f>
        <v>平面位置/可视性</v>
      </c>
      <c r="AA26" s="1347">
        <f t="shared" si="3"/>
        <v>1</v>
      </c>
      <c r="AB26" s="1347">
        <f t="shared" si="4"/>
        <v>1</v>
      </c>
      <c r="AC26" s="1347">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61"/>
      <c r="L27" s="2711"/>
      <c r="M27" s="2712"/>
      <c r="N27" s="2712"/>
      <c r="O27" s="2712"/>
      <c r="P27" s="3705"/>
      <c r="Q27" s="1337" t="str">
        <f t="shared" si="11"/>
        <v>人流量</v>
      </c>
      <c r="R27" s="699" t="s">
        <v>14</v>
      </c>
      <c r="S27" s="700">
        <f>F27</f>
        <v>100</v>
      </c>
      <c r="T27" s="699" t="s">
        <v>14</v>
      </c>
      <c r="U27" s="700">
        <f>H27</f>
        <v>100</v>
      </c>
      <c r="V27" s="699" t="s">
        <v>14</v>
      </c>
      <c r="W27" s="700">
        <f>J27</f>
        <v>100</v>
      </c>
      <c r="X27" s="701"/>
      <c r="Y27" s="3698"/>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5"/>
      <c r="Q28" s="1346" t="str">
        <f t="shared" si="11"/>
        <v>楼层</v>
      </c>
      <c r="R28" s="703" t="s">
        <v>14</v>
      </c>
      <c r="S28" s="704">
        <f t="shared" ref="S28:S46" si="12">F28</f>
        <v>100</v>
      </c>
      <c r="T28" s="703" t="s">
        <v>14</v>
      </c>
      <c r="U28" s="704">
        <f t="shared" ref="U28:U46" si="13">H28</f>
        <v>100</v>
      </c>
      <c r="V28" s="703" t="s">
        <v>14</v>
      </c>
      <c r="W28" s="704">
        <f t="shared" ref="W28:W46" si="14">J28</f>
        <v>100</v>
      </c>
      <c r="X28" s="1349"/>
      <c r="Y28" s="3698"/>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5"/>
      <c r="Q29" s="1346">
        <f t="shared" si="11"/>
        <v>111</v>
      </c>
      <c r="R29" s="703" t="s">
        <v>14</v>
      </c>
      <c r="S29" s="704">
        <f t="shared" si="12"/>
        <v>100</v>
      </c>
      <c r="T29" s="703" t="s">
        <v>14</v>
      </c>
      <c r="U29" s="704">
        <f t="shared" si="13"/>
        <v>100</v>
      </c>
      <c r="V29" s="703" t="s">
        <v>14</v>
      </c>
      <c r="W29" s="704">
        <f t="shared" si="14"/>
        <v>100</v>
      </c>
      <c r="X29" s="1349"/>
      <c r="Y29" s="3698"/>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5"/>
      <c r="Q30" s="1346">
        <f t="shared" si="11"/>
        <v>111</v>
      </c>
      <c r="R30" s="703" t="s">
        <v>14</v>
      </c>
      <c r="S30" s="704">
        <f t="shared" si="12"/>
        <v>100</v>
      </c>
      <c r="T30" s="703" t="s">
        <v>14</v>
      </c>
      <c r="U30" s="704">
        <f t="shared" si="13"/>
        <v>100</v>
      </c>
      <c r="V30" s="703" t="s">
        <v>14</v>
      </c>
      <c r="W30" s="704">
        <f t="shared" si="14"/>
        <v>100</v>
      </c>
      <c r="X30" s="1349"/>
      <c r="Y30" s="3698"/>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5"/>
      <c r="Q31" s="1346">
        <f t="shared" si="11"/>
        <v>111</v>
      </c>
      <c r="R31" s="703" t="s">
        <v>14</v>
      </c>
      <c r="S31" s="704">
        <f t="shared" si="12"/>
        <v>100</v>
      </c>
      <c r="T31" s="703" t="s">
        <v>14</v>
      </c>
      <c r="U31" s="704">
        <f t="shared" si="13"/>
        <v>100</v>
      </c>
      <c r="V31" s="703" t="s">
        <v>14</v>
      </c>
      <c r="W31" s="704">
        <f t="shared" si="14"/>
        <v>100</v>
      </c>
      <c r="X31" s="1349"/>
      <c r="Y31" s="3698"/>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6"/>
      <c r="M32" s="2710"/>
      <c r="N32" s="2710"/>
      <c r="O32" s="2710"/>
      <c r="P32" s="3699" t="s">
        <v>1696</v>
      </c>
      <c r="Q32" s="1346" t="str">
        <f t="shared" si="11"/>
        <v>商业类型</v>
      </c>
      <c r="R32" s="703" t="s">
        <v>14</v>
      </c>
      <c r="S32" s="704">
        <f t="shared" si="12"/>
        <v>100</v>
      </c>
      <c r="T32" s="703" t="s">
        <v>14</v>
      </c>
      <c r="U32" s="704">
        <f t="shared" si="13"/>
        <v>100</v>
      </c>
      <c r="V32" s="703" t="s">
        <v>14</v>
      </c>
      <c r="W32" s="704">
        <f t="shared" si="14"/>
        <v>100</v>
      </c>
      <c r="X32" s="1349"/>
      <c r="Y32" s="3702" t="s">
        <v>1696</v>
      </c>
      <c r="Z32" s="1350" t="str">
        <f t="shared" si="15"/>
        <v>商业类型</v>
      </c>
      <c r="AA32" s="1347">
        <f t="shared" si="3"/>
        <v>1</v>
      </c>
      <c r="AB32" s="1347">
        <f t="shared" si="4"/>
        <v>1</v>
      </c>
      <c r="AC32" s="1347">
        <f t="shared" si="5"/>
        <v>1</v>
      </c>
    </row>
    <row r="33" spans="1:29" s="422" customFormat="1" ht="15">
      <c r="A33" s="419"/>
      <c r="B33" s="375" t="s">
        <v>1697</v>
      </c>
      <c r="C33" s="420">
        <f>'数据-汇总表'!F19</f>
        <v>147.63999999999999</v>
      </c>
      <c r="D33" s="127">
        <v>100</v>
      </c>
      <c r="E33" s="381">
        <v>90</v>
      </c>
      <c r="F33" s="376">
        <f>LOOKUP(E33,103:103,104:104)-LOOKUP(C33,103:103,104:104)+100</f>
        <v>101</v>
      </c>
      <c r="G33" s="380">
        <v>30</v>
      </c>
      <c r="H33" s="127">
        <f>LOOKUP(G33,103:103,104:104)-LOOKUP(C33,103:103,104:104)+100</f>
        <v>101</v>
      </c>
      <c r="I33" s="380">
        <v>50</v>
      </c>
      <c r="J33" s="127">
        <f>LOOKUP(I33,103:103,104:104)-LOOKUP(C33,103:103,104:104)+100</f>
        <v>101</v>
      </c>
      <c r="K33" s="562"/>
      <c r="L33" s="2715"/>
      <c r="M33" s="2717"/>
      <c r="N33" s="2717"/>
      <c r="O33" s="2717"/>
      <c r="P33" s="3700"/>
      <c r="Q33" s="705" t="str">
        <f t="shared" si="11"/>
        <v>项目建筑规模</v>
      </c>
      <c r="R33" s="706" t="s">
        <v>14</v>
      </c>
      <c r="S33" s="707">
        <f t="shared" si="12"/>
        <v>101</v>
      </c>
      <c r="T33" s="706" t="s">
        <v>14</v>
      </c>
      <c r="U33" s="707">
        <f t="shared" si="13"/>
        <v>101</v>
      </c>
      <c r="V33" s="706" t="s">
        <v>14</v>
      </c>
      <c r="W33" s="707">
        <f t="shared" si="14"/>
        <v>101</v>
      </c>
      <c r="X33" s="708"/>
      <c r="Y33" s="3702"/>
      <c r="Z33" s="709" t="str">
        <f t="shared" si="15"/>
        <v>项目建筑规模</v>
      </c>
      <c r="AA33" s="1347">
        <f t="shared" si="3"/>
        <v>0.99009900990099009</v>
      </c>
      <c r="AB33" s="1347">
        <f t="shared" si="4"/>
        <v>0.99009900990099009</v>
      </c>
      <c r="AC33" s="1347">
        <f t="shared" si="5"/>
        <v>0.99009900990099009</v>
      </c>
    </row>
    <row r="34" spans="1:29" ht="15">
      <c r="A34" s="423"/>
      <c r="B34" s="375" t="s">
        <v>1698</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6"/>
      <c r="M34" s="2710"/>
      <c r="N34" s="2710"/>
      <c r="O34" s="2710"/>
      <c r="P34" s="3700"/>
      <c r="Q34" s="1346" t="str">
        <f t="shared" si="11"/>
        <v>建筑结构</v>
      </c>
      <c r="R34" s="703" t="s">
        <v>14</v>
      </c>
      <c r="S34" s="704">
        <f t="shared" si="12"/>
        <v>100</v>
      </c>
      <c r="T34" s="703" t="s">
        <v>14</v>
      </c>
      <c r="U34" s="704">
        <f t="shared" si="13"/>
        <v>100</v>
      </c>
      <c r="V34" s="703" t="s">
        <v>14</v>
      </c>
      <c r="W34" s="704">
        <f t="shared" si="14"/>
        <v>100</v>
      </c>
      <c r="X34" s="1349"/>
      <c r="Y34" s="3702"/>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6"/>
      <c r="M35" s="2710"/>
      <c r="N35" s="2710"/>
      <c r="O35" s="2710"/>
      <c r="P35" s="3700"/>
      <c r="Q35" s="1346" t="str">
        <f t="shared" si="11"/>
        <v>公共部分装修</v>
      </c>
      <c r="R35" s="703" t="s">
        <v>14</v>
      </c>
      <c r="S35" s="704">
        <f t="shared" si="12"/>
        <v>100</v>
      </c>
      <c r="T35" s="703" t="s">
        <v>14</v>
      </c>
      <c r="U35" s="704">
        <f t="shared" si="13"/>
        <v>100</v>
      </c>
      <c r="V35" s="703" t="s">
        <v>14</v>
      </c>
      <c r="W35" s="704">
        <f t="shared" si="14"/>
        <v>100</v>
      </c>
      <c r="X35" s="1349"/>
      <c r="Y35" s="3702"/>
      <c r="Z35" s="1350" t="str">
        <f t="shared" si="15"/>
        <v>公共部分装修</v>
      </c>
      <c r="AA35" s="1347">
        <f t="shared" si="3"/>
        <v>1</v>
      </c>
      <c r="AB35" s="1347">
        <f t="shared" si="4"/>
        <v>1</v>
      </c>
      <c r="AC35" s="1347">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16"/>
      <c r="M36" s="2710"/>
      <c r="N36" s="2710"/>
      <c r="O36" s="2710"/>
      <c r="P36" s="3700"/>
      <c r="Q36" s="1346" t="str">
        <f t="shared" si="11"/>
        <v>成新度</v>
      </c>
      <c r="R36" s="703" t="s">
        <v>14</v>
      </c>
      <c r="S36" s="704">
        <f t="shared" si="12"/>
        <v>100</v>
      </c>
      <c r="T36" s="703" t="s">
        <v>14</v>
      </c>
      <c r="U36" s="704">
        <f t="shared" si="13"/>
        <v>100</v>
      </c>
      <c r="V36" s="703" t="s">
        <v>14</v>
      </c>
      <c r="W36" s="704">
        <f t="shared" si="14"/>
        <v>100</v>
      </c>
      <c r="X36" s="1349"/>
      <c r="Y36" s="3702"/>
      <c r="Z36" s="1350" t="str">
        <f t="shared" si="15"/>
        <v>成新度</v>
      </c>
      <c r="AA36" s="1347">
        <f t="shared" si="3"/>
        <v>1</v>
      </c>
      <c r="AB36" s="1347">
        <f t="shared" si="4"/>
        <v>1</v>
      </c>
      <c r="AC36" s="1347">
        <f t="shared" si="5"/>
        <v>1</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1"/>
      <c r="M37" s="2712"/>
      <c r="N37" s="2712"/>
      <c r="O37" s="2712"/>
      <c r="P37" s="3700"/>
      <c r="Q37" s="1337" t="str">
        <f t="shared" si="11"/>
        <v>市政基础设施</v>
      </c>
      <c r="R37" s="699" t="s">
        <v>14</v>
      </c>
      <c r="S37" s="700">
        <f t="shared" si="12"/>
        <v>100</v>
      </c>
      <c r="T37" s="699" t="s">
        <v>14</v>
      </c>
      <c r="U37" s="700">
        <f t="shared" si="13"/>
        <v>100</v>
      </c>
      <c r="V37" s="699" t="s">
        <v>14</v>
      </c>
      <c r="W37" s="700">
        <f t="shared" si="14"/>
        <v>100</v>
      </c>
      <c r="X37" s="701"/>
      <c r="Y37" s="3702"/>
      <c r="Z37" s="52" t="str">
        <f t="shared" si="15"/>
        <v>市政基础设施</v>
      </c>
      <c r="AA37" s="702">
        <f t="shared" si="3"/>
        <v>1</v>
      </c>
      <c r="AB37" s="702">
        <f t="shared" si="4"/>
        <v>1</v>
      </c>
      <c r="AC37" s="702">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6"/>
      <c r="M38" s="2710"/>
      <c r="N38" s="2710"/>
      <c r="O38" s="2710"/>
      <c r="P38" s="3700" t="s">
        <v>1696</v>
      </c>
      <c r="Q38" s="1346" t="str">
        <f t="shared" si="11"/>
        <v>业态</v>
      </c>
      <c r="R38" s="703" t="s">
        <v>14</v>
      </c>
      <c r="S38" s="704">
        <f t="shared" si="12"/>
        <v>100</v>
      </c>
      <c r="T38" s="703" t="s">
        <v>14</v>
      </c>
      <c r="U38" s="704">
        <f t="shared" si="13"/>
        <v>100</v>
      </c>
      <c r="V38" s="703" t="s">
        <v>14</v>
      </c>
      <c r="W38" s="704">
        <f t="shared" si="14"/>
        <v>100</v>
      </c>
      <c r="X38" s="1349"/>
      <c r="Y38" s="3702"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6"/>
      <c r="M39" s="2710"/>
      <c r="N39" s="2710"/>
      <c r="O39" s="2710"/>
      <c r="P39" s="3700"/>
      <c r="Q39" s="1346" t="str">
        <f t="shared" si="11"/>
        <v>层高</v>
      </c>
      <c r="R39" s="703" t="s">
        <v>14</v>
      </c>
      <c r="S39" s="704">
        <f t="shared" si="12"/>
        <v>100</v>
      </c>
      <c r="T39" s="703" t="s">
        <v>14</v>
      </c>
      <c r="U39" s="704">
        <f t="shared" si="13"/>
        <v>100</v>
      </c>
      <c r="V39" s="703" t="s">
        <v>14</v>
      </c>
      <c r="W39" s="704">
        <f t="shared" si="14"/>
        <v>100</v>
      </c>
      <c r="X39" s="1349"/>
      <c r="Y39" s="3702"/>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0"/>
      <c r="Q40" s="1346" t="str">
        <f t="shared" si="11"/>
        <v>单套建筑面积</v>
      </c>
      <c r="R40" s="703" t="s">
        <v>14</v>
      </c>
      <c r="S40" s="704">
        <f t="shared" si="12"/>
        <v>100</v>
      </c>
      <c r="T40" s="703" t="s">
        <v>14</v>
      </c>
      <c r="U40" s="704">
        <f t="shared" si="13"/>
        <v>100</v>
      </c>
      <c r="V40" s="703" t="s">
        <v>14</v>
      </c>
      <c r="W40" s="704">
        <f t="shared" si="14"/>
        <v>100</v>
      </c>
      <c r="X40" s="1349"/>
      <c r="Y40" s="3702"/>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0"/>
      <c r="Q41" s="705" t="str">
        <f t="shared" si="11"/>
        <v>进深比</v>
      </c>
      <c r="R41" s="706" t="s">
        <v>14</v>
      </c>
      <c r="S41" s="707">
        <f t="shared" si="12"/>
        <v>100</v>
      </c>
      <c r="T41" s="706" t="s">
        <v>14</v>
      </c>
      <c r="U41" s="707">
        <f t="shared" si="13"/>
        <v>100</v>
      </c>
      <c r="V41" s="706" t="s">
        <v>14</v>
      </c>
      <c r="W41" s="707">
        <f t="shared" si="14"/>
        <v>100</v>
      </c>
      <c r="X41" s="708"/>
      <c r="Y41" s="3702"/>
      <c r="Z41" s="709"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6"/>
      <c r="M42" s="2710"/>
      <c r="N42" s="2710"/>
      <c r="O42" s="2710"/>
      <c r="P42" s="3700"/>
      <c r="Q42" s="1346" t="str">
        <f t="shared" si="11"/>
        <v>内部装修</v>
      </c>
      <c r="R42" s="703" t="s">
        <v>14</v>
      </c>
      <c r="S42" s="704">
        <f t="shared" si="12"/>
        <v>100</v>
      </c>
      <c r="T42" s="703" t="s">
        <v>14</v>
      </c>
      <c r="U42" s="704">
        <f t="shared" si="13"/>
        <v>100</v>
      </c>
      <c r="V42" s="703" t="s">
        <v>14</v>
      </c>
      <c r="W42" s="704">
        <f t="shared" si="14"/>
        <v>100</v>
      </c>
      <c r="X42" s="1349"/>
      <c r="Y42" s="3702"/>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6"/>
      <c r="M43" s="2710"/>
      <c r="N43" s="2710"/>
      <c r="O43" s="2710"/>
      <c r="P43" s="3700"/>
      <c r="Q43" s="1346" t="str">
        <f t="shared" si="11"/>
        <v>内部装修维护情况</v>
      </c>
      <c r="R43" s="703" t="s">
        <v>14</v>
      </c>
      <c r="S43" s="704">
        <f t="shared" si="12"/>
        <v>100</v>
      </c>
      <c r="T43" s="703" t="s">
        <v>14</v>
      </c>
      <c r="U43" s="704">
        <f t="shared" si="13"/>
        <v>100</v>
      </c>
      <c r="V43" s="703" t="s">
        <v>14</v>
      </c>
      <c r="W43" s="704">
        <f t="shared" si="14"/>
        <v>100</v>
      </c>
      <c r="X43" s="1349"/>
      <c r="Y43" s="3702"/>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0"/>
      <c r="Q44" s="1337">
        <f t="shared" si="11"/>
        <v>111</v>
      </c>
      <c r="R44" s="699" t="s">
        <v>14</v>
      </c>
      <c r="S44" s="700">
        <f t="shared" si="12"/>
        <v>100</v>
      </c>
      <c r="T44" s="699" t="s">
        <v>14</v>
      </c>
      <c r="U44" s="700">
        <f t="shared" si="13"/>
        <v>100</v>
      </c>
      <c r="V44" s="699" t="s">
        <v>14</v>
      </c>
      <c r="W44" s="700">
        <f t="shared" si="14"/>
        <v>100</v>
      </c>
      <c r="X44" s="701"/>
      <c r="Y44" s="3702"/>
      <c r="Z44" s="52">
        <f t="shared" si="15"/>
        <v>111</v>
      </c>
      <c r="AA44" s="702">
        <f t="shared" si="3"/>
        <v>1</v>
      </c>
      <c r="AB44" s="702">
        <f t="shared" si="4"/>
        <v>1</v>
      </c>
      <c r="AC44" s="702">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0"/>
      <c r="Q45" s="1346">
        <f t="shared" si="11"/>
        <v>111</v>
      </c>
      <c r="R45" s="703" t="s">
        <v>14</v>
      </c>
      <c r="S45" s="704">
        <f t="shared" si="12"/>
        <v>100</v>
      </c>
      <c r="T45" s="703" t="s">
        <v>14</v>
      </c>
      <c r="U45" s="704">
        <f t="shared" si="13"/>
        <v>100</v>
      </c>
      <c r="V45" s="703" t="s">
        <v>14</v>
      </c>
      <c r="W45" s="704">
        <f t="shared" si="14"/>
        <v>100</v>
      </c>
      <c r="X45" s="1349"/>
      <c r="Y45" s="3702"/>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1"/>
      <c r="Q46" s="1346">
        <f t="shared" si="11"/>
        <v>111</v>
      </c>
      <c r="R46" s="703" t="s">
        <v>14</v>
      </c>
      <c r="S46" s="704">
        <f t="shared" si="12"/>
        <v>100</v>
      </c>
      <c r="T46" s="703" t="s">
        <v>14</v>
      </c>
      <c r="U46" s="704">
        <f t="shared" si="13"/>
        <v>100</v>
      </c>
      <c r="V46" s="703" t="s">
        <v>14</v>
      </c>
      <c r="W46" s="704">
        <f t="shared" si="14"/>
        <v>100</v>
      </c>
      <c r="X46" s="1349"/>
      <c r="Y46" s="3703"/>
      <c r="Z46" s="1350">
        <f t="shared" si="15"/>
        <v>111</v>
      </c>
      <c r="AA46" s="1347">
        <f t="shared" si="3"/>
        <v>1</v>
      </c>
      <c r="AB46" s="1347">
        <f t="shared" si="4"/>
        <v>1</v>
      </c>
      <c r="AC46" s="1347">
        <f t="shared" si="5"/>
        <v>1</v>
      </c>
    </row>
    <row r="47" spans="1:29" ht="15">
      <c r="A47" s="430" t="s">
        <v>1708</v>
      </c>
      <c r="B47" s="431"/>
      <c r="C47" s="1148" t="s">
        <v>0</v>
      </c>
      <c r="D47" s="1149"/>
      <c r="E47" s="1150">
        <v>29200</v>
      </c>
      <c r="F47" s="1151"/>
      <c r="G47" s="1152">
        <f>E47</f>
        <v>29200</v>
      </c>
      <c r="H47" s="1153"/>
      <c r="I47" s="1150">
        <f>E47</f>
        <v>29200</v>
      </c>
      <c r="J47" s="1153"/>
      <c r="K47" s="712"/>
      <c r="L47" s="2718"/>
      <c r="M47" s="2719"/>
      <c r="N47" s="2710"/>
      <c r="O47" s="2719"/>
      <c r="P47" s="3695" t="str">
        <f>A47</f>
        <v>成交单价（元/平方米）</v>
      </c>
      <c r="Q47" s="3695"/>
      <c r="R47" s="3726">
        <f>E47</f>
        <v>29200</v>
      </c>
      <c r="S47" s="3726"/>
      <c r="T47" s="3726">
        <f>G47</f>
        <v>29200</v>
      </c>
      <c r="U47" s="3726"/>
      <c r="V47" s="3726">
        <f>I47</f>
        <v>29200</v>
      </c>
      <c r="W47" s="3726"/>
      <c r="X47" s="688"/>
      <c r="Y47" s="710"/>
      <c r="Z47" s="688"/>
      <c r="AA47" s="688"/>
      <c r="AB47" s="688"/>
      <c r="AC47" s="688"/>
    </row>
    <row r="48" spans="1:29" ht="15.75" thickBot="1">
      <c r="A48" s="437" t="s">
        <v>1793</v>
      </c>
      <c r="B48" s="438"/>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1794</v>
      </c>
      <c r="B49" s="442"/>
      <c r="C49" s="1157" t="e">
        <f>R49</f>
        <v>#DIV/0!</v>
      </c>
      <c r="D49" s="1157"/>
      <c r="E49" s="1157"/>
      <c r="F49" s="1157"/>
      <c r="G49" s="1157"/>
      <c r="H49" s="1157"/>
      <c r="I49" s="1157"/>
      <c r="J49" s="1157"/>
      <c r="K49" s="713"/>
      <c r="L49" s="2718"/>
      <c r="M49" s="2719"/>
      <c r="N49" s="2710"/>
      <c r="O49" s="2719"/>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6"/>
      <c r="M57" s="934"/>
      <c r="N57" s="934"/>
      <c r="O57" s="934"/>
      <c r="P57" s="2732"/>
      <c r="Q57" s="2733"/>
      <c r="R57" s="2719"/>
      <c r="S57" s="2719"/>
      <c r="T57" s="2719"/>
      <c r="U57" s="2719"/>
      <c r="V57" s="2719"/>
      <c r="W57" s="2719"/>
      <c r="X57" s="2719"/>
      <c r="Y57" s="2719"/>
      <c r="Z57" s="2719"/>
      <c r="AA57" s="2719"/>
      <c r="AB57" s="2719"/>
      <c r="AC57" s="2719"/>
    </row>
    <row r="58" spans="1:29" s="457" customFormat="1" ht="15">
      <c r="A58" s="454" t="s">
        <v>1679</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34"/>
      <c r="Q58" s="2735"/>
      <c r="R58" s="2735"/>
      <c r="S58" s="2735"/>
      <c r="T58" s="2735"/>
      <c r="U58" s="2735"/>
      <c r="V58" s="2735"/>
      <c r="W58" s="2735"/>
      <c r="X58" s="2735"/>
      <c r="Y58" s="2735"/>
      <c r="Z58" s="2735"/>
      <c r="AA58" s="2735"/>
      <c r="AB58" s="2735"/>
      <c r="AC58" s="2735"/>
    </row>
    <row r="59" spans="1:29" s="108" customFormat="1" ht="15">
      <c r="A59" s="458"/>
      <c r="B59" s="459"/>
      <c r="C59" s="1177">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43" t="s">
        <v>3399</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103</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办公</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3"/>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2"/>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200</v>
      </c>
      <c r="F103" s="544">
        <v>300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48" priority="21" stopIfTrue="1" operator="containsText" text="超过">
      <formula>NOT(ISERROR(SEARCH("超过",F52)))</formula>
    </cfRule>
  </conditionalFormatting>
  <conditionalFormatting sqref="H54">
    <cfRule type="containsText" dxfId="247" priority="19" stopIfTrue="1" operator="containsText" text="超过">
      <formula>NOT(ISERROR(SEARCH("超过",H54)))</formula>
    </cfRule>
  </conditionalFormatting>
  <conditionalFormatting sqref="F54">
    <cfRule type="containsText" dxfId="246" priority="18" stopIfTrue="1" operator="containsText" text="超过">
      <formula>NOT(ISERROR(SEARCH("超过",F54)))</formula>
    </cfRule>
  </conditionalFormatting>
  <conditionalFormatting sqref="F53 H53">
    <cfRule type="containsText" dxfId="245" priority="17" stopIfTrue="1" operator="containsText" text="超过">
      <formula>NOT(ISERROR(SEARCH("超过",F53)))</formula>
    </cfRule>
  </conditionalFormatting>
  <conditionalFormatting sqref="E52">
    <cfRule type="expression" dxfId="244" priority="16" stopIfTrue="1">
      <formula>$F$52="超过30%"</formula>
    </cfRule>
  </conditionalFormatting>
  <conditionalFormatting sqref="E53">
    <cfRule type="expression" dxfId="243" priority="15" stopIfTrue="1">
      <formula>$F$53="超过20%"</formula>
    </cfRule>
  </conditionalFormatting>
  <conditionalFormatting sqref="E54">
    <cfRule type="expression" dxfId="242" priority="14" stopIfTrue="1">
      <formula>$F$54="超过30%"</formula>
    </cfRule>
  </conditionalFormatting>
  <conditionalFormatting sqref="G54">
    <cfRule type="expression" dxfId="241" priority="13" stopIfTrue="1">
      <formula>$H$54="超过30%"</formula>
    </cfRule>
  </conditionalFormatting>
  <conditionalFormatting sqref="G52">
    <cfRule type="expression" dxfId="240" priority="12" stopIfTrue="1">
      <formula>$H$52="超过30%"</formula>
    </cfRule>
  </conditionalFormatting>
  <conditionalFormatting sqref="G53">
    <cfRule type="expression" dxfId="239" priority="11" stopIfTrue="1">
      <formula>$H$53="超过20%"</formula>
    </cfRule>
  </conditionalFormatting>
  <conditionalFormatting sqref="J52">
    <cfRule type="containsText" dxfId="238" priority="10" stopIfTrue="1" operator="containsText" text="超过">
      <formula>NOT(ISERROR(SEARCH("超过",J52)))</formula>
    </cfRule>
  </conditionalFormatting>
  <conditionalFormatting sqref="J54">
    <cfRule type="containsText" dxfId="237" priority="9" stopIfTrue="1" operator="containsText" text="超过">
      <formula>NOT(ISERROR(SEARCH("超过",J54)))</formula>
    </cfRule>
  </conditionalFormatting>
  <conditionalFormatting sqref="J53">
    <cfRule type="containsText" dxfId="236" priority="8" stopIfTrue="1" operator="containsText" text="超过">
      <formula>NOT(ISERROR(SEARCH("超过",J53)))</formula>
    </cfRule>
  </conditionalFormatting>
  <conditionalFormatting sqref="I52">
    <cfRule type="expression" dxfId="235" priority="7" stopIfTrue="1">
      <formula>$J$52="超过30%"</formula>
    </cfRule>
  </conditionalFormatting>
  <conditionalFormatting sqref="I53">
    <cfRule type="expression" dxfId="234" priority="6" stopIfTrue="1">
      <formula>$J$53="超过20%"</formula>
    </cfRule>
  </conditionalFormatting>
  <conditionalFormatting sqref="I54">
    <cfRule type="expression" dxfId="233" priority="5" stopIfTrue="1">
      <formula>$J$54="超过30%"</formula>
    </cfRule>
  </conditionalFormatting>
  <conditionalFormatting sqref="F48">
    <cfRule type="expression" dxfId="232" priority="4">
      <formula>$D$48="简单平均"</formula>
    </cfRule>
  </conditionalFormatting>
  <conditionalFormatting sqref="H48">
    <cfRule type="expression" dxfId="231" priority="3">
      <formula>$D$48="简单平均"</formula>
    </cfRule>
  </conditionalFormatting>
  <conditionalFormatting sqref="J48">
    <cfRule type="expression" dxfId="230" priority="2">
      <formula>$D$48="简单平均"</formula>
    </cfRule>
  </conditionalFormatting>
  <conditionalFormatting sqref="F7:F46 H7:H46 J7:J46">
    <cfRule type="cellIs" dxfId="2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31" zoomScaleNormal="70" zoomScaleSheetLayoutView="100" workbookViewId="0">
      <selection activeCell="I48" sqref="I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1803</v>
      </c>
      <c r="E1" s="3426" t="s">
        <v>3397</v>
      </c>
      <c r="F1" s="1873" t="s">
        <v>3398</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0" t="s">
        <v>1667</v>
      </c>
      <c r="D4" s="3711"/>
      <c r="E4" s="3712" t="s">
        <v>1668</v>
      </c>
      <c r="F4" s="3713"/>
      <c r="G4" s="3710" t="s">
        <v>1669</v>
      </c>
      <c r="H4" s="3711"/>
      <c r="I4" s="3710" t="s">
        <v>1670</v>
      </c>
      <c r="J4" s="3711"/>
      <c r="K4" s="559" t="s">
        <v>1671</v>
      </c>
      <c r="L4" s="2709"/>
      <c r="M4" s="2710"/>
      <c r="N4" s="2710"/>
      <c r="O4" s="2710"/>
      <c r="P4" s="3742" t="s">
        <v>1672</v>
      </c>
      <c r="Q4" s="3743"/>
      <c r="R4" s="3746" t="s">
        <v>1668</v>
      </c>
      <c r="S4" s="3747"/>
      <c r="T4" s="3746" t="s">
        <v>1669</v>
      </c>
      <c r="U4" s="3747"/>
      <c r="V4" s="3750" t="s">
        <v>1670</v>
      </c>
      <c r="W4" s="3750"/>
      <c r="X4" s="3474"/>
      <c r="Y4" s="3746" t="s">
        <v>1672</v>
      </c>
      <c r="Z4" s="3747"/>
      <c r="AA4" s="3738" t="s">
        <v>1668</v>
      </c>
      <c r="AB4" s="3738" t="s">
        <v>1669</v>
      </c>
      <c r="AC4" s="3739" t="s">
        <v>1670</v>
      </c>
    </row>
    <row r="5" spans="1:29" ht="15">
      <c r="A5" s="358"/>
      <c r="B5" s="359"/>
      <c r="C5" s="3729" t="s">
        <v>1673</v>
      </c>
      <c r="D5" s="3730"/>
      <c r="E5" s="3748" t="s">
        <v>3438</v>
      </c>
      <c r="F5" s="3737"/>
      <c r="G5" s="3748" t="s">
        <v>3438</v>
      </c>
      <c r="H5" s="3737"/>
      <c r="I5" s="3749" t="s">
        <v>3463</v>
      </c>
      <c r="J5" s="3730"/>
      <c r="K5" s="559"/>
      <c r="L5" s="2709"/>
      <c r="M5" s="2710"/>
      <c r="N5" s="2710"/>
      <c r="O5" s="2710"/>
      <c r="P5" s="3744"/>
      <c r="Q5" s="3717"/>
      <c r="R5" s="3722"/>
      <c r="S5" s="3723"/>
      <c r="T5" s="3722"/>
      <c r="U5" s="3723"/>
      <c r="V5" s="3726"/>
      <c r="W5" s="3726"/>
      <c r="X5" s="3469"/>
      <c r="Y5" s="3722"/>
      <c r="Z5" s="3723"/>
      <c r="AA5" s="3708"/>
      <c r="AB5" s="3708"/>
      <c r="AC5" s="3740"/>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45"/>
      <c r="Q6" s="3719"/>
      <c r="R6" s="3722"/>
      <c r="S6" s="3723"/>
      <c r="T6" s="3724"/>
      <c r="U6" s="3725"/>
      <c r="V6" s="3726"/>
      <c r="W6" s="3726"/>
      <c r="X6" s="3469"/>
      <c r="Y6" s="3724"/>
      <c r="Z6" s="3725"/>
      <c r="AA6" s="3709"/>
      <c r="AB6" s="3709"/>
      <c r="AC6" s="3741"/>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1" t="s">
        <v>1680</v>
      </c>
      <c r="Q7" s="3733"/>
      <c r="R7" s="699" t="s">
        <v>14</v>
      </c>
      <c r="S7" s="700">
        <f t="shared" ref="S7:S15" si="0">F7</f>
        <v>100</v>
      </c>
      <c r="T7" s="699" t="s">
        <v>14</v>
      </c>
      <c r="U7" s="700">
        <f t="shared" ref="U7:U15" si="1">H7</f>
        <v>100</v>
      </c>
      <c r="V7" s="699" t="s">
        <v>14</v>
      </c>
      <c r="W7" s="700">
        <f t="shared" ref="W7:W15" si="2">J7</f>
        <v>100</v>
      </c>
      <c r="X7" s="701"/>
      <c r="Y7" s="3731" t="s">
        <v>1680</v>
      </c>
      <c r="Z7" s="3732"/>
      <c r="AA7" s="702">
        <f>D7/F7</f>
        <v>1</v>
      </c>
      <c r="AB7" s="702">
        <f>D7/H7</f>
        <v>1</v>
      </c>
      <c r="AC7" s="1953">
        <f>D7/J7</f>
        <v>1</v>
      </c>
    </row>
    <row r="8" spans="1:29" s="108" customFormat="1" ht="15.75" thickBot="1">
      <c r="A8" s="362" t="s">
        <v>1681</v>
      </c>
      <c r="B8" s="363"/>
      <c r="C8" s="368" t="s">
        <v>3400</v>
      </c>
      <c r="D8" s="365">
        <v>100</v>
      </c>
      <c r="E8" s="368" t="s">
        <v>3408</v>
      </c>
      <c r="F8" s="367">
        <f>SUMIF(62:62,E8,63:63)-SUMIF(62:62,C8,63:63)+100</f>
        <v>102</v>
      </c>
      <c r="G8" s="368" t="s">
        <v>3408</v>
      </c>
      <c r="H8" s="365">
        <f>SUMIF(62:62,G8,63:63)-SUMIF(62:62,C8,63:63)+100</f>
        <v>102</v>
      </c>
      <c r="I8" s="368" t="s">
        <v>3408</v>
      </c>
      <c r="J8" s="365">
        <f>SUMIF(62:62,I8,63:63)-SUMIF(62:62,C8,63:63)+100</f>
        <v>102</v>
      </c>
      <c r="K8" s="560"/>
      <c r="L8" s="2711"/>
      <c r="M8" s="2712"/>
      <c r="N8" s="2712"/>
      <c r="O8" s="2712"/>
      <c r="P8" s="3751" t="s">
        <v>1683</v>
      </c>
      <c r="Q8" s="3732"/>
      <c r="R8" s="699" t="s">
        <v>14</v>
      </c>
      <c r="S8" s="700">
        <f t="shared" si="0"/>
        <v>102</v>
      </c>
      <c r="T8" s="699" t="s">
        <v>14</v>
      </c>
      <c r="U8" s="700">
        <f t="shared" si="1"/>
        <v>102</v>
      </c>
      <c r="V8" s="699" t="s">
        <v>14</v>
      </c>
      <c r="W8" s="700">
        <f t="shared" si="2"/>
        <v>102</v>
      </c>
      <c r="X8" s="701"/>
      <c r="Y8" s="3731" t="s">
        <v>1683</v>
      </c>
      <c r="Z8" s="3732"/>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06" t="s">
        <v>1686</v>
      </c>
      <c r="Q9" s="3466" t="str">
        <f t="shared" ref="Q9:Q15" si="6">B9</f>
        <v>用途</v>
      </c>
      <c r="R9" s="699" t="s">
        <v>14</v>
      </c>
      <c r="S9" s="700">
        <f t="shared" si="0"/>
        <v>100</v>
      </c>
      <c r="T9" s="699" t="s">
        <v>14</v>
      </c>
      <c r="U9" s="700">
        <f t="shared" si="1"/>
        <v>100</v>
      </c>
      <c r="V9" s="699" t="s">
        <v>14</v>
      </c>
      <c r="W9" s="700">
        <f t="shared" si="2"/>
        <v>100</v>
      </c>
      <c r="X9" s="701"/>
      <c r="Y9" s="3570"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06"/>
      <c r="Q10" s="3466" t="str">
        <f t="shared" si="6"/>
        <v>土地使用年限（年）</v>
      </c>
      <c r="R10" s="699" t="s">
        <v>14</v>
      </c>
      <c r="S10" s="700">
        <f t="shared" si="0"/>
        <v>100</v>
      </c>
      <c r="T10" s="699" t="s">
        <v>14</v>
      </c>
      <c r="U10" s="700">
        <f t="shared" si="1"/>
        <v>100</v>
      </c>
      <c r="V10" s="699" t="s">
        <v>14</v>
      </c>
      <c r="W10" s="700">
        <f t="shared" si="2"/>
        <v>100</v>
      </c>
      <c r="X10" s="701"/>
      <c r="Y10" s="3570"/>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06"/>
      <c r="Q11" s="3466" t="str">
        <f t="shared" si="6"/>
        <v>容积率</v>
      </c>
      <c r="R11" s="699" t="s">
        <v>14</v>
      </c>
      <c r="S11" s="700">
        <f t="shared" si="0"/>
        <v>100</v>
      </c>
      <c r="T11" s="699" t="s">
        <v>14</v>
      </c>
      <c r="U11" s="700">
        <f t="shared" si="1"/>
        <v>100</v>
      </c>
      <c r="V11" s="699" t="s">
        <v>14</v>
      </c>
      <c r="W11" s="700">
        <f t="shared" si="2"/>
        <v>100</v>
      </c>
      <c r="X11" s="701"/>
      <c r="Y11" s="3570"/>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06"/>
      <c r="Q12" s="3466">
        <f t="shared" si="6"/>
        <v>111</v>
      </c>
      <c r="R12" s="699" t="s">
        <v>14</v>
      </c>
      <c r="S12" s="700">
        <f t="shared" si="0"/>
        <v>100</v>
      </c>
      <c r="T12" s="699" t="s">
        <v>14</v>
      </c>
      <c r="U12" s="700">
        <f t="shared" si="1"/>
        <v>100</v>
      </c>
      <c r="V12" s="699" t="s">
        <v>14</v>
      </c>
      <c r="W12" s="700">
        <f t="shared" si="2"/>
        <v>100</v>
      </c>
      <c r="X12" s="701"/>
      <c r="Y12" s="3570"/>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06"/>
      <c r="Q13" s="3466">
        <f t="shared" si="6"/>
        <v>111</v>
      </c>
      <c r="R13" s="699" t="s">
        <v>14</v>
      </c>
      <c r="S13" s="700">
        <f t="shared" si="0"/>
        <v>100</v>
      </c>
      <c r="T13" s="699" t="s">
        <v>14</v>
      </c>
      <c r="U13" s="700">
        <f t="shared" si="1"/>
        <v>100</v>
      </c>
      <c r="V13" s="699" t="s">
        <v>14</v>
      </c>
      <c r="W13" s="700">
        <f t="shared" si="2"/>
        <v>100</v>
      </c>
      <c r="X13" s="701"/>
      <c r="Y13" s="3570"/>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06"/>
      <c r="Q14" s="3466">
        <f t="shared" si="6"/>
        <v>111</v>
      </c>
      <c r="R14" s="699" t="s">
        <v>14</v>
      </c>
      <c r="S14" s="700">
        <f t="shared" si="0"/>
        <v>100</v>
      </c>
      <c r="T14" s="699" t="s">
        <v>14</v>
      </c>
      <c r="U14" s="700">
        <f t="shared" si="1"/>
        <v>100</v>
      </c>
      <c r="V14" s="699" t="s">
        <v>14</v>
      </c>
      <c r="W14" s="700">
        <f t="shared" si="2"/>
        <v>100</v>
      </c>
      <c r="X14" s="701"/>
      <c r="Y14" s="3570"/>
      <c r="Z14" s="3448">
        <f t="shared" si="7"/>
        <v>111</v>
      </c>
      <c r="AA14" s="702">
        <f t="shared" si="3"/>
        <v>1</v>
      </c>
      <c r="AB14" s="702">
        <f t="shared" si="4"/>
        <v>1</v>
      </c>
      <c r="AC14" s="1953">
        <f t="shared" si="5"/>
        <v>1</v>
      </c>
    </row>
    <row r="15" spans="1:29" ht="71.25">
      <c r="A15" s="391" t="s">
        <v>1690</v>
      </c>
      <c r="B15" s="577" t="s">
        <v>1811</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04" t="s">
        <v>1691</v>
      </c>
      <c r="Q15" s="3472" t="str">
        <f t="shared" si="6"/>
        <v>办公集聚程度</v>
      </c>
      <c r="R15" s="703" t="s">
        <v>14</v>
      </c>
      <c r="S15" s="704">
        <f t="shared" si="0"/>
        <v>100</v>
      </c>
      <c r="T15" s="703" t="s">
        <v>14</v>
      </c>
      <c r="U15" s="704">
        <f t="shared" si="1"/>
        <v>100</v>
      </c>
      <c r="V15" s="703" t="s">
        <v>14</v>
      </c>
      <c r="W15" s="704">
        <f t="shared" si="2"/>
        <v>100</v>
      </c>
      <c r="X15" s="3469"/>
      <c r="Y15" s="3697" t="s">
        <v>1691</v>
      </c>
      <c r="Z15" s="3470" t="str">
        <f t="shared" si="7"/>
        <v>办公集聚程度</v>
      </c>
      <c r="AA15" s="3473">
        <f t="shared" si="3"/>
        <v>1</v>
      </c>
      <c r="AB15" s="3473">
        <f t="shared" si="4"/>
        <v>1</v>
      </c>
      <c r="AC15" s="1956">
        <f t="shared" si="5"/>
        <v>1</v>
      </c>
    </row>
    <row r="16" spans="1:29" ht="15">
      <c r="A16" s="379"/>
      <c r="B16" s="578"/>
      <c r="C16" s="1898" t="s">
        <v>3401</v>
      </c>
      <c r="D16" s="399"/>
      <c r="E16" s="1898" t="s">
        <v>3401</v>
      </c>
      <c r="F16" s="399"/>
      <c r="G16" s="1898" t="s">
        <v>3401</v>
      </c>
      <c r="H16" s="401"/>
      <c r="I16" s="1898" t="s">
        <v>3401</v>
      </c>
      <c r="J16" s="399"/>
      <c r="K16" s="564"/>
      <c r="L16" s="2716"/>
      <c r="M16" s="2710"/>
      <c r="N16" s="2710"/>
      <c r="O16" s="2710"/>
      <c r="P16" s="3705"/>
      <c r="Q16" s="3472"/>
      <c r="R16" s="703"/>
      <c r="S16" s="704"/>
      <c r="T16" s="703"/>
      <c r="U16" s="704"/>
      <c r="V16" s="703"/>
      <c r="W16" s="704"/>
      <c r="X16" s="3469"/>
      <c r="Y16" s="3698"/>
      <c r="Z16" s="3470"/>
      <c r="AA16" s="3473">
        <v>1</v>
      </c>
      <c r="AB16" s="3473">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5"/>
      <c r="Q17" s="3472" t="str">
        <f>B17</f>
        <v>交通便捷度</v>
      </c>
      <c r="R17" s="703" t="s">
        <v>14</v>
      </c>
      <c r="S17" s="704">
        <f>F17</f>
        <v>100</v>
      </c>
      <c r="T17" s="703" t="s">
        <v>14</v>
      </c>
      <c r="U17" s="704">
        <f>H17</f>
        <v>100</v>
      </c>
      <c r="V17" s="703" t="s">
        <v>14</v>
      </c>
      <c r="W17" s="704">
        <f>J17</f>
        <v>100</v>
      </c>
      <c r="X17" s="3469"/>
      <c r="Y17" s="3698"/>
      <c r="Z17" s="3470" t="str">
        <f>Q17</f>
        <v>交通便捷度</v>
      </c>
      <c r="AA17" s="3473">
        <f t="shared" si="3"/>
        <v>1</v>
      </c>
      <c r="AB17" s="3473">
        <f t="shared" si="4"/>
        <v>1</v>
      </c>
      <c r="AC17" s="1956">
        <f t="shared" si="5"/>
        <v>1</v>
      </c>
    </row>
    <row r="18" spans="1:29" ht="15">
      <c r="A18" s="379"/>
      <c r="B18" s="580"/>
      <c r="C18" s="1898" t="s">
        <v>3401</v>
      </c>
      <c r="D18" s="401"/>
      <c r="E18" s="1898" t="s">
        <v>3401</v>
      </c>
      <c r="F18" s="401"/>
      <c r="G18" s="1898" t="s">
        <v>3401</v>
      </c>
      <c r="H18" s="399"/>
      <c r="I18" s="1898" t="s">
        <v>3401</v>
      </c>
      <c r="J18" s="399"/>
      <c r="K18" s="564"/>
      <c r="L18" s="2716"/>
      <c r="M18" s="2710"/>
      <c r="N18" s="2710"/>
      <c r="O18" s="2710"/>
      <c r="P18" s="3705"/>
      <c r="Q18" s="3472"/>
      <c r="R18" s="703"/>
      <c r="S18" s="704"/>
      <c r="T18" s="703"/>
      <c r="U18" s="704"/>
      <c r="V18" s="703"/>
      <c r="W18" s="704"/>
      <c r="X18" s="3469"/>
      <c r="Y18" s="3698"/>
      <c r="Z18" s="3470"/>
      <c r="AA18" s="3473">
        <v>1</v>
      </c>
      <c r="AB18" s="3473">
        <v>1</v>
      </c>
      <c r="AC18" s="1956">
        <v>1</v>
      </c>
    </row>
    <row r="19" spans="1:29" ht="42.75">
      <c r="A19" s="379"/>
      <c r="B19" s="579" t="s">
        <v>1812</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5"/>
      <c r="Q19" s="3472" t="str">
        <f>B19</f>
        <v>公共配套设施</v>
      </c>
      <c r="R19" s="703" t="s">
        <v>14</v>
      </c>
      <c r="S19" s="704">
        <f>F19</f>
        <v>100</v>
      </c>
      <c r="T19" s="703" t="s">
        <v>14</v>
      </c>
      <c r="U19" s="704">
        <f>H19</f>
        <v>100</v>
      </c>
      <c r="V19" s="703" t="s">
        <v>14</v>
      </c>
      <c r="W19" s="704">
        <f>J19</f>
        <v>100</v>
      </c>
      <c r="X19" s="3469"/>
      <c r="Y19" s="3698"/>
      <c r="Z19" s="3470" t="str">
        <f>Q19</f>
        <v>公共配套设施</v>
      </c>
      <c r="AA19" s="3473">
        <f t="shared" si="3"/>
        <v>1</v>
      </c>
      <c r="AB19" s="3473">
        <f t="shared" si="4"/>
        <v>1</v>
      </c>
      <c r="AC19" s="1956">
        <f t="shared" si="5"/>
        <v>1</v>
      </c>
    </row>
    <row r="20" spans="1:29" ht="15">
      <c r="A20" s="379"/>
      <c r="B20" s="580"/>
      <c r="C20" s="1898" t="s">
        <v>3401</v>
      </c>
      <c r="D20" s="399"/>
      <c r="E20" s="1898" t="s">
        <v>3401</v>
      </c>
      <c r="F20" s="399"/>
      <c r="G20" s="1898" t="s">
        <v>3401</v>
      </c>
      <c r="H20" s="399"/>
      <c r="I20" s="1898" t="s">
        <v>3401</v>
      </c>
      <c r="J20" s="399"/>
      <c r="K20" s="564"/>
      <c r="L20" s="2716"/>
      <c r="M20" s="2710"/>
      <c r="N20" s="2710"/>
      <c r="O20" s="2710"/>
      <c r="P20" s="3705"/>
      <c r="Q20" s="3472"/>
      <c r="R20" s="703"/>
      <c r="S20" s="704"/>
      <c r="T20" s="703"/>
      <c r="U20" s="704"/>
      <c r="V20" s="703"/>
      <c r="W20" s="704"/>
      <c r="X20" s="3469"/>
      <c r="Y20" s="3698"/>
      <c r="Z20" s="3470"/>
      <c r="AA20" s="3473">
        <v>1</v>
      </c>
      <c r="AB20" s="3473">
        <v>1</v>
      </c>
      <c r="AC20" s="1956">
        <v>1</v>
      </c>
    </row>
    <row r="21" spans="1:29" ht="28.5">
      <c r="A21" s="379"/>
      <c r="B21" s="581" t="s">
        <v>1813</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5"/>
      <c r="Q21" s="3472" t="str">
        <f>B21</f>
        <v>基础设施水平</v>
      </c>
      <c r="R21" s="703" t="s">
        <v>14</v>
      </c>
      <c r="S21" s="704">
        <f>F21</f>
        <v>100</v>
      </c>
      <c r="T21" s="703" t="s">
        <v>14</v>
      </c>
      <c r="U21" s="704">
        <f>H21</f>
        <v>100</v>
      </c>
      <c r="V21" s="703" t="s">
        <v>14</v>
      </c>
      <c r="W21" s="704">
        <f>J21</f>
        <v>100</v>
      </c>
      <c r="X21" s="3469"/>
      <c r="Y21" s="3698"/>
      <c r="Z21" s="3470" t="str">
        <f>Q21</f>
        <v>基础设施水平</v>
      </c>
      <c r="AA21" s="3473">
        <f t="shared" ref="AA21" si="8">D21/F21</f>
        <v>1</v>
      </c>
      <c r="AB21" s="3473">
        <f t="shared" ref="AB21" si="9">D21/H21</f>
        <v>1</v>
      </c>
      <c r="AC21" s="1956">
        <f t="shared" ref="AC21" si="10">D21/J21</f>
        <v>1</v>
      </c>
    </row>
    <row r="22" spans="1:29" ht="15">
      <c r="A22" s="379"/>
      <c r="B22" s="581"/>
      <c r="C22" s="1958" t="s">
        <v>3402</v>
      </c>
      <c r="D22" s="399"/>
      <c r="E22" s="1958" t="s">
        <v>3402</v>
      </c>
      <c r="F22" s="399"/>
      <c r="G22" s="1958" t="s">
        <v>3402</v>
      </c>
      <c r="H22" s="399"/>
      <c r="I22" s="1958" t="s">
        <v>3402</v>
      </c>
      <c r="J22" s="399"/>
      <c r="K22" s="1124"/>
      <c r="L22" s="2716"/>
      <c r="M22" s="2710"/>
      <c r="N22" s="2710"/>
      <c r="O22" s="2710"/>
      <c r="P22" s="3705"/>
      <c r="Q22" s="3472"/>
      <c r="R22" s="703"/>
      <c r="S22" s="704"/>
      <c r="T22" s="703"/>
      <c r="U22" s="704"/>
      <c r="V22" s="703"/>
      <c r="W22" s="704"/>
      <c r="X22" s="3469"/>
      <c r="Y22" s="3698"/>
      <c r="Z22" s="3470"/>
      <c r="AA22" s="3473">
        <v>1</v>
      </c>
      <c r="AB22" s="3473">
        <v>1</v>
      </c>
      <c r="AC22" s="1956">
        <v>1</v>
      </c>
    </row>
    <row r="23" spans="1:29" ht="42.75">
      <c r="A23" s="379"/>
      <c r="B23" s="579" t="s">
        <v>1814</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5"/>
      <c r="Q23" s="3472" t="str">
        <f>B23</f>
        <v>环境质量</v>
      </c>
      <c r="R23" s="703" t="s">
        <v>14</v>
      </c>
      <c r="S23" s="704">
        <f>F23</f>
        <v>100</v>
      </c>
      <c r="T23" s="703" t="s">
        <v>14</v>
      </c>
      <c r="U23" s="704">
        <f>H23</f>
        <v>100</v>
      </c>
      <c r="V23" s="703" t="s">
        <v>14</v>
      </c>
      <c r="W23" s="704">
        <f>J23</f>
        <v>100</v>
      </c>
      <c r="X23" s="3469"/>
      <c r="Y23" s="3698"/>
      <c r="Z23" s="3470" t="str">
        <f>Q23</f>
        <v>环境质量</v>
      </c>
      <c r="AA23" s="3473">
        <f t="shared" si="3"/>
        <v>1</v>
      </c>
      <c r="AB23" s="3473">
        <f t="shared" si="4"/>
        <v>1</v>
      </c>
      <c r="AC23" s="1956">
        <f t="shared" si="5"/>
        <v>1</v>
      </c>
    </row>
    <row r="24" spans="1:29" ht="15">
      <c r="A24" s="379"/>
      <c r="B24" s="581"/>
      <c r="C24" s="1898" t="s">
        <v>3401</v>
      </c>
      <c r="D24" s="399"/>
      <c r="E24" s="1898" t="s">
        <v>3401</v>
      </c>
      <c r="F24" s="399"/>
      <c r="G24" s="1898" t="s">
        <v>3401</v>
      </c>
      <c r="H24" s="399"/>
      <c r="I24" s="1898" t="s">
        <v>3401</v>
      </c>
      <c r="J24" s="399"/>
      <c r="K24" s="564"/>
      <c r="L24" s="2716"/>
      <c r="M24" s="2710"/>
      <c r="N24" s="2710"/>
      <c r="O24" s="2710"/>
      <c r="P24" s="3705"/>
      <c r="Q24" s="3472"/>
      <c r="R24" s="703"/>
      <c r="S24" s="704"/>
      <c r="T24" s="703"/>
      <c r="U24" s="704"/>
      <c r="V24" s="703"/>
      <c r="W24" s="704"/>
      <c r="X24" s="3469"/>
      <c r="Y24" s="3698"/>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5"/>
      <c r="Q25" s="3472" t="str">
        <f>B25</f>
        <v>毗邻道路的类型与等级</v>
      </c>
      <c r="R25" s="703" t="s">
        <v>14</v>
      </c>
      <c r="S25" s="704">
        <f>F25</f>
        <v>100</v>
      </c>
      <c r="T25" s="703" t="s">
        <v>14</v>
      </c>
      <c r="U25" s="704">
        <f>H25</f>
        <v>100</v>
      </c>
      <c r="V25" s="703" t="s">
        <v>14</v>
      </c>
      <c r="W25" s="704">
        <f>J25</f>
        <v>100</v>
      </c>
      <c r="X25" s="3469"/>
      <c r="Y25" s="3698"/>
      <c r="Z25" s="3470" t="str">
        <f>Q25</f>
        <v>毗邻道路的类型与等级</v>
      </c>
      <c r="AA25" s="3473">
        <f t="shared" si="3"/>
        <v>1</v>
      </c>
      <c r="AB25" s="3473">
        <f t="shared" si="4"/>
        <v>1</v>
      </c>
      <c r="AC25" s="1956">
        <f t="shared" si="5"/>
        <v>1</v>
      </c>
    </row>
    <row r="26" spans="1:29" ht="15">
      <c r="A26" s="358"/>
      <c r="B26" s="580"/>
      <c r="C26" s="582" t="s">
        <v>3414</v>
      </c>
      <c r="D26" s="386"/>
      <c r="E26" s="582" t="s">
        <v>3414</v>
      </c>
      <c r="F26" s="386"/>
      <c r="G26" s="582" t="s">
        <v>3414</v>
      </c>
      <c r="H26" s="386"/>
      <c r="I26" s="582" t="s">
        <v>3414</v>
      </c>
      <c r="J26" s="386"/>
      <c r="K26" s="564"/>
      <c r="L26" s="2716"/>
      <c r="M26" s="2710"/>
      <c r="N26" s="2710"/>
      <c r="O26" s="2710"/>
      <c r="P26" s="3705"/>
      <c r="Q26" s="3472"/>
      <c r="R26" s="703"/>
      <c r="S26" s="704"/>
      <c r="T26" s="703"/>
      <c r="U26" s="704"/>
      <c r="V26" s="703"/>
      <c r="W26" s="704"/>
      <c r="X26" s="3469"/>
      <c r="Y26" s="3698"/>
      <c r="Z26" s="3470"/>
      <c r="AA26" s="3473">
        <v>1</v>
      </c>
      <c r="AB26" s="3473">
        <v>1</v>
      </c>
      <c r="AC26" s="1956">
        <v>1</v>
      </c>
    </row>
    <row r="27" spans="1:29" ht="15">
      <c r="A27" s="379"/>
      <c r="B27" s="580" t="s">
        <v>1783</v>
      </c>
      <c r="C27" s="582" t="s">
        <v>3416</v>
      </c>
      <c r="D27" s="386">
        <v>100</v>
      </c>
      <c r="E27" s="565" t="s">
        <v>3418</v>
      </c>
      <c r="F27" s="386">
        <f>SUMIF(89:89,E27,90:90)-SUMIF(89:89,C27,90:90)+100</f>
        <v>97</v>
      </c>
      <c r="G27" s="565" t="s">
        <v>3418</v>
      </c>
      <c r="H27" s="386">
        <f>SUMIF(89:89,G27,90:90)-SUMIF(89:89,C27,90:90)+100</f>
        <v>97</v>
      </c>
      <c r="I27" s="565" t="s">
        <v>3420</v>
      </c>
      <c r="J27" s="386">
        <f>SUMIF(89:89,I27,90:90)-SUMIF(89:89,C27,90:90)+100</f>
        <v>94</v>
      </c>
      <c r="K27" s="561">
        <v>3</v>
      </c>
      <c r="L27" s="2716"/>
      <c r="M27" s="2710"/>
      <c r="N27" s="2710"/>
      <c r="O27" s="2710"/>
      <c r="P27" s="3705"/>
      <c r="Q27" s="3472" t="str">
        <f t="shared" ref="Q27:Q47" si="11">B27</f>
        <v>楼层</v>
      </c>
      <c r="R27" s="703" t="s">
        <v>14</v>
      </c>
      <c r="S27" s="704">
        <f>F27</f>
        <v>97</v>
      </c>
      <c r="T27" s="703" t="s">
        <v>14</v>
      </c>
      <c r="U27" s="704">
        <f>H27</f>
        <v>97</v>
      </c>
      <c r="V27" s="703" t="s">
        <v>14</v>
      </c>
      <c r="W27" s="704">
        <f>J27</f>
        <v>94</v>
      </c>
      <c r="X27" s="3469"/>
      <c r="Y27" s="3698"/>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5"/>
      <c r="Q28" s="3466" t="str">
        <f t="shared" si="11"/>
        <v>朝向</v>
      </c>
      <c r="R28" s="699" t="s">
        <v>14</v>
      </c>
      <c r="S28" s="700">
        <f>F28</f>
        <v>100</v>
      </c>
      <c r="T28" s="699" t="s">
        <v>14</v>
      </c>
      <c r="U28" s="700">
        <f>H28</f>
        <v>100</v>
      </c>
      <c r="V28" s="699" t="s">
        <v>14</v>
      </c>
      <c r="W28" s="700">
        <f>J28</f>
        <v>100</v>
      </c>
      <c r="X28" s="701"/>
      <c r="Y28" s="3698"/>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5"/>
      <c r="Q29" s="3472">
        <f t="shared" si="11"/>
        <v>111</v>
      </c>
      <c r="R29" s="703" t="s">
        <v>14</v>
      </c>
      <c r="S29" s="704">
        <f t="shared" ref="S29:S47" si="12">F29</f>
        <v>100</v>
      </c>
      <c r="T29" s="703" t="s">
        <v>14</v>
      </c>
      <c r="U29" s="704">
        <f t="shared" ref="U29:U47" si="13">H29</f>
        <v>100</v>
      </c>
      <c r="V29" s="703" t="s">
        <v>14</v>
      </c>
      <c r="W29" s="704">
        <f t="shared" ref="W29:W47" si="14">J29</f>
        <v>100</v>
      </c>
      <c r="X29" s="3469"/>
      <c r="Y29" s="3698"/>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5"/>
      <c r="Q30" s="3472">
        <f t="shared" si="11"/>
        <v>111</v>
      </c>
      <c r="R30" s="703" t="s">
        <v>14</v>
      </c>
      <c r="S30" s="704">
        <f t="shared" si="12"/>
        <v>100</v>
      </c>
      <c r="T30" s="703" t="s">
        <v>14</v>
      </c>
      <c r="U30" s="704">
        <f t="shared" si="13"/>
        <v>100</v>
      </c>
      <c r="V30" s="703" t="s">
        <v>14</v>
      </c>
      <c r="W30" s="704">
        <f t="shared" si="14"/>
        <v>100</v>
      </c>
      <c r="X30" s="3469"/>
      <c r="Y30" s="3698"/>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5"/>
      <c r="Q31" s="3472">
        <f t="shared" si="11"/>
        <v>111</v>
      </c>
      <c r="R31" s="703" t="s">
        <v>14</v>
      </c>
      <c r="S31" s="704">
        <f t="shared" si="12"/>
        <v>100</v>
      </c>
      <c r="T31" s="703" t="s">
        <v>14</v>
      </c>
      <c r="U31" s="704">
        <f t="shared" si="13"/>
        <v>100</v>
      </c>
      <c r="V31" s="703" t="s">
        <v>14</v>
      </c>
      <c r="W31" s="704">
        <f t="shared" si="14"/>
        <v>100</v>
      </c>
      <c r="X31" s="3469"/>
      <c r="Y31" s="3698"/>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5"/>
      <c r="Q32" s="3472">
        <f t="shared" si="11"/>
        <v>111</v>
      </c>
      <c r="R32" s="703" t="s">
        <v>14</v>
      </c>
      <c r="S32" s="704">
        <f t="shared" si="12"/>
        <v>100</v>
      </c>
      <c r="T32" s="703" t="s">
        <v>14</v>
      </c>
      <c r="U32" s="704">
        <f t="shared" si="13"/>
        <v>100</v>
      </c>
      <c r="V32" s="703" t="s">
        <v>14</v>
      </c>
      <c r="W32" s="704">
        <f t="shared" si="14"/>
        <v>100</v>
      </c>
      <c r="X32" s="3469"/>
      <c r="Y32" s="3698"/>
      <c r="Z32" s="3470">
        <f t="shared" si="15"/>
        <v>111</v>
      </c>
      <c r="AA32" s="3473">
        <f t="shared" si="3"/>
        <v>1</v>
      </c>
      <c r="AB32" s="3473">
        <f t="shared" si="4"/>
        <v>1</v>
      </c>
      <c r="AC32" s="1956">
        <f t="shared" si="5"/>
        <v>1</v>
      </c>
    </row>
    <row r="33" spans="1:29" ht="15">
      <c r="A33" s="391" t="s">
        <v>1694</v>
      </c>
      <c r="B33" s="63" t="s">
        <v>1817</v>
      </c>
      <c r="C33" s="1961" t="s">
        <v>3422</v>
      </c>
      <c r="D33" s="418">
        <v>100</v>
      </c>
      <c r="E33" s="1961" t="s">
        <v>3422</v>
      </c>
      <c r="F33" s="412">
        <f>SUMIF(101:101,E33,102:102)-SUMIF(101:101,C33,102:102)+100</f>
        <v>100</v>
      </c>
      <c r="G33" s="1961" t="s">
        <v>3422</v>
      </c>
      <c r="H33" s="386">
        <f>SUMIF(101:101,G33,102:102)-SUMIF(101:101,C33,102:102)+100</f>
        <v>100</v>
      </c>
      <c r="I33" s="1961" t="s">
        <v>3422</v>
      </c>
      <c r="J33" s="418">
        <f>SUMIF(101:101,I33,102:102)-SUMIF(101:101,C33,102:102)+100</f>
        <v>100</v>
      </c>
      <c r="K33" s="561"/>
      <c r="L33" s="2716"/>
      <c r="M33" s="2710"/>
      <c r="N33" s="2710"/>
      <c r="O33" s="2710"/>
      <c r="P33" s="3699" t="s">
        <v>1696</v>
      </c>
      <c r="Q33" s="3472" t="str">
        <f t="shared" si="11"/>
        <v>建筑类型</v>
      </c>
      <c r="R33" s="703" t="s">
        <v>14</v>
      </c>
      <c r="S33" s="704">
        <f t="shared" si="12"/>
        <v>100</v>
      </c>
      <c r="T33" s="703" t="s">
        <v>14</v>
      </c>
      <c r="U33" s="704">
        <f t="shared" si="13"/>
        <v>100</v>
      </c>
      <c r="V33" s="703" t="s">
        <v>14</v>
      </c>
      <c r="W33" s="704">
        <f t="shared" si="14"/>
        <v>100</v>
      </c>
      <c r="X33" s="3469"/>
      <c r="Y33" s="3702" t="s">
        <v>1696</v>
      </c>
      <c r="Z33" s="3470" t="str">
        <f t="shared" si="15"/>
        <v>建筑类型</v>
      </c>
      <c r="AA33" s="3473">
        <f t="shared" si="3"/>
        <v>1</v>
      </c>
      <c r="AB33" s="3473">
        <f t="shared" si="4"/>
        <v>1</v>
      </c>
      <c r="AC33" s="1956">
        <f t="shared" si="5"/>
        <v>1</v>
      </c>
    </row>
    <row r="34" spans="1:29" s="422" customFormat="1" ht="15">
      <c r="A34" s="419"/>
      <c r="B34" s="375" t="s">
        <v>1697</v>
      </c>
      <c r="C34" s="420">
        <f>'数据-汇总表'!F19</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00"/>
      <c r="Q34" s="705" t="str">
        <f t="shared" si="11"/>
        <v>项目建筑规模</v>
      </c>
      <c r="R34" s="706" t="s">
        <v>14</v>
      </c>
      <c r="S34" s="707">
        <f t="shared" si="12"/>
        <v>100</v>
      </c>
      <c r="T34" s="706" t="s">
        <v>14</v>
      </c>
      <c r="U34" s="707">
        <f t="shared" si="13"/>
        <v>100</v>
      </c>
      <c r="V34" s="706" t="s">
        <v>14</v>
      </c>
      <c r="W34" s="707">
        <f t="shared" si="14"/>
        <v>100</v>
      </c>
      <c r="X34" s="708"/>
      <c r="Y34" s="3702"/>
      <c r="Z34" s="709" t="str">
        <f t="shared" si="15"/>
        <v>项目建筑规模</v>
      </c>
      <c r="AA34" s="3473">
        <f t="shared" si="3"/>
        <v>1</v>
      </c>
      <c r="AB34" s="3473">
        <f t="shared" si="4"/>
        <v>1</v>
      </c>
      <c r="AC34" s="1956">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700"/>
      <c r="Q35" s="3472" t="str">
        <f t="shared" si="11"/>
        <v>建筑结构</v>
      </c>
      <c r="R35" s="703" t="s">
        <v>14</v>
      </c>
      <c r="S35" s="704">
        <f t="shared" si="12"/>
        <v>100</v>
      </c>
      <c r="T35" s="703" t="s">
        <v>14</v>
      </c>
      <c r="U35" s="704">
        <f t="shared" si="13"/>
        <v>100</v>
      </c>
      <c r="V35" s="703" t="s">
        <v>14</v>
      </c>
      <c r="W35" s="704">
        <f t="shared" si="14"/>
        <v>100</v>
      </c>
      <c r="X35" s="3469"/>
      <c r="Y35" s="3702"/>
      <c r="Z35" s="3470" t="str">
        <f t="shared" si="15"/>
        <v>建筑结构</v>
      </c>
      <c r="AA35" s="3473">
        <f t="shared" si="3"/>
        <v>1</v>
      </c>
      <c r="AB35" s="3473">
        <f t="shared" si="4"/>
        <v>1</v>
      </c>
      <c r="AC35" s="1956">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2</v>
      </c>
      <c r="L36" s="2716"/>
      <c r="M36" s="2710"/>
      <c r="N36" s="2710"/>
      <c r="O36" s="2710"/>
      <c r="P36" s="3700"/>
      <c r="Q36" s="3472" t="str">
        <f t="shared" si="11"/>
        <v>公共部分装修</v>
      </c>
      <c r="R36" s="703" t="s">
        <v>14</v>
      </c>
      <c r="S36" s="704">
        <f t="shared" si="12"/>
        <v>100</v>
      </c>
      <c r="T36" s="703" t="s">
        <v>14</v>
      </c>
      <c r="U36" s="704">
        <f t="shared" si="13"/>
        <v>100</v>
      </c>
      <c r="V36" s="703" t="s">
        <v>14</v>
      </c>
      <c r="W36" s="704">
        <f t="shared" si="14"/>
        <v>100</v>
      </c>
      <c r="X36" s="3469"/>
      <c r="Y36" s="3702"/>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f>ROUND(1-(2024-2023)/60,2)</f>
        <v>0.98</v>
      </c>
      <c r="J37" s="386">
        <f>LOOKUP(I37,111:111,112:112)-LOOKUP(C37,111:111,112:112)+100</f>
        <v>101</v>
      </c>
      <c r="K37" s="561">
        <v>1</v>
      </c>
      <c r="L37" s="2716"/>
      <c r="M37" s="2710"/>
      <c r="N37" s="2710"/>
      <c r="O37" s="2710"/>
      <c r="P37" s="3700"/>
      <c r="Q37" s="3472" t="str">
        <f t="shared" si="11"/>
        <v>成新度</v>
      </c>
      <c r="R37" s="703" t="s">
        <v>14</v>
      </c>
      <c r="S37" s="704">
        <f t="shared" si="12"/>
        <v>100</v>
      </c>
      <c r="T37" s="703" t="s">
        <v>14</v>
      </c>
      <c r="U37" s="704">
        <f t="shared" si="13"/>
        <v>100</v>
      </c>
      <c r="V37" s="703" t="s">
        <v>14</v>
      </c>
      <c r="W37" s="704">
        <f t="shared" si="14"/>
        <v>101</v>
      </c>
      <c r="X37" s="3469"/>
      <c r="Y37" s="3702"/>
      <c r="Z37" s="3470" t="str">
        <f t="shared" si="15"/>
        <v>成新度</v>
      </c>
      <c r="AA37" s="3473">
        <f t="shared" si="3"/>
        <v>1</v>
      </c>
      <c r="AB37" s="3473">
        <f t="shared" si="4"/>
        <v>1</v>
      </c>
      <c r="AC37" s="1956">
        <f t="shared" si="5"/>
        <v>0.99009900990099009</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2</v>
      </c>
      <c r="L38" s="2711"/>
      <c r="M38" s="2712"/>
      <c r="N38" s="2712"/>
      <c r="O38" s="2712"/>
      <c r="P38" s="3700"/>
      <c r="Q38" s="3466" t="str">
        <f t="shared" si="11"/>
        <v>写字楼等级</v>
      </c>
      <c r="R38" s="699" t="s">
        <v>14</v>
      </c>
      <c r="S38" s="700">
        <f t="shared" si="12"/>
        <v>100</v>
      </c>
      <c r="T38" s="699" t="s">
        <v>14</v>
      </c>
      <c r="U38" s="700">
        <f t="shared" si="13"/>
        <v>100</v>
      </c>
      <c r="V38" s="699" t="s">
        <v>14</v>
      </c>
      <c r="W38" s="700">
        <f t="shared" si="14"/>
        <v>100</v>
      </c>
      <c r="X38" s="701"/>
      <c r="Y38" s="3702"/>
      <c r="Z38" s="3448" t="str">
        <f t="shared" si="15"/>
        <v>写字楼等级</v>
      </c>
      <c r="AA38" s="702">
        <f t="shared" si="3"/>
        <v>1</v>
      </c>
      <c r="AB38" s="702">
        <f t="shared" si="4"/>
        <v>1</v>
      </c>
      <c r="AC38" s="1953">
        <f t="shared" si="5"/>
        <v>1</v>
      </c>
    </row>
    <row r="39" spans="1:29" ht="15">
      <c r="A39" s="423"/>
      <c r="B39" s="375" t="s">
        <v>1819</v>
      </c>
      <c r="C39" s="411" t="s">
        <v>3429</v>
      </c>
      <c r="D39" s="386">
        <v>100</v>
      </c>
      <c r="E39" s="411" t="s">
        <v>3429</v>
      </c>
      <c r="F39" s="412">
        <f>SUMIF(115:115,E39,116:116)-SUMIF(115:115,C39,116:116)+100</f>
        <v>100</v>
      </c>
      <c r="G39" s="411" t="s">
        <v>3429</v>
      </c>
      <c r="H39" s="386">
        <f>SUMIF(115:115,G39,116:116)-SUMIF(115:115,C39,116:116)+100</f>
        <v>100</v>
      </c>
      <c r="I39" s="411" t="s">
        <v>3429</v>
      </c>
      <c r="J39" s="386">
        <f>SUMIF(115:115,I39,116:116)-SUMIF(115:115,C39,116:116)+100</f>
        <v>100</v>
      </c>
      <c r="K39" s="561">
        <v>2</v>
      </c>
      <c r="L39" s="2716"/>
      <c r="M39" s="2710"/>
      <c r="N39" s="2710"/>
      <c r="O39" s="2710"/>
      <c r="P39" s="3700" t="s">
        <v>1696</v>
      </c>
      <c r="Q39" s="3472" t="str">
        <f t="shared" si="11"/>
        <v>物业管理</v>
      </c>
      <c r="R39" s="703" t="s">
        <v>14</v>
      </c>
      <c r="S39" s="704">
        <f t="shared" si="12"/>
        <v>100</v>
      </c>
      <c r="T39" s="703" t="s">
        <v>14</v>
      </c>
      <c r="U39" s="704">
        <f t="shared" si="13"/>
        <v>100</v>
      </c>
      <c r="V39" s="703" t="s">
        <v>14</v>
      </c>
      <c r="W39" s="704">
        <f t="shared" si="14"/>
        <v>100</v>
      </c>
      <c r="X39" s="3469"/>
      <c r="Y39" s="3702"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0"/>
      <c r="Q40" s="3472" t="str">
        <f t="shared" si="11"/>
        <v>市政基础设施</v>
      </c>
      <c r="R40" s="703" t="s">
        <v>14</v>
      </c>
      <c r="S40" s="704">
        <f t="shared" si="12"/>
        <v>100</v>
      </c>
      <c r="T40" s="703" t="s">
        <v>14</v>
      </c>
      <c r="U40" s="704">
        <f t="shared" si="13"/>
        <v>100</v>
      </c>
      <c r="V40" s="703" t="s">
        <v>14</v>
      </c>
      <c r="W40" s="704">
        <f t="shared" si="14"/>
        <v>100</v>
      </c>
      <c r="X40" s="3469"/>
      <c r="Y40" s="3702"/>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0"/>
      <c r="Q41" s="3472" t="str">
        <f t="shared" si="11"/>
        <v>层高</v>
      </c>
      <c r="R41" s="703" t="s">
        <v>14</v>
      </c>
      <c r="S41" s="704">
        <f t="shared" si="12"/>
        <v>100</v>
      </c>
      <c r="T41" s="703" t="s">
        <v>14</v>
      </c>
      <c r="U41" s="704">
        <f t="shared" si="13"/>
        <v>100</v>
      </c>
      <c r="V41" s="703" t="s">
        <v>14</v>
      </c>
      <c r="W41" s="704">
        <f t="shared" si="14"/>
        <v>100</v>
      </c>
      <c r="X41" s="3469"/>
      <c r="Y41" s="3702"/>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0"/>
      <c r="Q42" s="705" t="str">
        <f t="shared" si="11"/>
        <v>单套建筑面积</v>
      </c>
      <c r="R42" s="706" t="s">
        <v>14</v>
      </c>
      <c r="S42" s="707">
        <f t="shared" si="12"/>
        <v>100</v>
      </c>
      <c r="T42" s="706" t="s">
        <v>14</v>
      </c>
      <c r="U42" s="707">
        <f t="shared" si="13"/>
        <v>100</v>
      </c>
      <c r="V42" s="706" t="s">
        <v>14</v>
      </c>
      <c r="W42" s="707">
        <f t="shared" si="14"/>
        <v>100</v>
      </c>
      <c r="X42" s="708"/>
      <c r="Y42" s="3702"/>
      <c r="Z42" s="709" t="str">
        <f t="shared" si="15"/>
        <v>单套建筑面积</v>
      </c>
      <c r="AA42" s="3473">
        <f t="shared" si="3"/>
        <v>1</v>
      </c>
      <c r="AB42" s="3473">
        <f t="shared" si="4"/>
        <v>1</v>
      </c>
      <c r="AC42" s="1956">
        <f t="shared" si="5"/>
        <v>1</v>
      </c>
    </row>
    <row r="43" spans="1:29" ht="15">
      <c r="A43" s="423"/>
      <c r="B43" s="375" t="s">
        <v>1792</v>
      </c>
      <c r="C43" s="411" t="s">
        <v>3425</v>
      </c>
      <c r="D43" s="386">
        <v>100</v>
      </c>
      <c r="E43" s="411" t="s">
        <v>3425</v>
      </c>
      <c r="F43" s="412">
        <f>SUMIF(123:123,E43,124:124)-SUMIF(123:123,C43,124:124)+100</f>
        <v>100</v>
      </c>
      <c r="G43" s="411" t="s">
        <v>3425</v>
      </c>
      <c r="H43" s="386">
        <f>SUMIF(123:123,G43,124:124)-SUMIF(123:123,C43,124:124)+100</f>
        <v>100</v>
      </c>
      <c r="I43" s="411" t="s">
        <v>3435</v>
      </c>
      <c r="J43" s="386">
        <f>SUMIF(123:123,I43,124:124)-SUMIF(123:123,C43,124:124)+100</f>
        <v>99</v>
      </c>
      <c r="K43" s="561">
        <v>1</v>
      </c>
      <c r="L43" s="2716"/>
      <c r="M43" s="2710"/>
      <c r="N43" s="2710"/>
      <c r="O43" s="2710"/>
      <c r="P43" s="3700"/>
      <c r="Q43" s="3472" t="str">
        <f t="shared" si="11"/>
        <v>内部装修</v>
      </c>
      <c r="R43" s="703" t="s">
        <v>14</v>
      </c>
      <c r="S43" s="704">
        <f t="shared" si="12"/>
        <v>100</v>
      </c>
      <c r="T43" s="703" t="s">
        <v>14</v>
      </c>
      <c r="U43" s="704">
        <f t="shared" si="13"/>
        <v>100</v>
      </c>
      <c r="V43" s="703" t="s">
        <v>14</v>
      </c>
      <c r="W43" s="704">
        <f t="shared" si="14"/>
        <v>99</v>
      </c>
      <c r="X43" s="3469"/>
      <c r="Y43" s="3702"/>
      <c r="Z43" s="3470" t="str">
        <f t="shared" si="15"/>
        <v>内部装修</v>
      </c>
      <c r="AA43" s="3473">
        <f t="shared" si="3"/>
        <v>1</v>
      </c>
      <c r="AB43" s="3473">
        <f t="shared" si="4"/>
        <v>1</v>
      </c>
      <c r="AC43" s="1956">
        <f t="shared" si="5"/>
        <v>1.0101010101010102</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16"/>
      <c r="M44" s="2710"/>
      <c r="N44" s="2710"/>
      <c r="O44" s="2710"/>
      <c r="P44" s="3700"/>
      <c r="Q44" s="3472" t="str">
        <f t="shared" si="11"/>
        <v>内部装修维护情况</v>
      </c>
      <c r="R44" s="703" t="s">
        <v>14</v>
      </c>
      <c r="S44" s="704">
        <f t="shared" si="12"/>
        <v>100</v>
      </c>
      <c r="T44" s="703" t="s">
        <v>14</v>
      </c>
      <c r="U44" s="704">
        <f t="shared" si="13"/>
        <v>100</v>
      </c>
      <c r="V44" s="703" t="s">
        <v>14</v>
      </c>
      <c r="W44" s="704">
        <f t="shared" si="14"/>
        <v>100</v>
      </c>
      <c r="X44" s="3469"/>
      <c r="Y44" s="3702"/>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0"/>
      <c r="Q45" s="3466">
        <f t="shared" si="11"/>
        <v>111</v>
      </c>
      <c r="R45" s="699" t="s">
        <v>14</v>
      </c>
      <c r="S45" s="700">
        <f t="shared" si="12"/>
        <v>100</v>
      </c>
      <c r="T45" s="699" t="s">
        <v>14</v>
      </c>
      <c r="U45" s="700">
        <f t="shared" si="13"/>
        <v>100</v>
      </c>
      <c r="V45" s="699" t="s">
        <v>14</v>
      </c>
      <c r="W45" s="700">
        <f t="shared" si="14"/>
        <v>100</v>
      </c>
      <c r="X45" s="701"/>
      <c r="Y45" s="3702"/>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0"/>
      <c r="Q46" s="3472">
        <f t="shared" si="11"/>
        <v>111</v>
      </c>
      <c r="R46" s="703" t="s">
        <v>14</v>
      </c>
      <c r="S46" s="704">
        <f t="shared" si="12"/>
        <v>100</v>
      </c>
      <c r="T46" s="703" t="s">
        <v>14</v>
      </c>
      <c r="U46" s="704">
        <f t="shared" si="13"/>
        <v>100</v>
      </c>
      <c r="V46" s="703" t="s">
        <v>14</v>
      </c>
      <c r="W46" s="704">
        <f t="shared" si="14"/>
        <v>100</v>
      </c>
      <c r="X46" s="3469"/>
      <c r="Y46" s="3702"/>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1"/>
      <c r="Q47" s="3472">
        <f t="shared" si="11"/>
        <v>111</v>
      </c>
      <c r="R47" s="703" t="s">
        <v>14</v>
      </c>
      <c r="S47" s="704">
        <f t="shared" si="12"/>
        <v>100</v>
      </c>
      <c r="T47" s="703" t="s">
        <v>14</v>
      </c>
      <c r="U47" s="704">
        <f t="shared" si="13"/>
        <v>100</v>
      </c>
      <c r="V47" s="703" t="s">
        <v>14</v>
      </c>
      <c r="W47" s="704">
        <f t="shared" si="14"/>
        <v>100</v>
      </c>
      <c r="X47" s="3469"/>
      <c r="Y47" s="3703"/>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06" t="str">
        <f>A48</f>
        <v>成交单价（元/平方米）</v>
      </c>
      <c r="Q48" s="3695"/>
      <c r="R48" s="3696">
        <f>E48</f>
        <v>28772</v>
      </c>
      <c r="S48" s="3696"/>
      <c r="T48" s="3696">
        <f>G48</f>
        <v>28798</v>
      </c>
      <c r="U48" s="3696"/>
      <c r="V48" s="3696">
        <f>I48</f>
        <v>29993</v>
      </c>
      <c r="W48" s="3696"/>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06" t="str">
        <f>A49</f>
        <v>比较价值（元/平方米）</v>
      </c>
      <c r="Q49" s="3695"/>
      <c r="R49" s="3696">
        <f>IF(F1="售价",ROUND(PRODUCT(R48,AA7:AA47),0),ROUND(PRODUCT(R48,AA7:AA47),1))</f>
        <v>29080</v>
      </c>
      <c r="S49" s="3696"/>
      <c r="T49" s="3696">
        <f>IF(F1="售价",ROUND(PRODUCT(T48,AB7:AB47),0),ROUND(PRODUCT(T48,AB7:AB47),1))</f>
        <v>29107</v>
      </c>
      <c r="U49" s="3696"/>
      <c r="V49" s="3696">
        <f>IF(F1="售价",ROUND(PRODUCT(V48,AC7:AC47),0),ROUND(PRODUCT(V48,AC7:AC47),1))</f>
        <v>31285</v>
      </c>
      <c r="W49" s="3696"/>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2" t="str">
        <f>A50</f>
        <v>估价对象XX用房的比较价值（楼面单价，元/平方米）</v>
      </c>
      <c r="Q50" s="3753"/>
      <c r="R50" s="3754">
        <f>IF(F1="售价",ROUND(IF(D49="简单平均",AVERAGE(R49:V49),R49*F49+T49*H49+V49*J49),0),ROUND(IF(D49="简单平均",AVERAGE(R49:V49),R49*F49+T49*H49+V49*J49),1))</f>
        <v>29824</v>
      </c>
      <c r="S50" s="3754"/>
      <c r="T50" s="3754"/>
      <c r="U50" s="3754"/>
      <c r="V50" s="3754"/>
      <c r="W50" s="3754"/>
      <c r="X50" s="1940"/>
      <c r="Y50" s="1940"/>
      <c r="Z50" s="1940"/>
      <c r="AA50" s="1940"/>
      <c r="AB50" s="1940"/>
      <c r="AC50" s="1941"/>
    </row>
    <row r="51" spans="1:29">
      <c r="A51" s="2719"/>
      <c r="B51" s="2719"/>
      <c r="C51" s="2719"/>
      <c r="D51" s="2719"/>
      <c r="E51" s="2719"/>
      <c r="F51" s="2719"/>
      <c r="G51" s="2723"/>
      <c r="H51" s="2719"/>
      <c r="I51" s="2719">
        <v>2023</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3410</v>
      </c>
      <c r="D87" s="3477" t="s">
        <v>3411</v>
      </c>
      <c r="E87" s="3477" t="s">
        <v>3412</v>
      </c>
      <c r="F87" s="3477" t="s">
        <v>3413</v>
      </c>
      <c r="G87" s="3477" t="s">
        <v>3415</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3417</v>
      </c>
      <c r="D89" s="3477" t="s">
        <v>3419</v>
      </c>
      <c r="E89" s="3477" t="s">
        <v>3421</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3426</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3428</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3430</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3402</v>
      </c>
      <c r="D117" s="503" t="s">
        <v>3431</v>
      </c>
      <c r="E117" s="503" t="s">
        <v>3432</v>
      </c>
      <c r="F117" s="503" t="s">
        <v>3433</v>
      </c>
      <c r="G117" s="503" t="s">
        <v>3434</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3426</v>
      </c>
      <c r="D123" s="3477" t="s">
        <v>3436</v>
      </c>
      <c r="E123" s="3477" t="s">
        <v>3437</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228" priority="20" stopIfTrue="1" operator="containsText" text="超过">
      <formula>NOT(ISERROR(SEARCH("超过",F53)))</formula>
    </cfRule>
  </conditionalFormatting>
  <conditionalFormatting sqref="H55">
    <cfRule type="containsText" dxfId="227" priority="19" stopIfTrue="1" operator="containsText" text="超过">
      <formula>NOT(ISERROR(SEARCH("超过",H55)))</formula>
    </cfRule>
  </conditionalFormatting>
  <conditionalFormatting sqref="F55">
    <cfRule type="containsText" dxfId="226" priority="18" stopIfTrue="1" operator="containsText" text="超过">
      <formula>NOT(ISERROR(SEARCH("超过",F55)))</formula>
    </cfRule>
  </conditionalFormatting>
  <conditionalFormatting sqref="F54 H54">
    <cfRule type="containsText" dxfId="225" priority="17" stopIfTrue="1" operator="containsText" text="超过">
      <formula>NOT(ISERROR(SEARCH("超过",F54)))</formula>
    </cfRule>
  </conditionalFormatting>
  <conditionalFormatting sqref="E53">
    <cfRule type="expression" dxfId="224" priority="16" stopIfTrue="1">
      <formula>$F$53="超过30%"</formula>
    </cfRule>
  </conditionalFormatting>
  <conditionalFormatting sqref="E54">
    <cfRule type="expression" dxfId="223" priority="15" stopIfTrue="1">
      <formula>$F$54="超过20%"</formula>
    </cfRule>
  </conditionalFormatting>
  <conditionalFormatting sqref="E55">
    <cfRule type="expression" dxfId="222" priority="14" stopIfTrue="1">
      <formula>$F$55="超过30%"</formula>
    </cfRule>
  </conditionalFormatting>
  <conditionalFormatting sqref="G55">
    <cfRule type="expression" dxfId="221" priority="13" stopIfTrue="1">
      <formula>$H$55="超过30%"</formula>
    </cfRule>
  </conditionalFormatting>
  <conditionalFormatting sqref="G53">
    <cfRule type="expression" dxfId="220" priority="12" stopIfTrue="1">
      <formula>$H$53="超过30%"</formula>
    </cfRule>
  </conditionalFormatting>
  <conditionalFormatting sqref="G54">
    <cfRule type="expression" dxfId="219" priority="11" stopIfTrue="1">
      <formula>$H$54="超过20%"</formula>
    </cfRule>
  </conditionalFormatting>
  <conditionalFormatting sqref="J53">
    <cfRule type="containsText" dxfId="218" priority="10" stopIfTrue="1" operator="containsText" text="超过">
      <formula>NOT(ISERROR(SEARCH("超过",J53)))</formula>
    </cfRule>
  </conditionalFormatting>
  <conditionalFormatting sqref="J55">
    <cfRule type="containsText" dxfId="217" priority="9" stopIfTrue="1" operator="containsText" text="超过">
      <formula>NOT(ISERROR(SEARCH("超过",J55)))</formula>
    </cfRule>
  </conditionalFormatting>
  <conditionalFormatting sqref="J54">
    <cfRule type="containsText" dxfId="216" priority="8" stopIfTrue="1" operator="containsText" text="超过">
      <formula>NOT(ISERROR(SEARCH("超过",J54)))</formula>
    </cfRule>
  </conditionalFormatting>
  <conditionalFormatting sqref="I53">
    <cfRule type="expression" dxfId="215" priority="7" stopIfTrue="1">
      <formula>$J$53="超过30%"</formula>
    </cfRule>
  </conditionalFormatting>
  <conditionalFormatting sqref="I54">
    <cfRule type="expression" dxfId="214" priority="6" stopIfTrue="1">
      <formula>$J$53+$J$54="超过20%"</formula>
    </cfRule>
  </conditionalFormatting>
  <conditionalFormatting sqref="I55">
    <cfRule type="expression" dxfId="213" priority="5" stopIfTrue="1">
      <formula>$J$55="超过30%"</formula>
    </cfRule>
  </conditionalFormatting>
  <conditionalFormatting sqref="F49">
    <cfRule type="expression" dxfId="212" priority="4">
      <formula>$D$49="简单平均"</formula>
    </cfRule>
  </conditionalFormatting>
  <conditionalFormatting sqref="H49">
    <cfRule type="expression" dxfId="211" priority="3">
      <formula>$D$49="简单平均"</formula>
    </cfRule>
  </conditionalFormatting>
  <conditionalFormatting sqref="J49">
    <cfRule type="expression" dxfId="210" priority="2">
      <formula>$D$49="简单平均"</formula>
    </cfRule>
  </conditionalFormatting>
  <conditionalFormatting sqref="F7:F47 H7:H47 J7:J47">
    <cfRule type="cellIs" dxfId="2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K83"/>
  <sheetViews>
    <sheetView view="pageBreakPreview" topLeftCell="A19"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1803</v>
      </c>
      <c r="D1" s="1356" t="s">
        <v>43</v>
      </c>
      <c r="E1" s="1357" t="s">
        <v>678</v>
      </c>
      <c r="F1" s="1056">
        <f ca="1">J53</f>
        <v>41</v>
      </c>
      <c r="G1" s="1372">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68" t="s">
        <v>694</v>
      </c>
      <c r="C6" s="1068">
        <f ca="1">ROUND(F6*F8*F7*(1-F9),0)</f>
        <v>169749</v>
      </c>
      <c r="D6" s="155" t="s">
        <v>2105</v>
      </c>
      <c r="E6" s="302" t="s">
        <v>696</v>
      </c>
      <c r="F6" s="303">
        <f ca="1">INDIRECT("'数据-取费表'!u"&amp;$G$1)</f>
        <v>3.5</v>
      </c>
      <c r="G6" s="1378"/>
      <c r="H6" s="1063" t="s">
        <v>398</v>
      </c>
      <c r="I6" s="3668" t="s">
        <v>694</v>
      </c>
      <c r="J6" s="301">
        <f ca="1">ROUND(M6*M8*M7*(1-M9),0)</f>
        <v>0</v>
      </c>
      <c r="K6" s="1370" t="s">
        <v>2106</v>
      </c>
      <c r="L6" s="302" t="s">
        <v>696</v>
      </c>
      <c r="M6" s="303">
        <f ca="1">INDIRECT("'数据-取费表'!z"&amp;$G$1)</f>
        <v>0</v>
      </c>
    </row>
    <row r="7" spans="1:37" ht="18" customHeight="1">
      <c r="A7" s="1067"/>
      <c r="B7" s="3669"/>
      <c r="C7" s="1069"/>
      <c r="D7" s="307"/>
      <c r="E7" s="3452" t="s">
        <v>697</v>
      </c>
      <c r="F7" s="303">
        <f ca="1">IF(INDIRECT("'数据-取费表'!ah"&amp;$G$1)="",INDIRECT("'数据-取费表'!k"&amp;$G$1),INDIRECT("'数据-取费表'!ah"&amp;$G$1))</f>
        <v>147.63999999999999</v>
      </c>
      <c r="G7" s="1378"/>
      <c r="H7" s="304"/>
      <c r="I7" s="3669"/>
      <c r="J7" s="306"/>
      <c r="K7" s="307"/>
      <c r="L7" s="302" t="s">
        <v>697</v>
      </c>
      <c r="M7" s="303">
        <f ca="1">F7</f>
        <v>147.63999999999999</v>
      </c>
    </row>
    <row r="8" spans="1:37" ht="18" customHeight="1">
      <c r="A8" s="304"/>
      <c r="B8" s="3669"/>
      <c r="C8" s="306"/>
      <c r="D8" s="307"/>
      <c r="E8" s="302" t="s">
        <v>698</v>
      </c>
      <c r="F8" s="303">
        <f ca="1">INDIRECT("'数据-取费表'!ai"&amp;$G$1)</f>
        <v>365</v>
      </c>
      <c r="G8" s="1378"/>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78"/>
      <c r="H9" s="304"/>
      <c r="I9" s="3670"/>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3403</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3337</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3337</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3353</v>
      </c>
      <c r="B45" s="1394"/>
      <c r="C45" s="1466">
        <f ca="1">ROUND((C68-C40)/10000,4)</f>
        <v>-297.95010000000002</v>
      </c>
      <c r="D45" s="3425" t="s">
        <v>3354</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3395</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3396</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66" t="s">
        <v>837</v>
      </c>
      <c r="L53" s="3667"/>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3388</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3337</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8" priority="4">
      <formula>$L$48&gt;$J$51</formula>
    </cfRule>
  </conditionalFormatting>
  <conditionalFormatting sqref="I55 I60">
    <cfRule type="expression" dxfId="207" priority="5">
      <formula>$J$51&gt;$L$48</formula>
    </cfRule>
  </conditionalFormatting>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估价对象为房地产，为所有。根据《国有土地使用证》[]，估价对象（分摊）出让国有建设用地使用权面积为0平方米，建筑面积为687.63平方米。</v>
      </c>
    </row>
    <row r="8" spans="1:1" ht="57.75">
      <c r="A8" s="1477" t="s">
        <v>901</v>
      </c>
    </row>
    <row r="9" spans="1:1" ht="18.75">
      <c r="A9" s="1476" t="s">
        <v>902</v>
      </c>
    </row>
    <row r="10" spans="1:1" ht="54">
      <c r="A10" s="1474" t="str">
        <f>"估价对象为"&amp;项目基本情况!S2&amp;IF('结果表-1803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估价对象为房地产,属开发建设的办公项目，该项目尚在开发建设中。根据《国有土地使用证》[]，估价对象（分摊）出让国有建设用地使用权面积为0平方米，规划建筑面积为687.63平方米。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2024年8月2日（评估专业人员实地查勘之日）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"本次评估采用的主估价方法为"&amp;'结果表-1803'!K4&amp;"和"&amp;'结果表-1803'!L4&amp;"。"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64" zoomScaleNormal="100" zoomScaleSheetLayoutView="100" zoomScalePageLayoutView="80" workbookViewId="0">
      <selection activeCell="G77" sqref="G77"/>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1804</v>
      </c>
      <c r="D1" s="1741"/>
      <c r="E1" s="1741"/>
      <c r="F1" s="1743" t="s">
        <v>1263</v>
      </c>
      <c r="G1" s="1555"/>
      <c r="H1" s="1744" t="str">
        <f>IF(G1="现房","——","估价对象范围")</f>
        <v>估价对象范围</v>
      </c>
      <c r="I1" s="1745"/>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48" t="s">
        <v>1265</v>
      </c>
      <c r="B4" s="1749" t="s">
        <v>1266</v>
      </c>
      <c r="C4" s="1750" t="s">
        <v>3451</v>
      </c>
      <c r="D4" s="1750" t="s">
        <v>3446</v>
      </c>
      <c r="E4" s="3609" t="s">
        <v>1267</v>
      </c>
      <c r="F4" s="3610"/>
      <c r="G4" s="3610"/>
      <c r="H4" s="3610"/>
      <c r="I4" s="3611"/>
      <c r="K4" s="146" t="str">
        <f>IF(ISNUMBER(FIND("比较法",'结果表-1804'!C4)),"比较法",IF(ISNUMBER(FIND("成本法",'结果表-1804'!C4)),"成本法",IF(ISNUMBER(FIND("假设开发法",'结果表-1804'!C4)),"假设开发法",IF(ISNUMBER(FIND("收益法",'结果表-1804'!C4)),"收益法","基准地价系数修正法"))))</f>
        <v>比较法</v>
      </c>
      <c r="L4" s="146" t="str">
        <f>IF(ISNUMBER(FIND("比较法",'结果表-1804'!D4)),"比较法",IF(ISNUMBER(FIND("成本法",'结果表-1804'!D4)),"成本法",IF(ISNUMBER(FIND("假设开发法",'结果表-1804'!D4)),"假设开发法",IF(ISNUMBER(FIND("收益法",'结果表-1804'!D4)),"收益法","基准地价系数修正法"))))</f>
        <v>收益法</v>
      </c>
    </row>
    <row r="5" spans="1:12" ht="12.75">
      <c r="A5" s="3583" t="s">
        <v>1268</v>
      </c>
      <c r="B5" s="3570">
        <v>25</v>
      </c>
      <c r="C5" s="3586"/>
      <c r="D5" s="3606"/>
      <c r="E5" s="131" t="s">
        <v>1269</v>
      </c>
      <c r="F5" s="1751"/>
      <c r="G5" s="1751"/>
      <c r="H5" s="1751"/>
      <c r="I5" s="1367"/>
    </row>
    <row r="6" spans="1:12" ht="12.75">
      <c r="A6" s="3583"/>
      <c r="B6" s="3570"/>
      <c r="C6" s="3587"/>
      <c r="D6" s="3606"/>
      <c r="E6" s="131" t="s">
        <v>1270</v>
      </c>
      <c r="F6" s="1751"/>
      <c r="G6" s="1751"/>
      <c r="H6" s="1751"/>
      <c r="I6" s="1367"/>
    </row>
    <row r="7" spans="1:12" ht="12.75">
      <c r="A7" s="3583"/>
      <c r="B7" s="3570"/>
      <c r="C7" s="3588"/>
      <c r="D7" s="3606"/>
      <c r="E7" s="131" t="s">
        <v>1271</v>
      </c>
      <c r="F7" s="1751"/>
      <c r="G7" s="1751"/>
      <c r="H7" s="1751"/>
      <c r="I7" s="1367"/>
    </row>
    <row r="8" spans="1:12" ht="12.75">
      <c r="A8" s="3583" t="s">
        <v>1272</v>
      </c>
      <c r="B8" s="3570">
        <v>15</v>
      </c>
      <c r="C8" s="3586"/>
      <c r="D8" s="3606"/>
      <c r="E8" s="131" t="s">
        <v>1273</v>
      </c>
      <c r="F8" s="1751"/>
      <c r="G8" s="1751"/>
      <c r="H8" s="1751"/>
      <c r="I8" s="1367"/>
    </row>
    <row r="9" spans="1:12" ht="12.75">
      <c r="A9" s="3583"/>
      <c r="B9" s="3570"/>
      <c r="C9" s="3588"/>
      <c r="D9" s="3606"/>
      <c r="E9" s="131" t="s">
        <v>1274</v>
      </c>
      <c r="F9" s="1751"/>
      <c r="G9" s="1751"/>
      <c r="H9" s="1751"/>
      <c r="I9" s="1367"/>
    </row>
    <row r="10" spans="1:12" ht="12.75">
      <c r="A10" s="3583" t="s">
        <v>1275</v>
      </c>
      <c r="B10" s="3570">
        <v>15</v>
      </c>
      <c r="C10" s="3586"/>
      <c r="D10" s="3606"/>
      <c r="E10" s="131" t="s">
        <v>1276</v>
      </c>
      <c r="F10" s="1751"/>
      <c r="G10" s="1751"/>
      <c r="H10" s="1751"/>
      <c r="I10" s="1367"/>
    </row>
    <row r="11" spans="1:12" ht="12.75">
      <c r="A11" s="3583"/>
      <c r="B11" s="3570"/>
      <c r="C11" s="3588"/>
      <c r="D11" s="3606"/>
      <c r="E11" s="131" t="s">
        <v>1277</v>
      </c>
      <c r="F11" s="1751"/>
      <c r="G11" s="1751"/>
      <c r="H11" s="1751"/>
      <c r="I11" s="1367"/>
    </row>
    <row r="12" spans="1:12" ht="12.75">
      <c r="A12" s="3583" t="s">
        <v>1278</v>
      </c>
      <c r="B12" s="3570">
        <v>15</v>
      </c>
      <c r="C12" s="3586"/>
      <c r="D12" s="3606"/>
      <c r="E12" s="131" t="s">
        <v>1279</v>
      </c>
      <c r="F12" s="1751"/>
      <c r="G12" s="1751"/>
      <c r="H12" s="1751"/>
      <c r="I12" s="1367"/>
    </row>
    <row r="13" spans="1:12" ht="12.75">
      <c r="A13" s="3583"/>
      <c r="B13" s="3570"/>
      <c r="C13" s="3588"/>
      <c r="D13" s="3606"/>
      <c r="E13" s="131" t="s">
        <v>1280</v>
      </c>
      <c r="F13" s="1751"/>
      <c r="G13" s="1751"/>
      <c r="H13" s="1751"/>
      <c r="I13" s="1367"/>
    </row>
    <row r="14" spans="1:12" ht="12.75">
      <c r="A14" s="3583" t="s">
        <v>1281</v>
      </c>
      <c r="B14" s="3570">
        <v>30</v>
      </c>
      <c r="C14" s="3586">
        <v>7</v>
      </c>
      <c r="D14" s="3606">
        <v>3</v>
      </c>
      <c r="E14" s="131" t="s">
        <v>1282</v>
      </c>
      <c r="F14" s="1751"/>
      <c r="G14" s="1751"/>
      <c r="H14" s="1751"/>
      <c r="I14" s="1367"/>
    </row>
    <row r="15" spans="1:12" ht="12.75">
      <c r="A15" s="3583"/>
      <c r="B15" s="3570"/>
      <c r="C15" s="3587"/>
      <c r="D15" s="3606"/>
      <c r="E15" s="131" t="s">
        <v>1283</v>
      </c>
      <c r="F15" s="1751"/>
      <c r="G15" s="1751"/>
      <c r="H15" s="1751"/>
      <c r="I15" s="1367"/>
    </row>
    <row r="16" spans="1:12" ht="12.75">
      <c r="A16" s="3583"/>
      <c r="B16" s="3570"/>
      <c r="C16" s="3588"/>
      <c r="D16" s="3606"/>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3" t="s">
        <v>2130</v>
      </c>
      <c r="F18" s="3594"/>
      <c r="G18" s="3594"/>
      <c r="H18" s="3594"/>
      <c r="I18" s="3594"/>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5" t="s">
        <v>1290</v>
      </c>
      <c r="B19" s="1756" t="s">
        <v>1291</v>
      </c>
      <c r="C19" s="134">
        <f ca="1">SUMIF(INDIRECT("'"&amp;C4&amp;"'"&amp;"!A:A"),'结果表-1804'!B19,INDIRECT("'"&amp;C4&amp;"'"&amp;"!B:B"))</f>
        <v>440.32150000000001</v>
      </c>
      <c r="D19" s="135">
        <f ca="1">SUMIF(INDIRECT("'"&amp;D4&amp;"'"&amp;"!A:A"),'结果表-1804'!B19,INDIRECT("'"&amp;D4&amp;"'"&amp;"!B:B"))</f>
        <v>290.20060000000001</v>
      </c>
      <c r="E19" s="1755" t="s">
        <v>1292</v>
      </c>
      <c r="F19" s="1756" t="s">
        <v>1291</v>
      </c>
      <c r="G19" s="136">
        <f ca="1">ROUND(C19*$C$18+D19*$D$18,0)</f>
        <v>395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SUMIF(INDIRECT("'"&amp;C4&amp;"'"&amp;"!A:A"),'结果表-1804'!B20,INDIRECT("'"&amp;C4&amp;"'"&amp;"!B:B"))</f>
        <v>29824</v>
      </c>
      <c r="D20" s="138">
        <f ca="1">SUMIF(INDIRECT("'"&amp;D4&amp;"'"&amp;"!A:A"),'结果表-1804'!B20,INDIRECT("'"&amp;D4&amp;"'"&amp;"!B:B"))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0.51730044665655406</v>
      </c>
      <c r="E22" s="129"/>
      <c r="F22" s="129"/>
      <c r="G22" s="129"/>
      <c r="H22" s="129"/>
      <c r="I22" s="129"/>
    </row>
    <row r="23" spans="1:36" ht="13.5" thickBot="1">
      <c r="A23" s="1741"/>
      <c r="B23" s="1741"/>
      <c r="C23" s="1741"/>
      <c r="D23" s="1741"/>
      <c r="E23" s="129"/>
      <c r="F23" s="129"/>
      <c r="G23" s="129"/>
      <c r="H23" s="129"/>
      <c r="I23" s="129"/>
    </row>
    <row r="24" spans="1:36" ht="14.25">
      <c r="A24" s="3577" t="s">
        <v>1299</v>
      </c>
      <c r="B24" s="1756" t="s">
        <v>1291</v>
      </c>
      <c r="C24" s="136">
        <f>IF(B30=0,0,D30)</f>
        <v>0</v>
      </c>
      <c r="D24" s="1763"/>
      <c r="E24" s="129"/>
      <c r="F24" s="129"/>
      <c r="G24" s="129"/>
      <c r="H24" s="129"/>
      <c r="I24" s="129"/>
    </row>
    <row r="25" spans="1:36" ht="14.25">
      <c r="A25" s="3578"/>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3404</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597" t="s">
        <v>1312</v>
      </c>
      <c r="B36" s="1781" t="s">
        <v>1313</v>
      </c>
      <c r="C36" s="145"/>
      <c r="D36" s="1782"/>
      <c r="E36" s="1783"/>
      <c r="F36" s="1784"/>
      <c r="G36" s="129"/>
      <c r="H36" s="129"/>
      <c r="I36" s="129"/>
    </row>
    <row r="37" spans="1:15" ht="15.75" thickBot="1">
      <c r="A37" s="3598"/>
      <c r="B37" s="1668" t="s">
        <v>1314</v>
      </c>
      <c r="C37" s="147"/>
      <c r="D37" s="1133"/>
      <c r="E37" s="1133"/>
      <c r="F37" s="1784"/>
      <c r="G37" s="129"/>
      <c r="H37" s="129"/>
      <c r="I37" s="129"/>
    </row>
    <row r="38" spans="1:15" ht="15.75" thickBot="1">
      <c r="A38" s="3599"/>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4" t="s">
        <v>1326</v>
      </c>
      <c r="B45" s="3575"/>
      <c r="C45" s="3576"/>
      <c r="D45" s="155">
        <f ca="1">ROUND(H101*F45,0)</f>
        <v>395</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0"/>
      <c r="I46" s="159"/>
      <c r="J46" s="3455">
        <v>1</v>
      </c>
      <c r="K46" s="3633" t="s">
        <v>1331</v>
      </c>
      <c r="L46" s="3633"/>
      <c r="M46" s="3653"/>
      <c r="N46" s="3653"/>
      <c r="O46" s="3653"/>
    </row>
    <row r="47" spans="1:15" ht="12" customHeight="1">
      <c r="A47" s="160" t="s">
        <v>1332</v>
      </c>
      <c r="B47" s="161"/>
      <c r="C47" s="162"/>
      <c r="D47" s="1081" t="s">
        <v>1333</v>
      </c>
      <c r="E47" s="302" t="s">
        <v>1334</v>
      </c>
      <c r="F47" s="163" t="s">
        <v>1335</v>
      </c>
      <c r="G47" s="2540" t="s">
        <v>1336</v>
      </c>
      <c r="H47" s="2541"/>
      <c r="I47" s="159"/>
      <c r="J47" s="3455">
        <v>2</v>
      </c>
      <c r="K47" s="3633" t="s">
        <v>1337</v>
      </c>
      <c r="L47" s="3633"/>
      <c r="M47" s="3654">
        <f>'数据-取费表'!B2</f>
        <v>45506</v>
      </c>
      <c r="N47" s="3654"/>
      <c r="O47" s="3654"/>
    </row>
    <row r="48" spans="1:15" ht="25.5">
      <c r="A48" s="3602" t="s">
        <v>1338</v>
      </c>
      <c r="B48" s="3585"/>
      <c r="C48" s="3585"/>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3440</v>
      </c>
      <c r="I48" s="1800"/>
      <c r="J48" s="3455">
        <v>3</v>
      </c>
      <c r="K48" s="3633" t="s">
        <v>1340</v>
      </c>
      <c r="L48" s="3633"/>
      <c r="M48" s="3655">
        <f ca="1">H101</f>
        <v>395</v>
      </c>
      <c r="N48" s="3655"/>
      <c r="O48" s="3655"/>
    </row>
    <row r="49" spans="1:35" ht="25.5" customHeight="1">
      <c r="A49" s="3464" t="s">
        <v>1341</v>
      </c>
      <c r="B49" s="3569" t="s">
        <v>1342</v>
      </c>
      <c r="C49" s="3569"/>
      <c r="D49" s="1584">
        <v>0</v>
      </c>
      <c r="E49" s="324" t="s">
        <v>1343</v>
      </c>
      <c r="F49" s="3447" t="s">
        <v>28</v>
      </c>
      <c r="G49" s="3639"/>
      <c r="H49" s="2304" t="s">
        <v>2133</v>
      </c>
      <c r="I49" s="2305"/>
      <c r="J49" s="3455">
        <v>4</v>
      </c>
      <c r="K49" s="3633" t="str">
        <f>IF(项目基本情况!E8="房地产抵押价值","房地产抵押价值","抵押担保权已注销时的房地产抵押价值")</f>
        <v>房地产抵押价值</v>
      </c>
      <c r="L49" s="3633"/>
      <c r="M49" s="3655">
        <f ca="1">IF(项目基本情况!E8="房地产抵押价值",H107,H109)</f>
        <v>395</v>
      </c>
      <c r="N49" s="3655"/>
      <c r="O49" s="3655"/>
    </row>
    <row r="50" spans="1:35" ht="25.5" customHeight="1">
      <c r="A50" s="2545"/>
      <c r="B50" s="3569" t="s">
        <v>1344</v>
      </c>
      <c r="C50" s="3569"/>
      <c r="D50" s="2546"/>
      <c r="E50" s="332"/>
      <c r="F50" s="3447"/>
      <c r="G50" s="3640"/>
      <c r="H50" s="2306" t="s">
        <v>2134</v>
      </c>
      <c r="I50" s="2305"/>
      <c r="J50" s="3652" t="s">
        <v>1345</v>
      </c>
      <c r="K50" s="3652"/>
      <c r="L50" s="3652"/>
      <c r="M50" s="3652"/>
      <c r="N50" s="3652"/>
      <c r="O50" s="3652"/>
    </row>
    <row r="51" spans="1:35" ht="20.45" customHeight="1">
      <c r="A51" s="2547"/>
      <c r="B51" s="3569" t="s">
        <v>1346</v>
      </c>
      <c r="C51" s="3569"/>
      <c r="D51" s="1081"/>
      <c r="E51" s="327"/>
      <c r="F51" s="3447"/>
      <c r="G51" s="3641"/>
      <c r="H51" s="2306" t="s">
        <v>2135</v>
      </c>
      <c r="I51" s="2305"/>
      <c r="J51" s="3449" t="s">
        <v>1347</v>
      </c>
      <c r="K51" s="3633" t="s">
        <v>1348</v>
      </c>
      <c r="L51" s="3633"/>
      <c r="M51" s="3449" t="s">
        <v>1349</v>
      </c>
      <c r="N51" s="3449" t="s">
        <v>1350</v>
      </c>
      <c r="O51" s="3449" t="s">
        <v>1351</v>
      </c>
    </row>
    <row r="52" spans="1:35" ht="24" customHeight="1">
      <c r="A52" s="3468" t="s">
        <v>1352</v>
      </c>
      <c r="B52" s="3569" t="s">
        <v>1353</v>
      </c>
      <c r="C52" s="3569"/>
      <c r="D52" s="1081">
        <f ca="1">ROUND(D45*'数据-取费表'!B41/(1+'数据-取费表'!C42),0)</f>
        <v>21</v>
      </c>
      <c r="E52" s="3465" t="s">
        <v>1354</v>
      </c>
      <c r="F52" s="2548">
        <f>'数据-取费表'!B41</f>
        <v>5.6000000000000001E-2</v>
      </c>
      <c r="G52" s="2549"/>
      <c r="H52" s="2538"/>
      <c r="I52" s="1801"/>
      <c r="J52" s="3455">
        <v>1</v>
      </c>
      <c r="K52" s="3634" t="s">
        <v>1355</v>
      </c>
      <c r="L52" s="3634"/>
      <c r="M52" s="2519">
        <f ca="1">D48</f>
        <v>0</v>
      </c>
      <c r="N52" s="3455" t="str">
        <f>E48</f>
        <v>(销售额-原购置价)×税（费）率</v>
      </c>
      <c r="O52" s="2520">
        <f>F48</f>
        <v>5.6000000000000001E-2</v>
      </c>
    </row>
    <row r="53" spans="1:35" ht="12" customHeight="1">
      <c r="A53" s="3468" t="s">
        <v>1356</v>
      </c>
      <c r="B53" s="3595" t="s">
        <v>2290</v>
      </c>
      <c r="C53" s="3596"/>
      <c r="D53" s="1081">
        <f ca="1">ROUND(D45*'数据-取费表'!B41/(1+'数据-取费表'!C42),0)</f>
        <v>21</v>
      </c>
      <c r="E53" s="3465" t="s">
        <v>1354</v>
      </c>
      <c r="F53" s="2548">
        <f>'数据-取费表'!B41</f>
        <v>5.6000000000000001E-2</v>
      </c>
      <c r="G53" s="2549"/>
      <c r="H53" s="2538"/>
      <c r="I53" s="1801"/>
      <c r="J53" s="3455">
        <v>2</v>
      </c>
      <c r="K53" s="3634" t="s">
        <v>1357</v>
      </c>
      <c r="L53" s="3634"/>
      <c r="M53" s="2519">
        <f t="shared" ref="M53:O54" ca="1" si="0">D55</f>
        <v>0</v>
      </c>
      <c r="N53" s="3455" t="str">
        <f t="shared" si="0"/>
        <v>销售额×税（费）率</v>
      </c>
      <c r="O53" s="2520">
        <f t="shared" si="0"/>
        <v>5.0000000000000001E-4</v>
      </c>
    </row>
    <row r="54" spans="1:35" ht="12" customHeight="1">
      <c r="A54" s="3468" t="s">
        <v>1358</v>
      </c>
      <c r="B54" s="3595" t="s">
        <v>2291</v>
      </c>
      <c r="C54" s="3596"/>
      <c r="D54" s="1081">
        <f ca="1">C68</f>
        <v>0</v>
      </c>
      <c r="E54" s="327" t="s">
        <v>1359</v>
      </c>
      <c r="F54" s="2548">
        <f>'数据-取费表'!B41</f>
        <v>5.6000000000000001E-2</v>
      </c>
      <c r="G54" s="2549"/>
      <c r="H54" s="2550"/>
      <c r="I54" s="1801"/>
      <c r="J54" s="3455">
        <v>3</v>
      </c>
      <c r="K54" s="3634" t="s">
        <v>1360</v>
      </c>
      <c r="L54" s="3634"/>
      <c r="M54" s="2519">
        <f t="shared" ca="1" si="0"/>
        <v>0</v>
      </c>
      <c r="N54" s="3455" t="str">
        <f t="shared" si="0"/>
        <v>增值额×税（费）率</v>
      </c>
      <c r="O54" s="2521" t="str">
        <f t="shared" si="0"/>
        <v>——</v>
      </c>
    </row>
    <row r="55" spans="1:35" ht="24" customHeight="1">
      <c r="A55" s="3584" t="s">
        <v>1361</v>
      </c>
      <c r="B55" s="3585"/>
      <c r="C55" s="3585"/>
      <c r="D55" s="3450">
        <f ca="1">IF(H55="个人住宅",0,ROUND(D45*I55,0))</f>
        <v>0</v>
      </c>
      <c r="E55" s="3465" t="s">
        <v>1362</v>
      </c>
      <c r="F55" s="2548">
        <f>IF(H55="正常",I55,"免征")</f>
        <v>5.0000000000000001E-4</v>
      </c>
      <c r="G55" s="2549"/>
      <c r="H55" s="2544" t="s">
        <v>3400</v>
      </c>
      <c r="I55" s="165">
        <f>'数据-取费表'!B49</f>
        <v>5.0000000000000001E-4</v>
      </c>
      <c r="J55" s="3455" t="str">
        <f>IF(H59="非个人房产","",4)</f>
        <v/>
      </c>
      <c r="K55" s="3634" t="str">
        <f>IF(H59="非个人房产","——","个人所得税")</f>
        <v>——</v>
      </c>
      <c r="L55" s="3634"/>
      <c r="M55" s="2522" t="str">
        <f>D59</f>
        <v>——</v>
      </c>
      <c r="N55" s="3456" t="str">
        <f>E59</f>
        <v>——</v>
      </c>
      <c r="O55" s="2523" t="str">
        <f>F59</f>
        <v>——</v>
      </c>
    </row>
    <row r="56" spans="1:35" ht="24.75">
      <c r="A56" s="3584" t="s">
        <v>1363</v>
      </c>
      <c r="B56" s="3585"/>
      <c r="C56" s="3585"/>
      <c r="D56" s="3450">
        <f ca="1">IF(H56="个人住宅",D57,D58)</f>
        <v>0</v>
      </c>
      <c r="E56" s="3465" t="s">
        <v>1364</v>
      </c>
      <c r="F56" s="2548" t="str">
        <f>IF(H56="正常",F58,"免征")</f>
        <v>——</v>
      </c>
      <c r="G56" s="2551" t="s">
        <v>1365</v>
      </c>
      <c r="H56" s="2552" t="s">
        <v>3400</v>
      </c>
      <c r="I56" s="1802"/>
      <c r="J56" s="3455" t="str">
        <f>IF(项目基本情况!K6="上海银行",IF(J55="",4,J55+1),"")</f>
        <v/>
      </c>
      <c r="K56" s="3657" t="str">
        <f>IF(项目基本情况!K6="上海银行","其他处置费用","")</f>
        <v/>
      </c>
      <c r="L56" s="3658"/>
      <c r="M56" s="2519" t="str">
        <f>IF(项目基本情况!K6="上海银行",M69,"")</f>
        <v/>
      </c>
      <c r="N56" s="3657" t="str">
        <f>IF(项目基本情况!K6="上海银行","包含处置中涉及的律师、诉讼、拍卖、评估等费用","")</f>
        <v/>
      </c>
      <c r="O56" s="3660"/>
    </row>
    <row r="57" spans="1:35" ht="12.75">
      <c r="A57" s="3468" t="s">
        <v>1341</v>
      </c>
      <c r="B57" s="3595" t="s">
        <v>1366</v>
      </c>
      <c r="C57" s="3596"/>
      <c r="D57" s="1584">
        <v>0</v>
      </c>
      <c r="E57" s="324" t="s">
        <v>1343</v>
      </c>
      <c r="F57" s="302"/>
      <c r="G57" s="2549"/>
      <c r="H57" s="2553"/>
      <c r="I57" s="1802"/>
      <c r="J57" s="3634">
        <f>IF(AND(J55="",J56=""),4,IF(项目基本情况!K6="上海银行",'结果表-1804'!J56+1,'结果表-1804'!J55+1))</f>
        <v>4</v>
      </c>
      <c r="K57" s="3634" t="s">
        <v>1367</v>
      </c>
      <c r="L57" s="2524" t="s">
        <v>1368</v>
      </c>
      <c r="M57" s="2525"/>
      <c r="N57" s="2526">
        <f ca="1">SUMIF(M52:M56,"&lt;9e307")</f>
        <v>0</v>
      </c>
      <c r="O57" s="2527"/>
      <c r="P57" s="2684">
        <f ca="1">N57/M49</f>
        <v>0</v>
      </c>
    </row>
    <row r="58" spans="1:35" ht="24.75">
      <c r="A58" s="3468" t="s">
        <v>1352</v>
      </c>
      <c r="B58" s="3595" t="s">
        <v>1369</v>
      </c>
      <c r="C58" s="3569"/>
      <c r="D58" s="3450">
        <f ca="1">IF(H58="转让取得",C81,C97)</f>
        <v>0</v>
      </c>
      <c r="E58" s="3465" t="s">
        <v>1364</v>
      </c>
      <c r="F58" s="302" t="s">
        <v>28</v>
      </c>
      <c r="G58" s="2549"/>
      <c r="H58" s="2552" t="s">
        <v>3441</v>
      </c>
      <c r="I58" s="1802"/>
      <c r="J58" s="3634"/>
      <c r="K58" s="3634"/>
      <c r="L58" s="2524" t="s">
        <v>1370</v>
      </c>
      <c r="M58" s="2528"/>
      <c r="N58" s="2529" t="str">
        <f ca="1">NUMBERSTRING(INT(N57*10000),2)&amp;"元整"</f>
        <v>零元整</v>
      </c>
      <c r="O58" s="2530"/>
    </row>
    <row r="59" spans="1:35" ht="24.75" thickBot="1">
      <c r="A59" s="3637" t="s">
        <v>1371</v>
      </c>
      <c r="B59" s="3638"/>
      <c r="C59" s="363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3442</v>
      </c>
      <c r="I59" s="2307" t="s">
        <v>2136</v>
      </c>
      <c r="J59" s="3635">
        <f>J57+1</f>
        <v>5</v>
      </c>
      <c r="K59" s="3634" t="s">
        <v>1372</v>
      </c>
      <c r="L59" s="3455" t="s">
        <v>1368</v>
      </c>
      <c r="M59" s="2531"/>
      <c r="N59" s="2532">
        <f ca="1">M49-N57</f>
        <v>395</v>
      </c>
      <c r="O59" s="2533"/>
    </row>
    <row r="60" spans="1:35" ht="12" customHeight="1">
      <c r="A60" s="1803"/>
      <c r="B60" s="1741"/>
      <c r="C60" s="1741"/>
      <c r="D60" s="1741"/>
      <c r="E60" s="1572"/>
      <c r="F60" s="1802"/>
      <c r="G60" s="1802"/>
      <c r="H60" s="1804"/>
      <c r="I60" s="129"/>
      <c r="J60" s="3636"/>
      <c r="K60" s="3634"/>
      <c r="L60" s="2524" t="s">
        <v>1370</v>
      </c>
      <c r="M60" s="2528"/>
      <c r="N60" s="2529" t="str">
        <f ca="1">NUMBERSTRING(INT(N59*10000),2)&amp;"元整"</f>
        <v>叁佰玖拾伍万元整</v>
      </c>
      <c r="O60" s="2530"/>
    </row>
    <row r="61" spans="1:35" ht="13.5" thickBot="1">
      <c r="A61" s="3582" t="s">
        <v>1373</v>
      </c>
      <c r="B61" s="3582"/>
      <c r="C61" s="3582"/>
      <c r="D61" s="3582"/>
      <c r="E61" s="3582"/>
      <c r="F61" s="1802"/>
      <c r="G61" s="1802"/>
      <c r="H61" s="1804"/>
      <c r="I61" s="129"/>
      <c r="J61" s="3455">
        <f>J59+1</f>
        <v>6</v>
      </c>
      <c r="K61" s="3634" t="s">
        <v>1374</v>
      </c>
      <c r="L61" s="3634"/>
      <c r="M61" s="2534"/>
      <c r="N61" s="2535">
        <f ca="1">ROUND(N59*10000/'数据-汇总表'!E3,0)</f>
        <v>5744</v>
      </c>
      <c r="O61" s="2536"/>
    </row>
    <row r="62" spans="1:35" ht="12.75">
      <c r="A62" s="3600" t="s">
        <v>1375</v>
      </c>
      <c r="B62" s="3601"/>
      <c r="C62" s="3460"/>
      <c r="D62" s="3460" t="s">
        <v>1376</v>
      </c>
      <c r="E62" s="166" t="s">
        <v>1377</v>
      </c>
      <c r="F62" s="1802"/>
      <c r="G62" s="1802"/>
      <c r="H62" s="1804"/>
      <c r="I62" s="129"/>
    </row>
    <row r="63" spans="1:35" ht="12.75">
      <c r="A63" s="173" t="s">
        <v>330</v>
      </c>
      <c r="B63" s="167" t="s">
        <v>1378</v>
      </c>
      <c r="C63" s="2558">
        <f ca="1">ROUND((C64+C65)/(1+'数据-取费表'!C42),0)</f>
        <v>376</v>
      </c>
      <c r="D63" s="167"/>
      <c r="E63" s="168"/>
      <c r="F63" s="1802"/>
      <c r="G63" s="1802"/>
      <c r="H63" s="1804"/>
      <c r="I63" s="129"/>
      <c r="J63" s="3659" t="s">
        <v>1379</v>
      </c>
      <c r="K63" s="3451" t="s">
        <v>1380</v>
      </c>
      <c r="L63" s="3451">
        <f ca="1">IF(M49&gt;10000,M49*0.5%,IF(AND(M49&gt;1000,M49&lt;=10000),M49*1%,IF(AND(M49&gt;100,M49&lt;=1000),M49*3%,IF(AND(M49&gt;10,M49&lt;=100),M49*5%,M49*8%))))</f>
        <v>11.85</v>
      </c>
      <c r="M63" s="302">
        <f ca="1">ROUND(L63,1)</f>
        <v>11.9</v>
      </c>
      <c r="N63" s="2537"/>
      <c r="Z63" s="1746"/>
      <c r="AI63" s="1747"/>
    </row>
    <row r="64" spans="1:35" ht="14.25" customHeight="1">
      <c r="A64" s="169" t="s">
        <v>325</v>
      </c>
      <c r="B64" s="170" t="s">
        <v>1381</v>
      </c>
      <c r="C64" s="2559">
        <f ca="1">D45</f>
        <v>395</v>
      </c>
      <c r="D64" s="170" t="s">
        <v>26</v>
      </c>
      <c r="E64" s="172"/>
      <c r="F64" s="1802"/>
      <c r="G64" s="1802"/>
      <c r="H64" s="1804"/>
      <c r="I64" s="129"/>
      <c r="J64" s="3659"/>
      <c r="K64" s="3451" t="s">
        <v>1382</v>
      </c>
      <c r="L64" s="3451">
        <f ca="1">IF(M49&gt;2000,M49*0.5%,IF(AND(M49&gt;1000,M49&lt;=2000),M49*0.6%,IF(AND(M49&gt;500,M49&lt;=1000),M49*0.7%,IF(AND(M49&gt;200,M49&lt;=500),M49*0.8%,IF(AND(M49&gt;100,M49&lt;=200),M49*0.9%,IF(AND(M49&gt;50,M49&lt;=100),M49*1%,IF(AND(M49&gt;20,M49&lt;=50),M49*1.5%,IF(AND(M49&gt;10,M49&lt;=20),M49*2%,IF(AND(M49&gt;1,M49&lt;=10),M49*2.5%)))))))))</f>
        <v>3.16</v>
      </c>
      <c r="M64" s="302">
        <f t="shared" ref="M64:M65" ca="1" si="1">ROUND(L64,1)</f>
        <v>3.2</v>
      </c>
      <c r="N64" s="2538" t="s">
        <v>1383</v>
      </c>
      <c r="Z64" s="1746"/>
      <c r="AI64" s="1747"/>
    </row>
    <row r="65" spans="1:35" ht="14.25" customHeight="1">
      <c r="A65" s="169" t="s">
        <v>326</v>
      </c>
      <c r="B65" s="170" t="s">
        <v>1384</v>
      </c>
      <c r="C65" s="2560"/>
      <c r="D65" s="170"/>
      <c r="E65" s="172"/>
      <c r="F65" s="1802"/>
      <c r="G65" s="1802"/>
      <c r="H65" s="1804"/>
      <c r="I65" s="129"/>
      <c r="J65" s="3659"/>
      <c r="K65" s="3451" t="s">
        <v>1385</v>
      </c>
      <c r="L65" s="3451">
        <f ca="1">IF(M49&gt;1000,M49*0.1%,IF(AND(M49&gt;500,M49&lt;=1000),M49*0.5%,IF(AND(M49&gt;50,M49&lt;=500),M49*1%,IF(AND(M49&gt;1,M49&lt;=50),M49*1.5%))))</f>
        <v>3.95</v>
      </c>
      <c r="M65" s="302">
        <f t="shared" ca="1" si="1"/>
        <v>4</v>
      </c>
      <c r="N65" s="2538" t="s">
        <v>1383</v>
      </c>
      <c r="Z65" s="1746"/>
      <c r="AI65" s="1747"/>
    </row>
    <row r="66" spans="1:35" ht="14.25" customHeight="1">
      <c r="A66" s="173" t="s">
        <v>327</v>
      </c>
      <c r="B66" s="174" t="s">
        <v>1386</v>
      </c>
      <c r="C66" s="2561">
        <f>ROUND(6002339/1.05/10000,0)</f>
        <v>572</v>
      </c>
      <c r="D66" s="174" t="s">
        <v>26</v>
      </c>
      <c r="E66" s="1332" t="s">
        <v>671</v>
      </c>
      <c r="F66" s="1802"/>
      <c r="G66" s="1802"/>
      <c r="H66" s="1804"/>
      <c r="I66" s="129"/>
      <c r="J66" s="3659"/>
      <c r="K66" s="3451" t="s">
        <v>1387</v>
      </c>
      <c r="L66" s="3451">
        <f ca="1">M49*0.5%</f>
        <v>1.9750000000000001</v>
      </c>
      <c r="M66" s="302">
        <f ca="1">IF(L66&gt;0.5,0.5,ROUND(L66,0))</f>
        <v>0.5</v>
      </c>
      <c r="N66" s="2538" t="s">
        <v>1388</v>
      </c>
      <c r="Z66" s="1746"/>
      <c r="AI66" s="1747"/>
    </row>
    <row r="67" spans="1:35" ht="14.25" customHeight="1">
      <c r="A67" s="173" t="s">
        <v>328</v>
      </c>
      <c r="B67" s="174" t="s">
        <v>1389</v>
      </c>
      <c r="C67" s="2562">
        <f ca="1">C63-C66</f>
        <v>-196</v>
      </c>
      <c r="D67" s="170" t="s">
        <v>26</v>
      </c>
      <c r="E67" s="172"/>
      <c r="F67" s="1802"/>
      <c r="G67" s="1802"/>
      <c r="H67" s="1804"/>
      <c r="I67" s="129"/>
      <c r="J67" s="3659"/>
      <c r="K67" s="3451" t="s">
        <v>1390</v>
      </c>
      <c r="L67" s="3451">
        <f ca="1">IF(M49&gt;=10000,(8.25+(M49-10000)*0.01%),IF(AND(M49&gt;=8000,M49&lt;10000),(7.85+(M49-8000)*0.02%),IF(AND(M49&gt;=5000,M49&lt;8000),(6.65+(M49-5000)*0.04%),IF(AND(M49&gt;=2000,M49&lt;5000),(4.25+(PM49-2000)*0.08%),IF(AND(M49&gt;=1000,M49&lt;2000),(2.75+(M49-1000)*0.15%),IF(AND(M49&gt;=100,M49&lt;1000),(0.5+(M49-100)*0.25%),IF(AND(M49&gt;0,M49&lt;100),M49*0.5%)))))))</f>
        <v>1.2375</v>
      </c>
      <c r="M67" s="302">
        <f ca="1">ROUND(L67*0.9,1)</f>
        <v>1.1000000000000001</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59"/>
      <c r="K68" s="3451" t="s">
        <v>1392</v>
      </c>
      <c r="L68" s="3451">
        <f ca="1">IF(M49&gt;10000,M49*0.5%,IF(AND(M49&gt;5000,M49&lt;=10000),M49*1%,IF(AND(M49&gt;1000,M49&lt;=5000),M49*2%,IF(AND(M49&gt;200,M49&lt;=1000),M49*3%,M49*5%))))</f>
        <v>11.85</v>
      </c>
      <c r="M68" s="302">
        <f ca="1">ROUND(L68,1)</f>
        <v>11.9</v>
      </c>
      <c r="N68" s="2537"/>
      <c r="Z68" s="1746"/>
      <c r="AI68" s="1747"/>
    </row>
    <row r="69" spans="1:35" s="1766" customFormat="1" ht="16.5" customHeight="1">
      <c r="A69" s="1805"/>
      <c r="B69" s="1806"/>
      <c r="C69" s="1807"/>
      <c r="D69" s="1808"/>
      <c r="E69" s="1809"/>
      <c r="F69" s="1572"/>
      <c r="G69" s="1572"/>
      <c r="H69" s="1571"/>
      <c r="I69" s="1741"/>
      <c r="J69" s="3659"/>
      <c r="K69" s="3451" t="s">
        <v>1393</v>
      </c>
      <c r="L69" s="3451"/>
      <c r="M69" s="302">
        <f ca="1">ROUND(SUM(M63:M68),0)</f>
        <v>33</v>
      </c>
      <c r="N69" s="2539">
        <f ca="1">M69/M49</f>
        <v>8.3544303797468356E-2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1" t="s">
        <v>1394</v>
      </c>
      <c r="B70" s="3622"/>
      <c r="C70" s="3622"/>
      <c r="D70" s="3622"/>
      <c r="E70" s="3622"/>
      <c r="F70" s="3622"/>
      <c r="G70" s="3622"/>
      <c r="H70" s="3622"/>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0" t="s">
        <v>1375</v>
      </c>
      <c r="B71" s="360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376</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564</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562</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C66</f>
        <v>572</v>
      </c>
      <c r="D75" s="170" t="s">
        <v>26</v>
      </c>
      <c r="E75" s="184" t="s">
        <v>1399</v>
      </c>
      <c r="F75" s="2566" t="s">
        <v>3464</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5" t="s">
        <v>1402</v>
      </c>
      <c r="F76" s="3569"/>
      <c r="G76" s="3569"/>
      <c r="H76" s="36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17</v>
      </c>
      <c r="D77" s="2569">
        <f>'数据-取费表'!B48+'数据-取费表'!B49</f>
        <v>3.0499999999999999E-2</v>
      </c>
      <c r="E77" s="3450" t="s">
        <v>1404</v>
      </c>
      <c r="F77" s="186"/>
      <c r="G77" s="1816" t="s">
        <v>3465</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2</v>
      </c>
      <c r="D78" s="2571">
        <f>'数据-取费表'!B43</f>
        <v>6.000000000000001E-3</v>
      </c>
      <c r="E78" s="3579" t="s">
        <v>1406</v>
      </c>
      <c r="F78" s="3580"/>
      <c r="G78" s="3580"/>
      <c r="H78" s="358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-188</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1" t="s">
        <v>1410</v>
      </c>
      <c r="B83" s="3622"/>
      <c r="C83" s="3622"/>
      <c r="D83" s="3622"/>
      <c r="E83" s="3622"/>
      <c r="F83" s="3622"/>
      <c r="G83" s="3622"/>
      <c r="H83" s="36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0" t="s">
        <v>1375</v>
      </c>
      <c r="B84" s="360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376</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2</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1" t="s">
        <v>2128</v>
      </c>
      <c r="H90" s="3662"/>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79" t="s">
        <v>1419</v>
      </c>
      <c r="F91" s="3580"/>
      <c r="G91" s="3580"/>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79" t="s">
        <v>1422</v>
      </c>
      <c r="F92" s="3580"/>
      <c r="G92" s="3580"/>
      <c r="H92" s="3589"/>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2</v>
      </c>
      <c r="D93" s="2571">
        <f>'数据-取费表'!B43</f>
        <v>6.000000000000001E-3</v>
      </c>
      <c r="E93" s="3579" t="s">
        <v>1406</v>
      </c>
      <c r="F93" s="3580"/>
      <c r="G93" s="3580"/>
      <c r="H93" s="358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0" t="s">
        <v>1426</v>
      </c>
      <c r="F94" s="3591"/>
      <c r="G94" s="3591"/>
      <c r="H94" s="359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374</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187</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79" t="str">
        <f>C4</f>
        <v>比较法-办公-1804</v>
      </c>
      <c r="D101" s="2580" t="str">
        <f>D4</f>
        <v>收益法-1804</v>
      </c>
      <c r="E101" s="3656" t="s">
        <v>1431</v>
      </c>
      <c r="F101" s="3613"/>
      <c r="G101" s="1821" t="s">
        <v>1432</v>
      </c>
      <c r="H101" s="2589">
        <f ca="1">H118</f>
        <v>395</v>
      </c>
      <c r="I101" s="129"/>
    </row>
    <row r="102" spans="1:35" ht="18.75" customHeight="1">
      <c r="A102" s="3615" t="s">
        <v>1433</v>
      </c>
      <c r="B102" s="2578" t="s">
        <v>1432</v>
      </c>
      <c r="C102" s="2579">
        <f ca="1">IF(D32="楼面单价",ROUND(C19,0),C19)</f>
        <v>440</v>
      </c>
      <c r="D102" s="2580">
        <f ca="1">IF(D32="楼面单价",ROUND(D19,0),D19)</f>
        <v>290</v>
      </c>
      <c r="E102" s="3656"/>
      <c r="F102" s="3613"/>
      <c r="G102" s="1821" t="s">
        <v>1434</v>
      </c>
      <c r="H102" s="2549">
        <f ca="1">I118</f>
        <v>26774</v>
      </c>
      <c r="I102" s="129"/>
    </row>
    <row r="103" spans="1:35" ht="42.75" customHeight="1">
      <c r="A103" s="3615"/>
      <c r="B103" s="2578" t="s">
        <v>1434</v>
      </c>
      <c r="C103" s="2581">
        <f ca="1">C20</f>
        <v>29824</v>
      </c>
      <c r="D103" s="2582">
        <f ca="1">D20</f>
        <v>19656</v>
      </c>
      <c r="E103" s="3650" t="s">
        <v>1435</v>
      </c>
      <c r="F103" s="3651"/>
      <c r="G103" s="1822" t="s">
        <v>1436</v>
      </c>
      <c r="H103" s="2589">
        <f>IF(D36="正常操作",H104+H105+H106,H105+H106)</f>
        <v>0</v>
      </c>
      <c r="I103" s="129"/>
    </row>
    <row r="104" spans="1:35" ht="18.75" customHeight="1">
      <c r="A104" s="3615" t="s">
        <v>1437</v>
      </c>
      <c r="B104" s="2583" t="s">
        <v>1432</v>
      </c>
      <c r="C104" s="2584">
        <f ca="1">H118</f>
        <v>395</v>
      </c>
      <c r="D104" s="2585"/>
      <c r="E104" s="1668" t="s">
        <v>1438</v>
      </c>
      <c r="F104" s="1660"/>
      <c r="G104" s="1822" t="s">
        <v>1436</v>
      </c>
      <c r="H104" s="2590">
        <f>IF(D36="同一抵押权人同一抵押物续贷",C36&amp;"（续贷，未扣减，详见特别提示）",C36)</f>
        <v>0</v>
      </c>
      <c r="I104" s="129"/>
    </row>
    <row r="105" spans="1:35" ht="18.75" customHeight="1" thickBot="1">
      <c r="A105" s="3616"/>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2" t="str">
        <f>IF(项目基本情况!E8="已注销","——","3.房地产抵押价值")</f>
        <v>3.房地产抵押价值</v>
      </c>
      <c r="F107" s="3613"/>
      <c r="G107" s="1821" t="s">
        <v>1432</v>
      </c>
      <c r="H107" s="2589">
        <f ca="1">IF(E107="——","——",H101-H103)</f>
        <v>395</v>
      </c>
      <c r="I107" s="129"/>
    </row>
    <row r="108" spans="1:35" ht="18.75" customHeight="1">
      <c r="A108" s="129"/>
      <c r="B108" s="129"/>
      <c r="C108" s="129"/>
      <c r="D108" s="129"/>
      <c r="E108" s="3612"/>
      <c r="F108" s="3613"/>
      <c r="G108" s="1821" t="s">
        <v>1434</v>
      </c>
      <c r="H108" s="2549">
        <f ca="1">IF(H107=H101,H102,ROUND(H107*10000/'数据-汇总表'!E3,0))</f>
        <v>26774</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1" t="s">
        <v>1432</v>
      </c>
      <c r="H109" s="2592" t="str">
        <f>IF(E109="——","——",H101-H105-H106)</f>
        <v>——</v>
      </c>
      <c r="I109" s="129"/>
    </row>
    <row r="110" spans="1:35" ht="18.75" customHeight="1">
      <c r="A110" s="129"/>
      <c r="B110" s="129"/>
      <c r="C110" s="129"/>
      <c r="D110" s="129"/>
      <c r="E110" s="3612"/>
      <c r="F110" s="3613"/>
      <c r="G110" s="1821" t="s">
        <v>1434</v>
      </c>
      <c r="H110" s="2549"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14"/>
      <c r="G111" s="1821" t="s">
        <v>1432</v>
      </c>
      <c r="H111" s="2589">
        <f ca="1">IF(E111="——","——",N59)</f>
        <v>395</v>
      </c>
      <c r="I111" s="129"/>
    </row>
    <row r="112" spans="1:35" ht="18.75" customHeight="1" thickBot="1">
      <c r="A112" s="129"/>
      <c r="B112" s="129"/>
      <c r="C112" s="129"/>
      <c r="D112" s="129"/>
      <c r="E112" s="3645"/>
      <c r="F112" s="3646"/>
      <c r="G112" s="1824" t="s">
        <v>1434</v>
      </c>
      <c r="H112" s="2593">
        <f ca="1">IF(E111="——","——",N61)</f>
        <v>5744</v>
      </c>
      <c r="I112" s="129"/>
    </row>
    <row r="113" spans="1:27" ht="18.75" customHeight="1">
      <c r="A113" s="129"/>
      <c r="B113" s="129"/>
      <c r="C113" s="129"/>
      <c r="D113" s="129"/>
      <c r="E113" s="3617" t="s">
        <v>1440</v>
      </c>
      <c r="F113" s="3617"/>
      <c r="G113" s="3617"/>
      <c r="H113" s="3617"/>
      <c r="I113" s="129"/>
    </row>
    <row r="114" spans="1:27" ht="3.75" customHeight="1">
      <c r="A114" s="1741"/>
      <c r="B114" s="1741"/>
      <c r="C114" s="1741"/>
      <c r="D114" s="1741"/>
      <c r="E114" s="1803"/>
      <c r="F114" s="1803"/>
      <c r="G114" s="1803"/>
      <c r="H114" s="1803"/>
      <c r="I114" s="1741"/>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3453" t="s">
        <v>1449</v>
      </c>
      <c r="E117" s="3453" t="s">
        <v>1450</v>
      </c>
      <c r="F117" s="3453" t="s">
        <v>1449</v>
      </c>
      <c r="G117" s="3453" t="s">
        <v>1451</v>
      </c>
      <c r="H117" s="3453" t="s">
        <v>1449</v>
      </c>
      <c r="I117" s="3453" t="s">
        <v>1451</v>
      </c>
    </row>
    <row r="118" spans="1:27" ht="24.75" customHeight="1">
      <c r="A118" s="2594" t="str">
        <f>项目基本情况!S2</f>
        <v>房地产</v>
      </c>
      <c r="B118" s="3453">
        <f>M18</f>
        <v>147.63999999999999</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395</v>
      </c>
      <c r="I118" s="3453">
        <f ca="1">ROUND(IF(D32="楼面单价",C32,H118*10000/B118),0)</f>
        <v>26774</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叁佰玖拾伍万元整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3" t="s">
        <v>1452</v>
      </c>
      <c r="B121" s="3624"/>
      <c r="C121" s="3625"/>
      <c r="D121" s="3623" t="str">
        <f>IF(D120=0,"零元整",NUMBERSTRING(INT(D120*10000),2)&amp;"元整")</f>
        <v>零元整</v>
      </c>
      <c r="E121" s="3624"/>
      <c r="F121" s="3624"/>
      <c r="G121" s="3624"/>
      <c r="H121" s="3624"/>
      <c r="I121" s="3625"/>
      <c r="AA121" s="723"/>
    </row>
    <row r="122" spans="1:27" ht="18.75" customHeight="1">
      <c r="A122" s="3614" t="str">
        <f>IF(项目基本情况!B9="房地产市场价值","",MID(E107,3,LEN(E107)-2))</f>
        <v>房地产抵押价值</v>
      </c>
      <c r="B122" s="3614"/>
      <c r="C122" s="3614"/>
      <c r="D122" s="3647">
        <f ca="1">H107</f>
        <v>395</v>
      </c>
      <c r="E122" s="3648"/>
      <c r="F122" s="3648"/>
      <c r="G122" s="3648"/>
      <c r="H122" s="3648"/>
      <c r="I122" s="3649"/>
      <c r="AA122" s="723"/>
    </row>
    <row r="123" spans="1:27" ht="18.75" customHeight="1">
      <c r="A123" s="3583" t="s">
        <v>1452</v>
      </c>
      <c r="B123" s="3583"/>
      <c r="C123" s="3583"/>
      <c r="D123" s="3623" t="str">
        <f ca="1">NUMBERSTRING(INT(D122*10000),2)&amp;"元整"</f>
        <v>叁佰玖拾伍万元整</v>
      </c>
      <c r="E123" s="3624"/>
      <c r="F123" s="3624"/>
      <c r="G123" s="3624"/>
      <c r="H123" s="3624"/>
      <c r="I123" s="3625"/>
      <c r="AA123" s="723"/>
    </row>
    <row r="124" spans="1:27" ht="18.75" customHeight="1">
      <c r="A124" s="3614" t="str">
        <f>IF(项目基本情况!B9="房地产市场价值","",MID(E109,3,LEN(E109)-2))</f>
        <v/>
      </c>
      <c r="B124" s="3614"/>
      <c r="C124" s="3614"/>
      <c r="D124" s="3647" t="str">
        <f>H109</f>
        <v>——</v>
      </c>
      <c r="E124" s="3648"/>
      <c r="F124" s="3648"/>
      <c r="G124" s="3648"/>
      <c r="H124" s="3648"/>
      <c r="I124" s="3649"/>
      <c r="AA124" s="723"/>
    </row>
    <row r="125" spans="1:27" ht="18.75" customHeight="1">
      <c r="A125" s="3583" t="s">
        <v>1452</v>
      </c>
      <c r="B125" s="3583"/>
      <c r="C125" s="3583"/>
      <c r="D125" s="3623" t="e">
        <f>NUMBERSTRING(INT(D124*10000),2)&amp;"元整"</f>
        <v>#VALUE!</v>
      </c>
      <c r="E125" s="3624"/>
      <c r="F125" s="3624"/>
      <c r="G125" s="3624"/>
      <c r="H125" s="3624"/>
      <c r="I125" s="3625"/>
      <c r="AA125" s="723"/>
    </row>
    <row r="126" spans="1:27" ht="18.75" customHeight="1">
      <c r="A126" s="3614" t="str">
        <f>IF(项目基本情况!B9="房地产市场价值","",MID(E111,3,LEN(E111)-2))</f>
        <v>抵押净值</v>
      </c>
      <c r="B126" s="3614"/>
      <c r="C126" s="3614"/>
      <c r="D126" s="3647">
        <f ca="1">H111</f>
        <v>395</v>
      </c>
      <c r="E126" s="3648"/>
      <c r="F126" s="3648"/>
      <c r="G126" s="3648"/>
      <c r="H126" s="3648"/>
      <c r="I126" s="3649"/>
      <c r="AA126" s="723"/>
    </row>
    <row r="127" spans="1:27" ht="18.75" customHeight="1">
      <c r="A127" s="3583" t="s">
        <v>1452</v>
      </c>
      <c r="B127" s="3583"/>
      <c r="C127" s="3583"/>
      <c r="D127" s="3623" t="str">
        <f ca="1">NUMBERSTRING(INT(D126*10000),2)&amp;"元整"</f>
        <v>叁佰玖拾伍万元整</v>
      </c>
      <c r="E127" s="3624"/>
      <c r="F127" s="3624"/>
      <c r="G127" s="3624"/>
      <c r="H127" s="3624"/>
      <c r="I127" s="3625"/>
      <c r="AA127" s="723"/>
    </row>
    <row r="128" spans="1:27" ht="21.75" customHeight="1">
      <c r="A128" s="3630" t="s">
        <v>1453</v>
      </c>
      <c r="B128" s="3630"/>
      <c r="C128" s="3630"/>
      <c r="D128" s="3630"/>
      <c r="E128" s="3630"/>
      <c r="F128" s="3630"/>
      <c r="G128" s="3630"/>
      <c r="H128" s="3630"/>
      <c r="I128" s="3630"/>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3" priority="10" stopIfTrue="1" operator="equal">
      <formula>25</formula>
    </cfRule>
  </conditionalFormatting>
  <conditionalFormatting sqref="C8:C9">
    <cfRule type="cellIs" dxfId="202" priority="9" stopIfTrue="1" operator="equal">
      <formula>15</formula>
    </cfRule>
  </conditionalFormatting>
  <conditionalFormatting sqref="C14:C16">
    <cfRule type="cellIs" dxfId="201" priority="8" stopIfTrue="1" operator="equal">
      <formula>30</formula>
    </cfRule>
  </conditionalFormatting>
  <conditionalFormatting sqref="D5:D7">
    <cfRule type="cellIs" dxfId="200" priority="7" stopIfTrue="1" operator="equal">
      <formula>25</formula>
    </cfRule>
  </conditionalFormatting>
  <conditionalFormatting sqref="D8:D9">
    <cfRule type="cellIs" dxfId="199" priority="6" stopIfTrue="1" operator="equal">
      <formula>15</formula>
    </cfRule>
  </conditionalFormatting>
  <conditionalFormatting sqref="C10:D13">
    <cfRule type="cellIs" dxfId="198" priority="5" stopIfTrue="1" operator="equal">
      <formula>15</formula>
    </cfRule>
  </conditionalFormatting>
  <conditionalFormatting sqref="D14:D16">
    <cfRule type="cellIs" dxfId="197" priority="4"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28" zoomScaleNormal="70" zoomScaleSheetLayoutView="100" workbookViewId="0">
      <selection activeCell="I48" sqref="I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1804</v>
      </c>
      <c r="E1" s="3426" t="s">
        <v>3397</v>
      </c>
      <c r="F1" s="1873" t="s">
        <v>3398</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440.32150000000001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147.63999999999999</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0" t="s">
        <v>1667</v>
      </c>
      <c r="D4" s="3711"/>
      <c r="E4" s="3712" t="s">
        <v>1668</v>
      </c>
      <c r="F4" s="3713"/>
      <c r="G4" s="3710" t="s">
        <v>1669</v>
      </c>
      <c r="H4" s="3711"/>
      <c r="I4" s="3710" t="s">
        <v>1670</v>
      </c>
      <c r="J4" s="3711"/>
      <c r="K4" s="559" t="s">
        <v>1671</v>
      </c>
      <c r="L4" s="2709"/>
      <c r="M4" s="2710"/>
      <c r="N4" s="2710"/>
      <c r="O4" s="2710"/>
      <c r="P4" s="3742" t="s">
        <v>1672</v>
      </c>
      <c r="Q4" s="3743"/>
      <c r="R4" s="3746" t="s">
        <v>1668</v>
      </c>
      <c r="S4" s="3747"/>
      <c r="T4" s="3746" t="s">
        <v>1669</v>
      </c>
      <c r="U4" s="3747"/>
      <c r="V4" s="3750" t="s">
        <v>1670</v>
      </c>
      <c r="W4" s="3750"/>
      <c r="X4" s="3474"/>
      <c r="Y4" s="3746" t="s">
        <v>1672</v>
      </c>
      <c r="Z4" s="3747"/>
      <c r="AA4" s="3738" t="s">
        <v>1668</v>
      </c>
      <c r="AB4" s="3738" t="s">
        <v>1669</v>
      </c>
      <c r="AC4" s="3739" t="s">
        <v>1670</v>
      </c>
    </row>
    <row r="5" spans="1:29" ht="15">
      <c r="A5" s="358"/>
      <c r="B5" s="359"/>
      <c r="C5" s="3729" t="s">
        <v>1673</v>
      </c>
      <c r="D5" s="3730"/>
      <c r="E5" s="3748" t="s">
        <v>3438</v>
      </c>
      <c r="F5" s="3737"/>
      <c r="G5" s="3748" t="s">
        <v>3438</v>
      </c>
      <c r="H5" s="3737"/>
      <c r="I5" s="3749" t="s">
        <v>3463</v>
      </c>
      <c r="J5" s="3730"/>
      <c r="K5" s="559"/>
      <c r="L5" s="2709"/>
      <c r="M5" s="2710"/>
      <c r="N5" s="2710"/>
      <c r="O5" s="2710"/>
      <c r="P5" s="3744"/>
      <c r="Q5" s="3717"/>
      <c r="R5" s="3722"/>
      <c r="S5" s="3723"/>
      <c r="T5" s="3722"/>
      <c r="U5" s="3723"/>
      <c r="V5" s="3726"/>
      <c r="W5" s="3726"/>
      <c r="X5" s="3469"/>
      <c r="Y5" s="3722"/>
      <c r="Z5" s="3723"/>
      <c r="AA5" s="3708"/>
      <c r="AB5" s="3708"/>
      <c r="AC5" s="3740"/>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45"/>
      <c r="Q6" s="3719"/>
      <c r="R6" s="3722"/>
      <c r="S6" s="3723"/>
      <c r="T6" s="3724"/>
      <c r="U6" s="3725"/>
      <c r="V6" s="3726"/>
      <c r="W6" s="3726"/>
      <c r="X6" s="3469"/>
      <c r="Y6" s="3724"/>
      <c r="Z6" s="3725"/>
      <c r="AA6" s="3709"/>
      <c r="AB6" s="3709"/>
      <c r="AC6" s="3741"/>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1" t="s">
        <v>1680</v>
      </c>
      <c r="Q7" s="3733"/>
      <c r="R7" s="699" t="s">
        <v>14</v>
      </c>
      <c r="S7" s="700">
        <f t="shared" ref="S7:S15" si="0">F7</f>
        <v>100</v>
      </c>
      <c r="T7" s="699" t="s">
        <v>14</v>
      </c>
      <c r="U7" s="700">
        <f t="shared" ref="U7:U15" si="1">H7</f>
        <v>100</v>
      </c>
      <c r="V7" s="699" t="s">
        <v>14</v>
      </c>
      <c r="W7" s="700">
        <f t="shared" ref="W7:W15" si="2">J7</f>
        <v>100</v>
      </c>
      <c r="X7" s="701"/>
      <c r="Y7" s="3731" t="s">
        <v>1680</v>
      </c>
      <c r="Z7" s="3732"/>
      <c r="AA7" s="702">
        <f>D7/F7</f>
        <v>1</v>
      </c>
      <c r="AB7" s="702">
        <f>D7/H7</f>
        <v>1</v>
      </c>
      <c r="AC7" s="1953">
        <f>D7/J7</f>
        <v>1</v>
      </c>
    </row>
    <row r="8" spans="1:29" s="108" customFormat="1" ht="15.75" thickBot="1">
      <c r="A8" s="362" t="s">
        <v>1681</v>
      </c>
      <c r="B8" s="363"/>
      <c r="C8" s="368" t="s">
        <v>3400</v>
      </c>
      <c r="D8" s="365">
        <v>100</v>
      </c>
      <c r="E8" s="368" t="s">
        <v>3408</v>
      </c>
      <c r="F8" s="367">
        <f>SUMIF(62:62,E8,63:63)-SUMIF(62:62,C8,63:63)+100</f>
        <v>102</v>
      </c>
      <c r="G8" s="368" t="s">
        <v>3408</v>
      </c>
      <c r="H8" s="365">
        <f>SUMIF(62:62,G8,63:63)-SUMIF(62:62,C8,63:63)+100</f>
        <v>102</v>
      </c>
      <c r="I8" s="368" t="s">
        <v>3408</v>
      </c>
      <c r="J8" s="365">
        <f>SUMIF(62:62,I8,63:63)-SUMIF(62:62,C8,63:63)+100</f>
        <v>102</v>
      </c>
      <c r="K8" s="560"/>
      <c r="L8" s="2711"/>
      <c r="M8" s="2712"/>
      <c r="N8" s="2712"/>
      <c r="O8" s="2712"/>
      <c r="P8" s="3751" t="s">
        <v>1683</v>
      </c>
      <c r="Q8" s="3732"/>
      <c r="R8" s="699" t="s">
        <v>14</v>
      </c>
      <c r="S8" s="700">
        <f t="shared" si="0"/>
        <v>102</v>
      </c>
      <c r="T8" s="699" t="s">
        <v>14</v>
      </c>
      <c r="U8" s="700">
        <f t="shared" si="1"/>
        <v>102</v>
      </c>
      <c r="V8" s="699" t="s">
        <v>14</v>
      </c>
      <c r="W8" s="700">
        <f t="shared" si="2"/>
        <v>102</v>
      </c>
      <c r="X8" s="701"/>
      <c r="Y8" s="3731" t="s">
        <v>1683</v>
      </c>
      <c r="Z8" s="3732"/>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06" t="s">
        <v>1686</v>
      </c>
      <c r="Q9" s="3466" t="str">
        <f t="shared" ref="Q9:Q15" si="6">B9</f>
        <v>用途</v>
      </c>
      <c r="R9" s="699" t="s">
        <v>14</v>
      </c>
      <c r="S9" s="700">
        <f t="shared" si="0"/>
        <v>100</v>
      </c>
      <c r="T9" s="699" t="s">
        <v>14</v>
      </c>
      <c r="U9" s="700">
        <f t="shared" si="1"/>
        <v>100</v>
      </c>
      <c r="V9" s="699" t="s">
        <v>14</v>
      </c>
      <c r="W9" s="700">
        <f t="shared" si="2"/>
        <v>100</v>
      </c>
      <c r="X9" s="701"/>
      <c r="Y9" s="3570"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06"/>
      <c r="Q10" s="3466" t="str">
        <f t="shared" si="6"/>
        <v>土地使用年限（年）</v>
      </c>
      <c r="R10" s="699" t="s">
        <v>14</v>
      </c>
      <c r="S10" s="700">
        <f t="shared" si="0"/>
        <v>100</v>
      </c>
      <c r="T10" s="699" t="s">
        <v>14</v>
      </c>
      <c r="U10" s="700">
        <f t="shared" si="1"/>
        <v>100</v>
      </c>
      <c r="V10" s="699" t="s">
        <v>14</v>
      </c>
      <c r="W10" s="700">
        <f t="shared" si="2"/>
        <v>100</v>
      </c>
      <c r="X10" s="701"/>
      <c r="Y10" s="3570"/>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06"/>
      <c r="Q11" s="3466" t="str">
        <f t="shared" si="6"/>
        <v>容积率</v>
      </c>
      <c r="R11" s="699" t="s">
        <v>14</v>
      </c>
      <c r="S11" s="700">
        <f t="shared" si="0"/>
        <v>100</v>
      </c>
      <c r="T11" s="699" t="s">
        <v>14</v>
      </c>
      <c r="U11" s="700">
        <f t="shared" si="1"/>
        <v>100</v>
      </c>
      <c r="V11" s="699" t="s">
        <v>14</v>
      </c>
      <c r="W11" s="700">
        <f t="shared" si="2"/>
        <v>100</v>
      </c>
      <c r="X11" s="701"/>
      <c r="Y11" s="3570"/>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06"/>
      <c r="Q12" s="3466">
        <f t="shared" si="6"/>
        <v>111</v>
      </c>
      <c r="R12" s="699" t="s">
        <v>14</v>
      </c>
      <c r="S12" s="700">
        <f t="shared" si="0"/>
        <v>100</v>
      </c>
      <c r="T12" s="699" t="s">
        <v>14</v>
      </c>
      <c r="U12" s="700">
        <f t="shared" si="1"/>
        <v>100</v>
      </c>
      <c r="V12" s="699" t="s">
        <v>14</v>
      </c>
      <c r="W12" s="700">
        <f t="shared" si="2"/>
        <v>100</v>
      </c>
      <c r="X12" s="701"/>
      <c r="Y12" s="3570"/>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06"/>
      <c r="Q13" s="3466">
        <f t="shared" si="6"/>
        <v>111</v>
      </c>
      <c r="R13" s="699" t="s">
        <v>14</v>
      </c>
      <c r="S13" s="700">
        <f t="shared" si="0"/>
        <v>100</v>
      </c>
      <c r="T13" s="699" t="s">
        <v>14</v>
      </c>
      <c r="U13" s="700">
        <f t="shared" si="1"/>
        <v>100</v>
      </c>
      <c r="V13" s="699" t="s">
        <v>14</v>
      </c>
      <c r="W13" s="700">
        <f t="shared" si="2"/>
        <v>100</v>
      </c>
      <c r="X13" s="701"/>
      <c r="Y13" s="3570"/>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06"/>
      <c r="Q14" s="3466">
        <f t="shared" si="6"/>
        <v>111</v>
      </c>
      <c r="R14" s="699" t="s">
        <v>14</v>
      </c>
      <c r="S14" s="700">
        <f t="shared" si="0"/>
        <v>100</v>
      </c>
      <c r="T14" s="699" t="s">
        <v>14</v>
      </c>
      <c r="U14" s="700">
        <f t="shared" si="1"/>
        <v>100</v>
      </c>
      <c r="V14" s="699" t="s">
        <v>14</v>
      </c>
      <c r="W14" s="700">
        <f t="shared" si="2"/>
        <v>100</v>
      </c>
      <c r="X14" s="701"/>
      <c r="Y14" s="3570"/>
      <c r="Z14" s="3448">
        <f t="shared" si="7"/>
        <v>111</v>
      </c>
      <c r="AA14" s="702">
        <f t="shared" si="3"/>
        <v>1</v>
      </c>
      <c r="AB14" s="702">
        <f t="shared" si="4"/>
        <v>1</v>
      </c>
      <c r="AC14" s="1953">
        <f t="shared" si="5"/>
        <v>1</v>
      </c>
    </row>
    <row r="15" spans="1:29" ht="71.25">
      <c r="A15" s="391" t="s">
        <v>1690</v>
      </c>
      <c r="B15" s="577" t="s">
        <v>1811</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04" t="s">
        <v>1691</v>
      </c>
      <c r="Q15" s="3472" t="str">
        <f t="shared" si="6"/>
        <v>办公集聚程度</v>
      </c>
      <c r="R15" s="703" t="s">
        <v>14</v>
      </c>
      <c r="S15" s="704">
        <f t="shared" si="0"/>
        <v>100</v>
      </c>
      <c r="T15" s="703" t="s">
        <v>14</v>
      </c>
      <c r="U15" s="704">
        <f t="shared" si="1"/>
        <v>100</v>
      </c>
      <c r="V15" s="703" t="s">
        <v>14</v>
      </c>
      <c r="W15" s="704">
        <f t="shared" si="2"/>
        <v>100</v>
      </c>
      <c r="X15" s="3469"/>
      <c r="Y15" s="3697" t="s">
        <v>1691</v>
      </c>
      <c r="Z15" s="3470" t="str">
        <f t="shared" si="7"/>
        <v>办公集聚程度</v>
      </c>
      <c r="AA15" s="3473">
        <f t="shared" si="3"/>
        <v>1</v>
      </c>
      <c r="AB15" s="3473">
        <f t="shared" si="4"/>
        <v>1</v>
      </c>
      <c r="AC15" s="1956">
        <f t="shared" si="5"/>
        <v>1</v>
      </c>
    </row>
    <row r="16" spans="1:29" ht="15">
      <c r="A16" s="379"/>
      <c r="B16" s="578"/>
      <c r="C16" s="1898" t="s">
        <v>3401</v>
      </c>
      <c r="D16" s="399"/>
      <c r="E16" s="1898" t="s">
        <v>3401</v>
      </c>
      <c r="F16" s="399"/>
      <c r="G16" s="1898" t="s">
        <v>3401</v>
      </c>
      <c r="H16" s="401"/>
      <c r="I16" s="1898" t="s">
        <v>3401</v>
      </c>
      <c r="J16" s="399"/>
      <c r="K16" s="564"/>
      <c r="L16" s="2716"/>
      <c r="M16" s="2710"/>
      <c r="N16" s="2710"/>
      <c r="O16" s="2710"/>
      <c r="P16" s="3705"/>
      <c r="Q16" s="3472"/>
      <c r="R16" s="703"/>
      <c r="S16" s="704"/>
      <c r="T16" s="703"/>
      <c r="U16" s="704"/>
      <c r="V16" s="703"/>
      <c r="W16" s="704"/>
      <c r="X16" s="3469"/>
      <c r="Y16" s="3698"/>
      <c r="Z16" s="3470"/>
      <c r="AA16" s="3473">
        <v>1</v>
      </c>
      <c r="AB16" s="3473">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5"/>
      <c r="Q17" s="3472" t="str">
        <f>B17</f>
        <v>交通便捷度</v>
      </c>
      <c r="R17" s="703" t="s">
        <v>14</v>
      </c>
      <c r="S17" s="704">
        <f>F17</f>
        <v>100</v>
      </c>
      <c r="T17" s="703" t="s">
        <v>14</v>
      </c>
      <c r="U17" s="704">
        <f>H17</f>
        <v>100</v>
      </c>
      <c r="V17" s="703" t="s">
        <v>14</v>
      </c>
      <c r="W17" s="704">
        <f>J17</f>
        <v>100</v>
      </c>
      <c r="X17" s="3469"/>
      <c r="Y17" s="3698"/>
      <c r="Z17" s="3470" t="str">
        <f>Q17</f>
        <v>交通便捷度</v>
      </c>
      <c r="AA17" s="3473">
        <f t="shared" si="3"/>
        <v>1</v>
      </c>
      <c r="AB17" s="3473">
        <f t="shared" si="4"/>
        <v>1</v>
      </c>
      <c r="AC17" s="1956">
        <f t="shared" si="5"/>
        <v>1</v>
      </c>
    </row>
    <row r="18" spans="1:29" ht="15">
      <c r="A18" s="379"/>
      <c r="B18" s="580"/>
      <c r="C18" s="1898" t="s">
        <v>3401</v>
      </c>
      <c r="D18" s="401"/>
      <c r="E18" s="1898" t="s">
        <v>3401</v>
      </c>
      <c r="F18" s="401"/>
      <c r="G18" s="1898" t="s">
        <v>3401</v>
      </c>
      <c r="H18" s="399"/>
      <c r="I18" s="1898" t="s">
        <v>3401</v>
      </c>
      <c r="J18" s="399"/>
      <c r="K18" s="564"/>
      <c r="L18" s="2716"/>
      <c r="M18" s="2710"/>
      <c r="N18" s="2710"/>
      <c r="O18" s="2710"/>
      <c r="P18" s="3705"/>
      <c r="Q18" s="3472"/>
      <c r="R18" s="703"/>
      <c r="S18" s="704"/>
      <c r="T18" s="703"/>
      <c r="U18" s="704"/>
      <c r="V18" s="703"/>
      <c r="W18" s="704"/>
      <c r="X18" s="3469"/>
      <c r="Y18" s="3698"/>
      <c r="Z18" s="3470"/>
      <c r="AA18" s="3473">
        <v>1</v>
      </c>
      <c r="AB18" s="3473">
        <v>1</v>
      </c>
      <c r="AC18" s="1956">
        <v>1</v>
      </c>
    </row>
    <row r="19" spans="1:29" ht="42.75">
      <c r="A19" s="379"/>
      <c r="B19" s="579" t="s">
        <v>1812</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5"/>
      <c r="Q19" s="3472" t="str">
        <f>B19</f>
        <v>公共配套设施</v>
      </c>
      <c r="R19" s="703" t="s">
        <v>14</v>
      </c>
      <c r="S19" s="704">
        <f>F19</f>
        <v>100</v>
      </c>
      <c r="T19" s="703" t="s">
        <v>14</v>
      </c>
      <c r="U19" s="704">
        <f>H19</f>
        <v>100</v>
      </c>
      <c r="V19" s="703" t="s">
        <v>14</v>
      </c>
      <c r="W19" s="704">
        <f>J19</f>
        <v>100</v>
      </c>
      <c r="X19" s="3469"/>
      <c r="Y19" s="3698"/>
      <c r="Z19" s="3470" t="str">
        <f>Q19</f>
        <v>公共配套设施</v>
      </c>
      <c r="AA19" s="3473">
        <f t="shared" si="3"/>
        <v>1</v>
      </c>
      <c r="AB19" s="3473">
        <f t="shared" si="4"/>
        <v>1</v>
      </c>
      <c r="AC19" s="1956">
        <f t="shared" si="5"/>
        <v>1</v>
      </c>
    </row>
    <row r="20" spans="1:29" ht="15">
      <c r="A20" s="379"/>
      <c r="B20" s="580"/>
      <c r="C20" s="1898" t="s">
        <v>3401</v>
      </c>
      <c r="D20" s="399"/>
      <c r="E20" s="1898" t="s">
        <v>3401</v>
      </c>
      <c r="F20" s="399"/>
      <c r="G20" s="1898" t="s">
        <v>3401</v>
      </c>
      <c r="H20" s="399"/>
      <c r="I20" s="1898" t="s">
        <v>3401</v>
      </c>
      <c r="J20" s="399"/>
      <c r="K20" s="564"/>
      <c r="L20" s="2716"/>
      <c r="M20" s="2710"/>
      <c r="N20" s="2710"/>
      <c r="O20" s="2710"/>
      <c r="P20" s="3705"/>
      <c r="Q20" s="3472"/>
      <c r="R20" s="703"/>
      <c r="S20" s="704"/>
      <c r="T20" s="703"/>
      <c r="U20" s="704"/>
      <c r="V20" s="703"/>
      <c r="W20" s="704"/>
      <c r="X20" s="3469"/>
      <c r="Y20" s="3698"/>
      <c r="Z20" s="3470"/>
      <c r="AA20" s="3473">
        <v>1</v>
      </c>
      <c r="AB20" s="3473">
        <v>1</v>
      </c>
      <c r="AC20" s="1956">
        <v>1</v>
      </c>
    </row>
    <row r="21" spans="1:29" ht="28.5">
      <c r="A21" s="379"/>
      <c r="B21" s="581" t="s">
        <v>1813</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5"/>
      <c r="Q21" s="3472" t="str">
        <f>B21</f>
        <v>基础设施水平</v>
      </c>
      <c r="R21" s="703" t="s">
        <v>14</v>
      </c>
      <c r="S21" s="704">
        <f>F21</f>
        <v>100</v>
      </c>
      <c r="T21" s="703" t="s">
        <v>14</v>
      </c>
      <c r="U21" s="704">
        <f>H21</f>
        <v>100</v>
      </c>
      <c r="V21" s="703" t="s">
        <v>14</v>
      </c>
      <c r="W21" s="704">
        <f>J21</f>
        <v>100</v>
      </c>
      <c r="X21" s="3469"/>
      <c r="Y21" s="3698"/>
      <c r="Z21" s="3470" t="str">
        <f>Q21</f>
        <v>基础设施水平</v>
      </c>
      <c r="AA21" s="3473">
        <f t="shared" ref="AA21" si="8">D21/F21</f>
        <v>1</v>
      </c>
      <c r="AB21" s="3473">
        <f t="shared" ref="AB21" si="9">D21/H21</f>
        <v>1</v>
      </c>
      <c r="AC21" s="1956">
        <f t="shared" ref="AC21" si="10">D21/J21</f>
        <v>1</v>
      </c>
    </row>
    <row r="22" spans="1:29" ht="15">
      <c r="A22" s="379"/>
      <c r="B22" s="581"/>
      <c r="C22" s="1958" t="s">
        <v>3402</v>
      </c>
      <c r="D22" s="399"/>
      <c r="E22" s="1958" t="s">
        <v>3402</v>
      </c>
      <c r="F22" s="399"/>
      <c r="G22" s="1958" t="s">
        <v>3402</v>
      </c>
      <c r="H22" s="399"/>
      <c r="I22" s="1958" t="s">
        <v>3402</v>
      </c>
      <c r="J22" s="399"/>
      <c r="K22" s="1124"/>
      <c r="L22" s="2716"/>
      <c r="M22" s="2710"/>
      <c r="N22" s="2710"/>
      <c r="O22" s="2710"/>
      <c r="P22" s="3705"/>
      <c r="Q22" s="3472"/>
      <c r="R22" s="703"/>
      <c r="S22" s="704"/>
      <c r="T22" s="703"/>
      <c r="U22" s="704"/>
      <c r="V22" s="703"/>
      <c r="W22" s="704"/>
      <c r="X22" s="3469"/>
      <c r="Y22" s="3698"/>
      <c r="Z22" s="3470"/>
      <c r="AA22" s="3473">
        <v>1</v>
      </c>
      <c r="AB22" s="3473">
        <v>1</v>
      </c>
      <c r="AC22" s="1956">
        <v>1</v>
      </c>
    </row>
    <row r="23" spans="1:29" ht="42.75">
      <c r="A23" s="379"/>
      <c r="B23" s="579" t="s">
        <v>1814</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5"/>
      <c r="Q23" s="3472" t="str">
        <f>B23</f>
        <v>环境质量</v>
      </c>
      <c r="R23" s="703" t="s">
        <v>14</v>
      </c>
      <c r="S23" s="704">
        <f>F23</f>
        <v>100</v>
      </c>
      <c r="T23" s="703" t="s">
        <v>14</v>
      </c>
      <c r="U23" s="704">
        <f>H23</f>
        <v>100</v>
      </c>
      <c r="V23" s="703" t="s">
        <v>14</v>
      </c>
      <c r="W23" s="704">
        <f>J23</f>
        <v>100</v>
      </c>
      <c r="X23" s="3469"/>
      <c r="Y23" s="3698"/>
      <c r="Z23" s="3470" t="str">
        <f>Q23</f>
        <v>环境质量</v>
      </c>
      <c r="AA23" s="3473">
        <f t="shared" si="3"/>
        <v>1</v>
      </c>
      <c r="AB23" s="3473">
        <f t="shared" si="4"/>
        <v>1</v>
      </c>
      <c r="AC23" s="1956">
        <f t="shared" si="5"/>
        <v>1</v>
      </c>
    </row>
    <row r="24" spans="1:29" ht="15">
      <c r="A24" s="379"/>
      <c r="B24" s="581"/>
      <c r="C24" s="1898" t="s">
        <v>3401</v>
      </c>
      <c r="D24" s="399"/>
      <c r="E24" s="1898" t="s">
        <v>3401</v>
      </c>
      <c r="F24" s="399"/>
      <c r="G24" s="1898" t="s">
        <v>3401</v>
      </c>
      <c r="H24" s="399"/>
      <c r="I24" s="1898" t="s">
        <v>3401</v>
      </c>
      <c r="J24" s="399"/>
      <c r="K24" s="564"/>
      <c r="L24" s="2716"/>
      <c r="M24" s="2710"/>
      <c r="N24" s="2710"/>
      <c r="O24" s="2710"/>
      <c r="P24" s="3705"/>
      <c r="Q24" s="3472"/>
      <c r="R24" s="703"/>
      <c r="S24" s="704"/>
      <c r="T24" s="703"/>
      <c r="U24" s="704"/>
      <c r="V24" s="703"/>
      <c r="W24" s="704"/>
      <c r="X24" s="3469"/>
      <c r="Y24" s="3698"/>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5"/>
      <c r="Q25" s="3472" t="str">
        <f>B25</f>
        <v>毗邻道路的类型与等级</v>
      </c>
      <c r="R25" s="703" t="s">
        <v>14</v>
      </c>
      <c r="S25" s="704">
        <f>F25</f>
        <v>100</v>
      </c>
      <c r="T25" s="703" t="s">
        <v>14</v>
      </c>
      <c r="U25" s="704">
        <f>H25</f>
        <v>100</v>
      </c>
      <c r="V25" s="703" t="s">
        <v>14</v>
      </c>
      <c r="W25" s="704">
        <f>J25</f>
        <v>100</v>
      </c>
      <c r="X25" s="3469"/>
      <c r="Y25" s="3698"/>
      <c r="Z25" s="3470" t="str">
        <f>Q25</f>
        <v>毗邻道路的类型与等级</v>
      </c>
      <c r="AA25" s="3473">
        <f t="shared" si="3"/>
        <v>1</v>
      </c>
      <c r="AB25" s="3473">
        <f t="shared" si="4"/>
        <v>1</v>
      </c>
      <c r="AC25" s="1956">
        <f t="shared" si="5"/>
        <v>1</v>
      </c>
    </row>
    <row r="26" spans="1:29" ht="15">
      <c r="A26" s="358"/>
      <c r="B26" s="580"/>
      <c r="C26" s="582" t="s">
        <v>3414</v>
      </c>
      <c r="D26" s="386"/>
      <c r="E26" s="582" t="s">
        <v>3414</v>
      </c>
      <c r="F26" s="386"/>
      <c r="G26" s="582" t="s">
        <v>3414</v>
      </c>
      <c r="H26" s="386"/>
      <c r="I26" s="582" t="s">
        <v>3414</v>
      </c>
      <c r="J26" s="386"/>
      <c r="K26" s="564"/>
      <c r="L26" s="2716"/>
      <c r="M26" s="2710"/>
      <c r="N26" s="2710"/>
      <c r="O26" s="2710"/>
      <c r="P26" s="3705"/>
      <c r="Q26" s="3472"/>
      <c r="R26" s="703"/>
      <c r="S26" s="704"/>
      <c r="T26" s="703"/>
      <c r="U26" s="704"/>
      <c r="V26" s="703"/>
      <c r="W26" s="704"/>
      <c r="X26" s="3469"/>
      <c r="Y26" s="3698"/>
      <c r="Z26" s="3470"/>
      <c r="AA26" s="3473">
        <v>1</v>
      </c>
      <c r="AB26" s="3473">
        <v>1</v>
      </c>
      <c r="AC26" s="1956">
        <v>1</v>
      </c>
    </row>
    <row r="27" spans="1:29" ht="15">
      <c r="A27" s="379"/>
      <c r="B27" s="580" t="s">
        <v>1783</v>
      </c>
      <c r="C27" s="582" t="s">
        <v>3416</v>
      </c>
      <c r="D27" s="386">
        <v>100</v>
      </c>
      <c r="E27" s="565" t="s">
        <v>3418</v>
      </c>
      <c r="F27" s="386">
        <f>SUMIF(89:89,E27,90:90)-SUMIF(89:89,C27,90:90)+100</f>
        <v>97</v>
      </c>
      <c r="G27" s="565" t="s">
        <v>3418</v>
      </c>
      <c r="H27" s="386">
        <f>SUMIF(89:89,G27,90:90)-SUMIF(89:89,C27,90:90)+100</f>
        <v>97</v>
      </c>
      <c r="I27" s="565" t="s">
        <v>3420</v>
      </c>
      <c r="J27" s="386">
        <f>SUMIF(89:89,I27,90:90)-SUMIF(89:89,C27,90:90)+100</f>
        <v>94</v>
      </c>
      <c r="K27" s="561">
        <v>3</v>
      </c>
      <c r="L27" s="2716"/>
      <c r="M27" s="2710"/>
      <c r="N27" s="2710"/>
      <c r="O27" s="2710"/>
      <c r="P27" s="3705"/>
      <c r="Q27" s="3472" t="str">
        <f t="shared" ref="Q27:Q47" si="11">B27</f>
        <v>楼层</v>
      </c>
      <c r="R27" s="703" t="s">
        <v>14</v>
      </c>
      <c r="S27" s="704">
        <f>F27</f>
        <v>97</v>
      </c>
      <c r="T27" s="703" t="s">
        <v>14</v>
      </c>
      <c r="U27" s="704">
        <f>H27</f>
        <v>97</v>
      </c>
      <c r="V27" s="703" t="s">
        <v>14</v>
      </c>
      <c r="W27" s="704">
        <f>J27</f>
        <v>94</v>
      </c>
      <c r="X27" s="3469"/>
      <c r="Y27" s="3698"/>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5"/>
      <c r="Q28" s="3466" t="str">
        <f t="shared" si="11"/>
        <v>朝向</v>
      </c>
      <c r="R28" s="699" t="s">
        <v>14</v>
      </c>
      <c r="S28" s="700">
        <f>F28</f>
        <v>100</v>
      </c>
      <c r="T28" s="699" t="s">
        <v>14</v>
      </c>
      <c r="U28" s="700">
        <f>H28</f>
        <v>100</v>
      </c>
      <c r="V28" s="699" t="s">
        <v>14</v>
      </c>
      <c r="W28" s="700">
        <f>J28</f>
        <v>100</v>
      </c>
      <c r="X28" s="701"/>
      <c r="Y28" s="3698"/>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5"/>
      <c r="Q29" s="3472">
        <f t="shared" si="11"/>
        <v>111</v>
      </c>
      <c r="R29" s="703" t="s">
        <v>14</v>
      </c>
      <c r="S29" s="704">
        <f t="shared" ref="S29:S47" si="12">F29</f>
        <v>100</v>
      </c>
      <c r="T29" s="703" t="s">
        <v>14</v>
      </c>
      <c r="U29" s="704">
        <f t="shared" ref="U29:U47" si="13">H29</f>
        <v>100</v>
      </c>
      <c r="V29" s="703" t="s">
        <v>14</v>
      </c>
      <c r="W29" s="704">
        <f t="shared" ref="W29:W47" si="14">J29</f>
        <v>100</v>
      </c>
      <c r="X29" s="3469"/>
      <c r="Y29" s="3698"/>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5"/>
      <c r="Q30" s="3472">
        <f t="shared" si="11"/>
        <v>111</v>
      </c>
      <c r="R30" s="703" t="s">
        <v>14</v>
      </c>
      <c r="S30" s="704">
        <f t="shared" si="12"/>
        <v>100</v>
      </c>
      <c r="T30" s="703" t="s">
        <v>14</v>
      </c>
      <c r="U30" s="704">
        <f t="shared" si="13"/>
        <v>100</v>
      </c>
      <c r="V30" s="703" t="s">
        <v>14</v>
      </c>
      <c r="W30" s="704">
        <f t="shared" si="14"/>
        <v>100</v>
      </c>
      <c r="X30" s="3469"/>
      <c r="Y30" s="3698"/>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5"/>
      <c r="Q31" s="3472">
        <f t="shared" si="11"/>
        <v>111</v>
      </c>
      <c r="R31" s="703" t="s">
        <v>14</v>
      </c>
      <c r="S31" s="704">
        <f t="shared" si="12"/>
        <v>100</v>
      </c>
      <c r="T31" s="703" t="s">
        <v>14</v>
      </c>
      <c r="U31" s="704">
        <f t="shared" si="13"/>
        <v>100</v>
      </c>
      <c r="V31" s="703" t="s">
        <v>14</v>
      </c>
      <c r="W31" s="704">
        <f t="shared" si="14"/>
        <v>100</v>
      </c>
      <c r="X31" s="3469"/>
      <c r="Y31" s="3698"/>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5"/>
      <c r="Q32" s="3472">
        <f t="shared" si="11"/>
        <v>111</v>
      </c>
      <c r="R32" s="703" t="s">
        <v>14</v>
      </c>
      <c r="S32" s="704">
        <f t="shared" si="12"/>
        <v>100</v>
      </c>
      <c r="T32" s="703" t="s">
        <v>14</v>
      </c>
      <c r="U32" s="704">
        <f t="shared" si="13"/>
        <v>100</v>
      </c>
      <c r="V32" s="703" t="s">
        <v>14</v>
      </c>
      <c r="W32" s="704">
        <f t="shared" si="14"/>
        <v>100</v>
      </c>
      <c r="X32" s="3469"/>
      <c r="Y32" s="3698"/>
      <c r="Z32" s="3470">
        <f t="shared" si="15"/>
        <v>111</v>
      </c>
      <c r="AA32" s="3473">
        <f t="shared" si="3"/>
        <v>1</v>
      </c>
      <c r="AB32" s="3473">
        <f t="shared" si="4"/>
        <v>1</v>
      </c>
      <c r="AC32" s="1956">
        <f t="shared" si="5"/>
        <v>1</v>
      </c>
    </row>
    <row r="33" spans="1:29" ht="15">
      <c r="A33" s="391" t="s">
        <v>1694</v>
      </c>
      <c r="B33" s="63" t="s">
        <v>1817</v>
      </c>
      <c r="C33" s="1961" t="s">
        <v>3422</v>
      </c>
      <c r="D33" s="418">
        <v>100</v>
      </c>
      <c r="E33" s="1961" t="s">
        <v>3422</v>
      </c>
      <c r="F33" s="412">
        <f>SUMIF(101:101,E33,102:102)-SUMIF(101:101,C33,102:102)+100</f>
        <v>100</v>
      </c>
      <c r="G33" s="1961" t="s">
        <v>3422</v>
      </c>
      <c r="H33" s="386">
        <f>SUMIF(101:101,G33,102:102)-SUMIF(101:101,C33,102:102)+100</f>
        <v>100</v>
      </c>
      <c r="I33" s="1961" t="s">
        <v>3422</v>
      </c>
      <c r="J33" s="418">
        <f>SUMIF(101:101,I33,102:102)-SUMIF(101:101,C33,102:102)+100</f>
        <v>100</v>
      </c>
      <c r="K33" s="561"/>
      <c r="L33" s="2716"/>
      <c r="M33" s="2710"/>
      <c r="N33" s="2710"/>
      <c r="O33" s="2710"/>
      <c r="P33" s="3699" t="s">
        <v>1696</v>
      </c>
      <c r="Q33" s="3472" t="str">
        <f t="shared" si="11"/>
        <v>建筑类型</v>
      </c>
      <c r="R33" s="703" t="s">
        <v>14</v>
      </c>
      <c r="S33" s="704">
        <f t="shared" si="12"/>
        <v>100</v>
      </c>
      <c r="T33" s="703" t="s">
        <v>14</v>
      </c>
      <c r="U33" s="704">
        <f t="shared" si="13"/>
        <v>100</v>
      </c>
      <c r="V33" s="703" t="s">
        <v>14</v>
      </c>
      <c r="W33" s="704">
        <f t="shared" si="14"/>
        <v>100</v>
      </c>
      <c r="X33" s="3469"/>
      <c r="Y33" s="3702" t="s">
        <v>1696</v>
      </c>
      <c r="Z33" s="3470" t="str">
        <f t="shared" si="15"/>
        <v>建筑类型</v>
      </c>
      <c r="AA33" s="3473">
        <f t="shared" si="3"/>
        <v>1</v>
      </c>
      <c r="AB33" s="3473">
        <f t="shared" si="4"/>
        <v>1</v>
      </c>
      <c r="AC33" s="1956">
        <f t="shared" si="5"/>
        <v>1</v>
      </c>
    </row>
    <row r="34" spans="1:29" s="422" customFormat="1" ht="15">
      <c r="A34" s="419"/>
      <c r="B34" s="375" t="s">
        <v>1697</v>
      </c>
      <c r="C34" s="420">
        <f>典型户型修正!B25</f>
        <v>147.63999999999999</v>
      </c>
      <c r="D34" s="127">
        <v>100</v>
      </c>
      <c r="E34" s="420">
        <v>132.41999999999999</v>
      </c>
      <c r="F34" s="376">
        <f>LOOKUP(E34,104:104,105:105)-LOOKUP(C34,104:104,105:105)+100</f>
        <v>100</v>
      </c>
      <c r="G34" s="420">
        <v>127.09</v>
      </c>
      <c r="H34" s="127">
        <f>LOOKUP(G34,104:104,105:105)-LOOKUP(C34,104:104,105:105)+100</f>
        <v>100</v>
      </c>
      <c r="I34" s="420">
        <v>707.83</v>
      </c>
      <c r="J34" s="127">
        <f>LOOKUP(I34,104:104,105:105)-LOOKUP(C34,104:104,105:105)+100</f>
        <v>100</v>
      </c>
      <c r="K34" s="562"/>
      <c r="L34" s="2715"/>
      <c r="M34" s="2717"/>
      <c r="N34" s="2717"/>
      <c r="O34" s="2717"/>
      <c r="P34" s="3700"/>
      <c r="Q34" s="705" t="str">
        <f t="shared" si="11"/>
        <v>项目建筑规模</v>
      </c>
      <c r="R34" s="706" t="s">
        <v>14</v>
      </c>
      <c r="S34" s="707">
        <f t="shared" si="12"/>
        <v>100</v>
      </c>
      <c r="T34" s="706" t="s">
        <v>14</v>
      </c>
      <c r="U34" s="707">
        <f t="shared" si="13"/>
        <v>100</v>
      </c>
      <c r="V34" s="706" t="s">
        <v>14</v>
      </c>
      <c r="W34" s="707">
        <f t="shared" si="14"/>
        <v>100</v>
      </c>
      <c r="X34" s="708"/>
      <c r="Y34" s="3702"/>
      <c r="Z34" s="709" t="str">
        <f t="shared" si="15"/>
        <v>项目建筑规模</v>
      </c>
      <c r="AA34" s="3473">
        <f t="shared" si="3"/>
        <v>1</v>
      </c>
      <c r="AB34" s="3473">
        <f t="shared" si="4"/>
        <v>1</v>
      </c>
      <c r="AC34" s="1956">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700"/>
      <c r="Q35" s="3472" t="str">
        <f t="shared" si="11"/>
        <v>建筑结构</v>
      </c>
      <c r="R35" s="703" t="s">
        <v>14</v>
      </c>
      <c r="S35" s="704">
        <f t="shared" si="12"/>
        <v>100</v>
      </c>
      <c r="T35" s="703" t="s">
        <v>14</v>
      </c>
      <c r="U35" s="704">
        <f t="shared" si="13"/>
        <v>100</v>
      </c>
      <c r="V35" s="703" t="s">
        <v>14</v>
      </c>
      <c r="W35" s="704">
        <f t="shared" si="14"/>
        <v>100</v>
      </c>
      <c r="X35" s="3469"/>
      <c r="Y35" s="3702"/>
      <c r="Z35" s="3470" t="str">
        <f t="shared" si="15"/>
        <v>建筑结构</v>
      </c>
      <c r="AA35" s="3473">
        <f t="shared" si="3"/>
        <v>1</v>
      </c>
      <c r="AB35" s="3473">
        <f t="shared" si="4"/>
        <v>1</v>
      </c>
      <c r="AC35" s="1956">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2</v>
      </c>
      <c r="L36" s="2716"/>
      <c r="M36" s="2710"/>
      <c r="N36" s="2710"/>
      <c r="O36" s="2710"/>
      <c r="P36" s="3700"/>
      <c r="Q36" s="3472" t="str">
        <f t="shared" si="11"/>
        <v>公共部分装修</v>
      </c>
      <c r="R36" s="703" t="s">
        <v>14</v>
      </c>
      <c r="S36" s="704">
        <f t="shared" si="12"/>
        <v>100</v>
      </c>
      <c r="T36" s="703" t="s">
        <v>14</v>
      </c>
      <c r="U36" s="704">
        <f t="shared" si="13"/>
        <v>100</v>
      </c>
      <c r="V36" s="703" t="s">
        <v>14</v>
      </c>
      <c r="W36" s="704">
        <f t="shared" si="14"/>
        <v>100</v>
      </c>
      <c r="X36" s="3469"/>
      <c r="Y36" s="3702"/>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0"/>
      <c r="Q37" s="3472" t="str">
        <f t="shared" si="11"/>
        <v>成新度</v>
      </c>
      <c r="R37" s="703" t="s">
        <v>14</v>
      </c>
      <c r="S37" s="704">
        <f t="shared" si="12"/>
        <v>100</v>
      </c>
      <c r="T37" s="703" t="s">
        <v>14</v>
      </c>
      <c r="U37" s="704">
        <f t="shared" si="13"/>
        <v>100</v>
      </c>
      <c r="V37" s="703" t="s">
        <v>14</v>
      </c>
      <c r="W37" s="704">
        <f t="shared" si="14"/>
        <v>101</v>
      </c>
      <c r="X37" s="3469"/>
      <c r="Y37" s="3702"/>
      <c r="Z37" s="3470" t="str">
        <f t="shared" si="15"/>
        <v>成新度</v>
      </c>
      <c r="AA37" s="3473">
        <f t="shared" si="3"/>
        <v>1</v>
      </c>
      <c r="AB37" s="3473">
        <f t="shared" si="4"/>
        <v>1</v>
      </c>
      <c r="AC37" s="1956">
        <f t="shared" si="5"/>
        <v>0.99009900990099009</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2</v>
      </c>
      <c r="L38" s="2711"/>
      <c r="M38" s="2712"/>
      <c r="N38" s="2712"/>
      <c r="O38" s="2712"/>
      <c r="P38" s="3700"/>
      <c r="Q38" s="3466" t="str">
        <f t="shared" si="11"/>
        <v>写字楼等级</v>
      </c>
      <c r="R38" s="699" t="s">
        <v>14</v>
      </c>
      <c r="S38" s="700">
        <f t="shared" si="12"/>
        <v>100</v>
      </c>
      <c r="T38" s="699" t="s">
        <v>14</v>
      </c>
      <c r="U38" s="700">
        <f t="shared" si="13"/>
        <v>100</v>
      </c>
      <c r="V38" s="699" t="s">
        <v>14</v>
      </c>
      <c r="W38" s="700">
        <f t="shared" si="14"/>
        <v>100</v>
      </c>
      <c r="X38" s="701"/>
      <c r="Y38" s="3702"/>
      <c r="Z38" s="3448" t="str">
        <f t="shared" si="15"/>
        <v>写字楼等级</v>
      </c>
      <c r="AA38" s="702">
        <f t="shared" si="3"/>
        <v>1</v>
      </c>
      <c r="AB38" s="702">
        <f t="shared" si="4"/>
        <v>1</v>
      </c>
      <c r="AC38" s="1953">
        <f t="shared" si="5"/>
        <v>1</v>
      </c>
    </row>
    <row r="39" spans="1:29" ht="15">
      <c r="A39" s="423"/>
      <c r="B39" s="375" t="s">
        <v>1819</v>
      </c>
      <c r="C39" s="411" t="s">
        <v>3429</v>
      </c>
      <c r="D39" s="386">
        <v>100</v>
      </c>
      <c r="E39" s="411" t="s">
        <v>3429</v>
      </c>
      <c r="F39" s="412">
        <f>SUMIF(115:115,E39,116:116)-SUMIF(115:115,C39,116:116)+100</f>
        <v>100</v>
      </c>
      <c r="G39" s="411" t="s">
        <v>3429</v>
      </c>
      <c r="H39" s="386">
        <f>SUMIF(115:115,G39,116:116)-SUMIF(115:115,C39,116:116)+100</f>
        <v>100</v>
      </c>
      <c r="I39" s="411" t="s">
        <v>3429</v>
      </c>
      <c r="J39" s="386">
        <f>SUMIF(115:115,I39,116:116)-SUMIF(115:115,C39,116:116)+100</f>
        <v>100</v>
      </c>
      <c r="K39" s="561">
        <v>2</v>
      </c>
      <c r="L39" s="2716"/>
      <c r="M39" s="2710"/>
      <c r="N39" s="2710"/>
      <c r="O39" s="2710"/>
      <c r="P39" s="3700" t="s">
        <v>1696</v>
      </c>
      <c r="Q39" s="3472" t="str">
        <f t="shared" si="11"/>
        <v>物业管理</v>
      </c>
      <c r="R39" s="703" t="s">
        <v>14</v>
      </c>
      <c r="S39" s="704">
        <f t="shared" si="12"/>
        <v>100</v>
      </c>
      <c r="T39" s="703" t="s">
        <v>14</v>
      </c>
      <c r="U39" s="704">
        <f t="shared" si="13"/>
        <v>100</v>
      </c>
      <c r="V39" s="703" t="s">
        <v>14</v>
      </c>
      <c r="W39" s="704">
        <f t="shared" si="14"/>
        <v>100</v>
      </c>
      <c r="X39" s="3469"/>
      <c r="Y39" s="3702"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0"/>
      <c r="Q40" s="3472" t="str">
        <f t="shared" si="11"/>
        <v>市政基础设施</v>
      </c>
      <c r="R40" s="703" t="s">
        <v>14</v>
      </c>
      <c r="S40" s="704">
        <f t="shared" si="12"/>
        <v>100</v>
      </c>
      <c r="T40" s="703" t="s">
        <v>14</v>
      </c>
      <c r="U40" s="704">
        <f t="shared" si="13"/>
        <v>100</v>
      </c>
      <c r="V40" s="703" t="s">
        <v>14</v>
      </c>
      <c r="W40" s="704">
        <f t="shared" si="14"/>
        <v>100</v>
      </c>
      <c r="X40" s="3469"/>
      <c r="Y40" s="3702"/>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0"/>
      <c r="Q41" s="3472" t="str">
        <f t="shared" si="11"/>
        <v>层高</v>
      </c>
      <c r="R41" s="703" t="s">
        <v>14</v>
      </c>
      <c r="S41" s="704">
        <f t="shared" si="12"/>
        <v>100</v>
      </c>
      <c r="T41" s="703" t="s">
        <v>14</v>
      </c>
      <c r="U41" s="704">
        <f t="shared" si="13"/>
        <v>100</v>
      </c>
      <c r="V41" s="703" t="s">
        <v>14</v>
      </c>
      <c r="W41" s="704">
        <f t="shared" si="14"/>
        <v>100</v>
      </c>
      <c r="X41" s="3469"/>
      <c r="Y41" s="3702"/>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0"/>
      <c r="Q42" s="705" t="str">
        <f t="shared" si="11"/>
        <v>单套建筑面积</v>
      </c>
      <c r="R42" s="706" t="s">
        <v>14</v>
      </c>
      <c r="S42" s="707">
        <f t="shared" si="12"/>
        <v>100</v>
      </c>
      <c r="T42" s="706" t="s">
        <v>14</v>
      </c>
      <c r="U42" s="707">
        <f t="shared" si="13"/>
        <v>100</v>
      </c>
      <c r="V42" s="706" t="s">
        <v>14</v>
      </c>
      <c r="W42" s="707">
        <f t="shared" si="14"/>
        <v>100</v>
      </c>
      <c r="X42" s="708"/>
      <c r="Y42" s="3702"/>
      <c r="Z42" s="709" t="str">
        <f t="shared" si="15"/>
        <v>单套建筑面积</v>
      </c>
      <c r="AA42" s="3473">
        <f t="shared" si="3"/>
        <v>1</v>
      </c>
      <c r="AB42" s="3473">
        <f t="shared" si="4"/>
        <v>1</v>
      </c>
      <c r="AC42" s="1956">
        <f t="shared" si="5"/>
        <v>1</v>
      </c>
    </row>
    <row r="43" spans="1:29" ht="15">
      <c r="A43" s="423"/>
      <c r="B43" s="375" t="s">
        <v>1792</v>
      </c>
      <c r="C43" s="411" t="s">
        <v>3425</v>
      </c>
      <c r="D43" s="386">
        <v>100</v>
      </c>
      <c r="E43" s="411" t="s">
        <v>3425</v>
      </c>
      <c r="F43" s="412">
        <f>SUMIF(123:123,E43,124:124)-SUMIF(123:123,C43,124:124)+100</f>
        <v>100</v>
      </c>
      <c r="G43" s="411" t="s">
        <v>3425</v>
      </c>
      <c r="H43" s="386">
        <f>SUMIF(123:123,G43,124:124)-SUMIF(123:123,C43,124:124)+100</f>
        <v>100</v>
      </c>
      <c r="I43" s="411" t="s">
        <v>3435</v>
      </c>
      <c r="J43" s="386">
        <f>SUMIF(123:123,I43,124:124)-SUMIF(123:123,C43,124:124)+100</f>
        <v>99</v>
      </c>
      <c r="K43" s="561">
        <v>1</v>
      </c>
      <c r="L43" s="2716"/>
      <c r="M43" s="2710"/>
      <c r="N43" s="2710"/>
      <c r="O43" s="2710"/>
      <c r="P43" s="3700"/>
      <c r="Q43" s="3472" t="str">
        <f t="shared" si="11"/>
        <v>内部装修</v>
      </c>
      <c r="R43" s="703" t="s">
        <v>14</v>
      </c>
      <c r="S43" s="704">
        <f t="shared" si="12"/>
        <v>100</v>
      </c>
      <c r="T43" s="703" t="s">
        <v>14</v>
      </c>
      <c r="U43" s="704">
        <f t="shared" si="13"/>
        <v>100</v>
      </c>
      <c r="V43" s="703" t="s">
        <v>14</v>
      </c>
      <c r="W43" s="704">
        <f t="shared" si="14"/>
        <v>99</v>
      </c>
      <c r="X43" s="3469"/>
      <c r="Y43" s="3702"/>
      <c r="Z43" s="3470" t="str">
        <f t="shared" si="15"/>
        <v>内部装修</v>
      </c>
      <c r="AA43" s="3473">
        <f t="shared" si="3"/>
        <v>1</v>
      </c>
      <c r="AB43" s="3473">
        <f t="shared" si="4"/>
        <v>1</v>
      </c>
      <c r="AC43" s="1956">
        <f t="shared" si="5"/>
        <v>1.0101010101010102</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16"/>
      <c r="M44" s="2710"/>
      <c r="N44" s="2710"/>
      <c r="O44" s="2710"/>
      <c r="P44" s="3700"/>
      <c r="Q44" s="3472" t="str">
        <f t="shared" si="11"/>
        <v>内部装修维护情况</v>
      </c>
      <c r="R44" s="703" t="s">
        <v>14</v>
      </c>
      <c r="S44" s="704">
        <f t="shared" si="12"/>
        <v>100</v>
      </c>
      <c r="T44" s="703" t="s">
        <v>14</v>
      </c>
      <c r="U44" s="704">
        <f t="shared" si="13"/>
        <v>100</v>
      </c>
      <c r="V44" s="703" t="s">
        <v>14</v>
      </c>
      <c r="W44" s="704">
        <f t="shared" si="14"/>
        <v>100</v>
      </c>
      <c r="X44" s="3469"/>
      <c r="Y44" s="3702"/>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0"/>
      <c r="Q45" s="3466">
        <f t="shared" si="11"/>
        <v>111</v>
      </c>
      <c r="R45" s="699" t="s">
        <v>14</v>
      </c>
      <c r="S45" s="700">
        <f t="shared" si="12"/>
        <v>100</v>
      </c>
      <c r="T45" s="699" t="s">
        <v>14</v>
      </c>
      <c r="U45" s="700">
        <f t="shared" si="13"/>
        <v>100</v>
      </c>
      <c r="V45" s="699" t="s">
        <v>14</v>
      </c>
      <c r="W45" s="700">
        <f t="shared" si="14"/>
        <v>100</v>
      </c>
      <c r="X45" s="701"/>
      <c r="Y45" s="3702"/>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0"/>
      <c r="Q46" s="3472">
        <f t="shared" si="11"/>
        <v>111</v>
      </c>
      <c r="R46" s="703" t="s">
        <v>14</v>
      </c>
      <c r="S46" s="704">
        <f t="shared" si="12"/>
        <v>100</v>
      </c>
      <c r="T46" s="703" t="s">
        <v>14</v>
      </c>
      <c r="U46" s="704">
        <f t="shared" si="13"/>
        <v>100</v>
      </c>
      <c r="V46" s="703" t="s">
        <v>14</v>
      </c>
      <c r="W46" s="704">
        <f t="shared" si="14"/>
        <v>100</v>
      </c>
      <c r="X46" s="3469"/>
      <c r="Y46" s="3702"/>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1"/>
      <c r="Q47" s="3472">
        <f t="shared" si="11"/>
        <v>111</v>
      </c>
      <c r="R47" s="703" t="s">
        <v>14</v>
      </c>
      <c r="S47" s="704">
        <f t="shared" si="12"/>
        <v>100</v>
      </c>
      <c r="T47" s="703" t="s">
        <v>14</v>
      </c>
      <c r="U47" s="704">
        <f t="shared" si="13"/>
        <v>100</v>
      </c>
      <c r="V47" s="703" t="s">
        <v>14</v>
      </c>
      <c r="W47" s="704">
        <f t="shared" si="14"/>
        <v>100</v>
      </c>
      <c r="X47" s="3469"/>
      <c r="Y47" s="3703"/>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06" t="str">
        <f>A48</f>
        <v>成交单价（元/平方米）</v>
      </c>
      <c r="Q48" s="3695"/>
      <c r="R48" s="3696">
        <f>E48</f>
        <v>28772</v>
      </c>
      <c r="S48" s="3696"/>
      <c r="T48" s="3696">
        <f>G48</f>
        <v>28798</v>
      </c>
      <c r="U48" s="3696"/>
      <c r="V48" s="3696">
        <f>I48</f>
        <v>29993</v>
      </c>
      <c r="W48" s="3696"/>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06" t="str">
        <f>A49</f>
        <v>比较价值（元/平方米）</v>
      </c>
      <c r="Q49" s="3695"/>
      <c r="R49" s="3696">
        <f>IF(F1="售价",ROUND(PRODUCT(R48,AA7:AA47),0),ROUND(PRODUCT(R48,AA7:AA47),1))</f>
        <v>29080</v>
      </c>
      <c r="S49" s="3696"/>
      <c r="T49" s="3696">
        <f>IF(F1="售价",ROUND(PRODUCT(T48,AB7:AB47),0),ROUND(PRODUCT(T48,AB7:AB47),1))</f>
        <v>29107</v>
      </c>
      <c r="U49" s="3696"/>
      <c r="V49" s="3696">
        <f>IF(F1="售价",ROUND(PRODUCT(V48,AC7:AC47),0),ROUND(PRODUCT(V48,AC7:AC47),1))</f>
        <v>31285</v>
      </c>
      <c r="W49" s="3696"/>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2" t="str">
        <f>A50</f>
        <v>估价对象XX用房的比较价值（楼面单价，元/平方米）</v>
      </c>
      <c r="Q50" s="3753"/>
      <c r="R50" s="3754">
        <f>IF(F1="售价",ROUND(IF(D49="简单平均",AVERAGE(R49:V49),R49*F49+T49*H49+V49*J49),0),ROUND(IF(D49="简单平均",AVERAGE(R49:V49),R49*F49+T49*H49+V49*J49),1))</f>
        <v>29824</v>
      </c>
      <c r="S50" s="3754"/>
      <c r="T50" s="3754"/>
      <c r="U50" s="3754"/>
      <c r="V50" s="3754"/>
      <c r="W50" s="375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3410</v>
      </c>
      <c r="D87" s="3477" t="s">
        <v>3411</v>
      </c>
      <c r="E87" s="3477" t="s">
        <v>3412</v>
      </c>
      <c r="F87" s="3477" t="s">
        <v>3413</v>
      </c>
      <c r="G87" s="3477" t="s">
        <v>3415</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3417</v>
      </c>
      <c r="D89" s="3477" t="s">
        <v>3419</v>
      </c>
      <c r="E89" s="3477" t="s">
        <v>3421</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3426</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3428</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3430</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3402</v>
      </c>
      <c r="D117" s="503" t="s">
        <v>3431</v>
      </c>
      <c r="E117" s="503" t="s">
        <v>3432</v>
      </c>
      <c r="F117" s="503" t="s">
        <v>3433</v>
      </c>
      <c r="G117" s="503" t="s">
        <v>3434</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3426</v>
      </c>
      <c r="D123" s="3477" t="s">
        <v>3436</v>
      </c>
      <c r="E123" s="3477" t="s">
        <v>3437</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3" priority="20" stopIfTrue="1" operator="containsText" text="超过">
      <formula>NOT(ISERROR(SEARCH("超过",F53)))</formula>
    </cfRule>
  </conditionalFormatting>
  <conditionalFormatting sqref="H55">
    <cfRule type="containsText" dxfId="192" priority="19" stopIfTrue="1" operator="containsText" text="超过">
      <formula>NOT(ISERROR(SEARCH("超过",H55)))</formula>
    </cfRule>
  </conditionalFormatting>
  <conditionalFormatting sqref="F55">
    <cfRule type="containsText" dxfId="191" priority="18" stopIfTrue="1" operator="containsText" text="超过">
      <formula>NOT(ISERROR(SEARCH("超过",F55)))</formula>
    </cfRule>
  </conditionalFormatting>
  <conditionalFormatting sqref="F54 H54">
    <cfRule type="containsText" dxfId="190" priority="17" stopIfTrue="1" operator="containsText" text="超过">
      <formula>NOT(ISERROR(SEARCH("超过",F54)))</formula>
    </cfRule>
  </conditionalFormatting>
  <conditionalFormatting sqref="E53">
    <cfRule type="expression" dxfId="189" priority="16" stopIfTrue="1">
      <formula>$F$53="超过30%"</formula>
    </cfRule>
  </conditionalFormatting>
  <conditionalFormatting sqref="E54">
    <cfRule type="expression" dxfId="188" priority="15" stopIfTrue="1">
      <formula>$F$54="超过20%"</formula>
    </cfRule>
  </conditionalFormatting>
  <conditionalFormatting sqref="E55">
    <cfRule type="expression" dxfId="187" priority="14" stopIfTrue="1">
      <formula>$F$55="超过30%"</formula>
    </cfRule>
  </conditionalFormatting>
  <conditionalFormatting sqref="G55">
    <cfRule type="expression" dxfId="186" priority="13" stopIfTrue="1">
      <formula>$H$55="超过30%"</formula>
    </cfRule>
  </conditionalFormatting>
  <conditionalFormatting sqref="G53">
    <cfRule type="expression" dxfId="185" priority="12" stopIfTrue="1">
      <formula>$H$53="超过30%"</formula>
    </cfRule>
  </conditionalFormatting>
  <conditionalFormatting sqref="G54">
    <cfRule type="expression" dxfId="184" priority="11" stopIfTrue="1">
      <formula>$H$54="超过20%"</formula>
    </cfRule>
  </conditionalFormatting>
  <conditionalFormatting sqref="J53">
    <cfRule type="containsText" dxfId="183" priority="10" stopIfTrue="1" operator="containsText" text="超过">
      <formula>NOT(ISERROR(SEARCH("超过",J53)))</formula>
    </cfRule>
  </conditionalFormatting>
  <conditionalFormatting sqref="J55">
    <cfRule type="containsText" dxfId="182" priority="9" stopIfTrue="1" operator="containsText" text="超过">
      <formula>NOT(ISERROR(SEARCH("超过",J55)))</formula>
    </cfRule>
  </conditionalFormatting>
  <conditionalFormatting sqref="J54">
    <cfRule type="containsText" dxfId="181" priority="8" stopIfTrue="1" operator="containsText" text="超过">
      <formula>NOT(ISERROR(SEARCH("超过",J54)))</formula>
    </cfRule>
  </conditionalFormatting>
  <conditionalFormatting sqref="I53">
    <cfRule type="expression" dxfId="180" priority="7" stopIfTrue="1">
      <formula>$J$53="超过30%"</formula>
    </cfRule>
  </conditionalFormatting>
  <conditionalFormatting sqref="I54">
    <cfRule type="expression" dxfId="179" priority="6" stopIfTrue="1">
      <formula>$J$53+$J$54="超过20%"</formula>
    </cfRule>
  </conditionalFormatting>
  <conditionalFormatting sqref="I55">
    <cfRule type="expression" dxfId="178" priority="5" stopIfTrue="1">
      <formula>$J$55="超过30%"</formula>
    </cfRule>
  </conditionalFormatting>
  <conditionalFormatting sqref="F49">
    <cfRule type="expression" dxfId="177" priority="4">
      <formula>$D$49="简单平均"</formula>
    </cfRule>
  </conditionalFormatting>
  <conditionalFormatting sqref="H49">
    <cfRule type="expression" dxfId="176" priority="3">
      <formula>$D$49="简单平均"</formula>
    </cfRule>
  </conditionalFormatting>
  <conditionalFormatting sqref="J49">
    <cfRule type="expression" dxfId="175" priority="2">
      <formula>$D$49="简单平均"</formula>
    </cfRule>
  </conditionalFormatting>
  <conditionalFormatting sqref="F7:F47 H7:H47 J7:J47">
    <cfRule type="cellIs" dxfId="17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1804</v>
      </c>
      <c r="D1" s="1356" t="s">
        <v>43</v>
      </c>
      <c r="E1" s="1357" t="s">
        <v>678</v>
      </c>
      <c r="F1" s="1056">
        <f ca="1">J53</f>
        <v>41</v>
      </c>
      <c r="G1" s="1372">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290.20060000000001</v>
      </c>
      <c r="C2" s="1381" t="s">
        <v>879</v>
      </c>
      <c r="D2" s="1465">
        <f ca="1">C40+J29+L46</f>
        <v>2902006</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169961</v>
      </c>
      <c r="D5" s="1358" t="s">
        <v>889</v>
      </c>
      <c r="E5" s="1065"/>
      <c r="F5" s="1066"/>
      <c r="G5" s="1378"/>
      <c r="H5" s="299">
        <v>1</v>
      </c>
      <c r="I5" s="300" t="s">
        <v>888</v>
      </c>
      <c r="J5" s="1064">
        <f ca="1">J6+J10+J12</f>
        <v>0</v>
      </c>
      <c r="K5" s="1358" t="s">
        <v>889</v>
      </c>
      <c r="L5" s="1065"/>
      <c r="M5" s="1066"/>
    </row>
    <row r="6" spans="1:37" ht="18" customHeight="1">
      <c r="A6" s="1063" t="s">
        <v>398</v>
      </c>
      <c r="B6" s="3668" t="s">
        <v>694</v>
      </c>
      <c r="C6" s="1068">
        <f ca="1">ROUND(F6*F8*F7*(1-F9),0)</f>
        <v>169749</v>
      </c>
      <c r="D6" s="155" t="s">
        <v>2105</v>
      </c>
      <c r="E6" s="302" t="s">
        <v>696</v>
      </c>
      <c r="F6" s="303">
        <f ca="1">INDIRECT("'数据-取费表'!u"&amp;$G$1)</f>
        <v>3.5</v>
      </c>
      <c r="G6" s="1378"/>
      <c r="H6" s="1063" t="s">
        <v>398</v>
      </c>
      <c r="I6" s="3668" t="s">
        <v>694</v>
      </c>
      <c r="J6" s="301">
        <f ca="1">ROUND(M6*M8*M7*(1-M9),0)</f>
        <v>0</v>
      </c>
      <c r="K6" s="1370" t="s">
        <v>2106</v>
      </c>
      <c r="L6" s="302" t="s">
        <v>696</v>
      </c>
      <c r="M6" s="303">
        <f ca="1">INDIRECT("'数据-取费表'!z"&amp;$G$1)</f>
        <v>0</v>
      </c>
    </row>
    <row r="7" spans="1:37" ht="18" customHeight="1">
      <c r="A7" s="1067"/>
      <c r="B7" s="3669"/>
      <c r="C7" s="1069"/>
      <c r="D7" s="307"/>
      <c r="E7" s="3452" t="s">
        <v>697</v>
      </c>
      <c r="F7" s="303">
        <f ca="1">IF(INDIRECT("'数据-取费表'!ah"&amp;$G$1)="",INDIRECT("'数据-取费表'!k"&amp;$G$1),INDIRECT("'数据-取费表'!ah"&amp;$G$1))</f>
        <v>147.63999999999999</v>
      </c>
      <c r="G7" s="1378"/>
      <c r="H7" s="304"/>
      <c r="I7" s="3669"/>
      <c r="J7" s="306"/>
      <c r="K7" s="307"/>
      <c r="L7" s="302" t="s">
        <v>697</v>
      </c>
      <c r="M7" s="303">
        <f ca="1">F7</f>
        <v>147.63999999999999</v>
      </c>
    </row>
    <row r="8" spans="1:37" ht="18" customHeight="1">
      <c r="A8" s="304"/>
      <c r="B8" s="3669"/>
      <c r="C8" s="306"/>
      <c r="D8" s="307"/>
      <c r="E8" s="302" t="s">
        <v>698</v>
      </c>
      <c r="F8" s="303">
        <f ca="1">INDIRECT("'数据-取费表'!ai"&amp;$G$1)</f>
        <v>365</v>
      </c>
      <c r="G8" s="1378"/>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78"/>
      <c r="H9" s="304"/>
      <c r="I9" s="3670"/>
      <c r="J9" s="306"/>
      <c r="K9" s="307"/>
      <c r="L9" s="313" t="s">
        <v>699</v>
      </c>
      <c r="M9" s="314">
        <f ca="1">INDIRECT("'数据-取费表'!ab"&amp;$G$1)</f>
        <v>0</v>
      </c>
    </row>
    <row r="10" spans="1:37" ht="18" customHeight="1">
      <c r="A10" s="1063" t="s">
        <v>402</v>
      </c>
      <c r="B10" s="1359" t="s">
        <v>700</v>
      </c>
      <c r="C10" s="316">
        <f ca="1">ROUND(IF(F10="押一",C6/12*F11,IF(F10="押二",C6/12*2*F11,IF(F10="押三",C6/12*3*F11,C11*F11))),0)</f>
        <v>212</v>
      </c>
      <c r="D10" s="1360" t="s">
        <v>2115</v>
      </c>
      <c r="E10" s="313" t="s">
        <v>701</v>
      </c>
      <c r="F10" s="1110" t="s">
        <v>3403</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836874</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664380</v>
      </c>
      <c r="D14" s="3462" t="s">
        <v>708</v>
      </c>
      <c r="E14" s="3461"/>
      <c r="F14" s="319"/>
      <c r="G14" s="1378"/>
      <c r="H14" s="976" t="s">
        <v>398</v>
      </c>
      <c r="I14" s="302" t="s">
        <v>709</v>
      </c>
      <c r="J14" s="21">
        <f ca="1">C29</f>
        <v>950993</v>
      </c>
      <c r="K14" s="3450"/>
      <c r="L14" s="801"/>
      <c r="M14" s="802"/>
    </row>
    <row r="15" spans="1:37" s="1391" customFormat="1" ht="18" customHeight="1" thickBot="1">
      <c r="A15" s="976" t="s">
        <v>399</v>
      </c>
      <c r="B15" s="302" t="s">
        <v>710</v>
      </c>
      <c r="C15" s="21">
        <f ca="1">ROUND(C14*F15,0)</f>
        <v>19931</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4755</v>
      </c>
      <c r="K16" s="1081" t="s">
        <v>715</v>
      </c>
      <c r="L16" s="3467"/>
      <c r="M16" s="1066"/>
    </row>
    <row r="17" spans="1:37" s="1391" customFormat="1" ht="18" customHeight="1">
      <c r="A17" s="976" t="s">
        <v>681</v>
      </c>
      <c r="B17" s="302" t="s">
        <v>716</v>
      </c>
      <c r="C17" s="21">
        <f ca="1">ROUND(F17*(F43+INDIRECT("'数据-取费表'!S"&amp;$G$1)),0)</f>
        <v>29528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13288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727127</v>
      </c>
      <c r="D19" s="131" t="s">
        <v>726</v>
      </c>
      <c r="E19" s="3476"/>
      <c r="F19" s="23"/>
      <c r="G19" s="1378"/>
      <c r="H19" s="976" t="s">
        <v>399</v>
      </c>
      <c r="I19" s="302" t="s">
        <v>727</v>
      </c>
      <c r="J19" s="21">
        <f ca="1">IF(K19="按租金收入计税",ROUND(J6*M19/(1+'数据-取费表'!C42),0),ROUND(C29*M19*0.7,0))</f>
        <v>0</v>
      </c>
      <c r="K19" s="1364" t="s">
        <v>3337</v>
      </c>
      <c r="L19" s="302" t="s">
        <v>712</v>
      </c>
      <c r="M19" s="322">
        <f>IF(K19="按租金收入计税",'数据-取费表'!B51,'数据-取费表'!B50)</f>
        <v>0.12</v>
      </c>
    </row>
    <row r="20" spans="1:37" s="1391" customFormat="1" ht="18" customHeight="1">
      <c r="A20" s="976" t="s">
        <v>402</v>
      </c>
      <c r="B20" s="302" t="s">
        <v>728</v>
      </c>
      <c r="C20" s="21">
        <f ca="1">ROUND(C19*F20,0)</f>
        <v>14543</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4755</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24846</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-4755</v>
      </c>
      <c r="K25" s="1089" t="s">
        <v>753</v>
      </c>
      <c r="L25" s="1090"/>
      <c r="M25" s="1091"/>
    </row>
    <row r="26" spans="1:37" ht="18" customHeight="1">
      <c r="A26" s="976" t="s">
        <v>397</v>
      </c>
      <c r="B26" s="302" t="s">
        <v>754</v>
      </c>
      <c r="C26" s="21">
        <f ca="1">ROUND((C19+C20)*F26,0)</f>
        <v>111251</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950993</v>
      </c>
      <c r="D29" s="1086"/>
      <c r="E29" s="1084"/>
      <c r="F29" s="1087"/>
      <c r="G29" s="1390"/>
      <c r="H29" s="334" t="s">
        <v>396</v>
      </c>
      <c r="I29" s="335" t="s">
        <v>768</v>
      </c>
      <c r="J29" s="336">
        <f ca="1">ROUND(J26/(1+F40)^F41,0)</f>
        <v>0</v>
      </c>
      <c r="K29" s="337" t="s">
        <v>769</v>
      </c>
      <c r="L29" s="338"/>
      <c r="M29" s="339">
        <f ca="1">INDIRECT("'数据-取费表'!k"&amp;$G$1)</f>
        <v>147.63999999999999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35313</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28453</v>
      </c>
      <c r="D31" s="3462" t="s">
        <v>720</v>
      </c>
      <c r="E31" s="3465"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302" t="s">
        <v>723</v>
      </c>
      <c r="C32" s="21">
        <f ca="1">IF(项目基本情况!B11="自然人","——",ROUND(C6*F32/(1+'数据-取费表'!C42),0))</f>
        <v>9053</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19400</v>
      </c>
      <c r="D33" s="1364" t="s">
        <v>3337</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4755</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1255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850</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134648</v>
      </c>
      <c r="D39" s="1089" t="s">
        <v>773</v>
      </c>
      <c r="E39" s="1090"/>
      <c r="F39" s="1091"/>
      <c r="G39" s="1378"/>
      <c r="H39" s="2694"/>
      <c r="I39" s="1392"/>
      <c r="J39" s="1393"/>
      <c r="K39" s="2698"/>
      <c r="L39" s="2694"/>
      <c r="M39" s="2694"/>
    </row>
    <row r="40" spans="1:18" ht="18" customHeight="1">
      <c r="A40" s="299" t="s">
        <v>395</v>
      </c>
      <c r="B40" s="300" t="s">
        <v>774</v>
      </c>
      <c r="C40" s="301">
        <f ca="1">ROUND(C39*(1-((1+F42)/(1+F40))^F41)/(F40-F42),0)</f>
        <v>2882395</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147.63999999999999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3353</v>
      </c>
      <c r="B45" s="1394"/>
      <c r="C45" s="1466">
        <f ca="1">ROUND((C68-C40)/10000,4)</f>
        <v>-297.95010000000002</v>
      </c>
      <c r="D45" s="3425" t="s">
        <v>3354</v>
      </c>
      <c r="E45" s="1394"/>
      <c r="F45" s="1394"/>
      <c r="O45" s="1397" t="s">
        <v>808</v>
      </c>
      <c r="P45" s="1455"/>
      <c r="Q45" s="1455"/>
      <c r="R45" s="1455"/>
    </row>
    <row r="46" spans="1:18" s="1378" customFormat="1" ht="13.5" thickBot="1">
      <c r="A46" s="1398" t="s">
        <v>809</v>
      </c>
      <c r="C46" s="1399">
        <f ca="1">ROUND(C45,0)</f>
        <v>-298</v>
      </c>
      <c r="D46" s="1400" t="str">
        <f>C2</f>
        <v>万元</v>
      </c>
      <c r="I46" s="1401" t="s">
        <v>810</v>
      </c>
      <c r="J46" s="1402"/>
      <c r="K46" s="1403"/>
      <c r="L46" s="1404">
        <f ca="1">IF(M47="住宅",0,IF(L48&gt;J51,L60,J60))</f>
        <v>19611</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3395</v>
      </c>
      <c r="K47" s="1410" t="s">
        <v>816</v>
      </c>
      <c r="L47" s="1411">
        <f ca="1">INDIRECT("'数据-取费表'!d"&amp;$G$1)</f>
        <v>50</v>
      </c>
      <c r="M47" s="1374" t="str">
        <f>IF(ISNUMBER(FIND("住宅",C1)),"住宅","非住宅")</f>
        <v>非住宅</v>
      </c>
      <c r="O47" s="1412" t="s">
        <v>403</v>
      </c>
      <c r="P47" s="1413" t="s">
        <v>817</v>
      </c>
      <c r="Q47" s="1414">
        <f ca="1">C40+J29</f>
        <v>2882395</v>
      </c>
      <c r="R47" s="1414" t="s">
        <v>818</v>
      </c>
    </row>
    <row r="48" spans="1:18" s="1378" customFormat="1" ht="28.5" thickBot="1">
      <c r="A48" s="1104" t="s">
        <v>438</v>
      </c>
      <c r="B48" s="300" t="s">
        <v>692</v>
      </c>
      <c r="C48" s="3475">
        <f ca="1">C49+C53+C55</f>
        <v>0</v>
      </c>
      <c r="D48" s="1106"/>
      <c r="E48" s="1107"/>
      <c r="F48" s="956"/>
      <c r="G48" s="720"/>
      <c r="H48" s="721"/>
      <c r="I48" s="1415" t="s">
        <v>819</v>
      </c>
      <c r="J48" s="1416" t="s">
        <v>3396</v>
      </c>
      <c r="K48" s="1417" t="s">
        <v>820</v>
      </c>
      <c r="L48" s="1418">
        <f ca="1">INDIRECT("'数据-取费表'!f"&amp;$G$1)</f>
        <v>41</v>
      </c>
      <c r="O48" s="1412" t="s">
        <v>404</v>
      </c>
      <c r="P48" s="1413" t="s">
        <v>821</v>
      </c>
      <c r="Q48" s="1414">
        <f ca="1">J60</f>
        <v>19611</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950993</v>
      </c>
      <c r="R49" s="1414" t="s">
        <v>818</v>
      </c>
    </row>
    <row r="50" spans="1:18" s="1378" customFormat="1" ht="13.5" thickBot="1">
      <c r="A50" s="970"/>
      <c r="B50" s="973"/>
      <c r="C50" s="974"/>
      <c r="D50" s="947"/>
      <c r="E50" s="1050" t="s">
        <v>697</v>
      </c>
      <c r="F50" s="1051">
        <f ca="1">F7</f>
        <v>147.63999999999999</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1406734</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66" t="s">
        <v>837</v>
      </c>
      <c r="L53" s="3667"/>
      <c r="O53" s="1412" t="s">
        <v>409</v>
      </c>
      <c r="P53" s="1413" t="s">
        <v>838</v>
      </c>
      <c r="Q53" s="1414">
        <f ca="1">Q47+Q48</f>
        <v>2902006</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836874</v>
      </c>
      <c r="D56" s="1441"/>
      <c r="E56" s="1442"/>
      <c r="F56" s="1434"/>
      <c r="I56" s="1443" t="s">
        <v>842</v>
      </c>
      <c r="J56" s="1444" t="s">
        <v>3388</v>
      </c>
      <c r="K56" s="1415" t="s">
        <v>843</v>
      </c>
      <c r="L56" s="1418" t="str">
        <f ca="1">IF(L48&lt;J51,"——",L48-J51)</f>
        <v>——</v>
      </c>
      <c r="O56" s="1412" t="s">
        <v>403</v>
      </c>
      <c r="P56" s="1413" t="s">
        <v>817</v>
      </c>
      <c r="Q56" s="1414">
        <f ca="1">C40+J29</f>
        <v>2882395</v>
      </c>
      <c r="R56" s="1414" t="s">
        <v>818</v>
      </c>
    </row>
    <row r="57" spans="1:18" s="1378" customFormat="1" ht="24.75" thickBot="1">
      <c r="A57" s="1445"/>
      <c r="B57" s="944" t="s">
        <v>767</v>
      </c>
      <c r="C57" s="238">
        <f ca="1">C29</f>
        <v>950993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6010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380397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19611</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3337</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2882395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4755</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1255</v>
      </c>
      <c r="D65" s="958" t="s">
        <v>743</v>
      </c>
      <c r="E65" s="944" t="s">
        <v>744</v>
      </c>
      <c r="F65" s="330">
        <f t="shared" ca="1" si="0"/>
        <v>1.5E-3</v>
      </c>
      <c r="I65" s="1456" t="s">
        <v>867</v>
      </c>
      <c r="J65" s="1457">
        <v>40</v>
      </c>
      <c r="K65" s="1457">
        <v>30</v>
      </c>
      <c r="L65" s="1457">
        <v>50</v>
      </c>
      <c r="M65" s="1459">
        <v>0.02</v>
      </c>
      <c r="O65" s="1412" t="s">
        <v>403</v>
      </c>
      <c r="P65" s="1413" t="s">
        <v>868</v>
      </c>
      <c r="Q65" s="1414">
        <f ca="1">C40+J29</f>
        <v>2882395</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-6010</v>
      </c>
      <c r="D67" s="957" t="s">
        <v>753</v>
      </c>
      <c r="E67" s="962"/>
      <c r="F67" s="963"/>
      <c r="O67" s="1422" t="s">
        <v>405</v>
      </c>
      <c r="P67" s="1413" t="s">
        <v>850</v>
      </c>
      <c r="Q67" s="1460">
        <f ca="1">L51</f>
        <v>1406734</v>
      </c>
      <c r="R67" s="1414" t="s">
        <v>870</v>
      </c>
    </row>
    <row r="68" spans="1:18" s="1378" customFormat="1" ht="16.5" thickBot="1">
      <c r="A68" s="941" t="s">
        <v>395</v>
      </c>
      <c r="B68" s="942" t="s">
        <v>774</v>
      </c>
      <c r="C68" s="301">
        <f ca="1">ROUND(C67*(1-((1+F70)/(1+F68))^F69)/(F68-F70),0)</f>
        <v>-97106</v>
      </c>
      <c r="D68" s="959" t="s">
        <v>758</v>
      </c>
      <c r="E68" s="944" t="s">
        <v>759</v>
      </c>
      <c r="F68" s="312">
        <f ca="1">F40</f>
        <v>5.5E-2</v>
      </c>
      <c r="O68" s="1422" t="s">
        <v>406</v>
      </c>
      <c r="P68" s="1461" t="s">
        <v>871</v>
      </c>
      <c r="Q68" s="1414">
        <f ca="1">ROUND(Q69-Q70*Q71,0)</f>
        <v>76067</v>
      </c>
      <c r="R68" s="1414" t="s">
        <v>414</v>
      </c>
    </row>
    <row r="69" spans="1:18" s="1378" customFormat="1" ht="13.5" thickBot="1">
      <c r="A69" s="945"/>
      <c r="B69" s="946"/>
      <c r="C69" s="306"/>
      <c r="D69" s="964" t="s">
        <v>762</v>
      </c>
      <c r="E69" s="944" t="s">
        <v>763</v>
      </c>
      <c r="F69" s="333">
        <f ca="1">F41</f>
        <v>41</v>
      </c>
      <c r="O69" s="1422" t="s">
        <v>411</v>
      </c>
      <c r="P69" s="1461" t="s">
        <v>872</v>
      </c>
      <c r="Q69" s="1414">
        <f ca="1">C39</f>
        <v>134648</v>
      </c>
      <c r="R69" s="1414" t="s">
        <v>818</v>
      </c>
    </row>
    <row r="70" spans="1:18" s="1378" customFormat="1" ht="13.5" thickBot="1">
      <c r="A70" s="948"/>
      <c r="B70" s="949"/>
      <c r="C70" s="310"/>
      <c r="D70" s="960"/>
      <c r="E70" s="944" t="s">
        <v>766</v>
      </c>
      <c r="F70" s="1048"/>
      <c r="O70" s="1422" t="s">
        <v>412</v>
      </c>
      <c r="P70" s="1461" t="s">
        <v>873</v>
      </c>
      <c r="Q70" s="1414">
        <f ca="1">C13</f>
        <v>836874</v>
      </c>
      <c r="R70" s="1414" t="s">
        <v>818</v>
      </c>
    </row>
    <row r="71" spans="1:18" s="1378" customFormat="1" ht="13.5" thickBot="1">
      <c r="A71" s="965" t="s">
        <v>396</v>
      </c>
      <c r="B71" s="966" t="s">
        <v>776</v>
      </c>
      <c r="C71" s="336">
        <f ca="1">ROUND(C68/F71,0)</f>
        <v>-658</v>
      </c>
      <c r="D71" s="967" t="s">
        <v>777</v>
      </c>
      <c r="E71" s="968" t="s">
        <v>778</v>
      </c>
      <c r="F71" s="339">
        <f ca="1">F43</f>
        <v>147.63999999999999</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58581</v>
      </c>
      <c r="D75" s="1378"/>
      <c r="E75" s="1378"/>
      <c r="F75" s="1378"/>
      <c r="K75" s="1396"/>
      <c r="L75" s="1378"/>
      <c r="O75" s="1412" t="s">
        <v>409</v>
      </c>
      <c r="P75" s="1413" t="s">
        <v>838</v>
      </c>
      <c r="Q75" s="1414">
        <f ca="1">Q65+Q66</f>
        <v>2882395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0000"/>
  </sheetPr>
  <dimension ref="A1:AJ512"/>
  <sheetViews>
    <sheetView view="pageBreakPreview" topLeftCell="A67" zoomScaleNormal="100" zoomScaleSheetLayoutView="100" zoomScalePageLayoutView="80" workbookViewId="0">
      <selection activeCell="G77" sqref="G77"/>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1805</v>
      </c>
      <c r="D1" s="1741"/>
      <c r="E1" s="1741"/>
      <c r="F1" s="1743" t="s">
        <v>1263</v>
      </c>
      <c r="G1" s="1555"/>
      <c r="H1" s="1744" t="str">
        <f>IF(G1="现房","——","估价对象范围")</f>
        <v>估价对象范围</v>
      </c>
      <c r="I1" s="1745"/>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48" t="s">
        <v>1265</v>
      </c>
      <c r="B4" s="1749" t="s">
        <v>1266</v>
      </c>
      <c r="C4" s="1750" t="s">
        <v>3452</v>
      </c>
      <c r="D4" s="1750" t="s">
        <v>3447</v>
      </c>
      <c r="E4" s="3609" t="s">
        <v>1267</v>
      </c>
      <c r="F4" s="3610"/>
      <c r="G4" s="3610"/>
      <c r="H4" s="3610"/>
      <c r="I4" s="3611"/>
      <c r="K4" s="146" t="str">
        <f>IF(ISNUMBER(FIND("比较法",'结果表-1805'!C4)),"比较法",IF(ISNUMBER(FIND("成本法",'结果表-1805'!C4)),"成本法",IF(ISNUMBER(FIND("假设开发法",'结果表-1805'!C4)),"假设开发法",IF(ISNUMBER(FIND("收益法",'结果表-1805'!C4)),"收益法","基准地价系数修正法"))))</f>
        <v>比较法</v>
      </c>
      <c r="L4" s="146" t="str">
        <f>IF(ISNUMBER(FIND("比较法",'结果表-1805'!D4)),"比较法",IF(ISNUMBER(FIND("成本法",'结果表-1805'!D4)),"成本法",IF(ISNUMBER(FIND("假设开发法",'结果表-1805'!D4)),"假设开发法",IF(ISNUMBER(FIND("收益法",'结果表-1805'!D4)),"收益法","基准地价系数修正法"))))</f>
        <v>收益法</v>
      </c>
    </row>
    <row r="5" spans="1:12" ht="12.75">
      <c r="A5" s="3583" t="s">
        <v>1268</v>
      </c>
      <c r="B5" s="3570">
        <v>25</v>
      </c>
      <c r="C5" s="3586"/>
      <c r="D5" s="3606"/>
      <c r="E5" s="131" t="s">
        <v>1269</v>
      </c>
      <c r="F5" s="1751"/>
      <c r="G5" s="1751"/>
      <c r="H5" s="1751"/>
      <c r="I5" s="1367"/>
    </row>
    <row r="6" spans="1:12" ht="12.75">
      <c r="A6" s="3583"/>
      <c r="B6" s="3570"/>
      <c r="C6" s="3587"/>
      <c r="D6" s="3606"/>
      <c r="E6" s="131" t="s">
        <v>1270</v>
      </c>
      <c r="F6" s="1751"/>
      <c r="G6" s="1751"/>
      <c r="H6" s="1751"/>
      <c r="I6" s="1367"/>
    </row>
    <row r="7" spans="1:12" ht="12.75">
      <c r="A7" s="3583"/>
      <c r="B7" s="3570"/>
      <c r="C7" s="3588"/>
      <c r="D7" s="3606"/>
      <c r="E7" s="131" t="s">
        <v>1271</v>
      </c>
      <c r="F7" s="1751"/>
      <c r="G7" s="1751"/>
      <c r="H7" s="1751"/>
      <c r="I7" s="1367"/>
    </row>
    <row r="8" spans="1:12" ht="12.75">
      <c r="A8" s="3583" t="s">
        <v>1272</v>
      </c>
      <c r="B8" s="3570">
        <v>15</v>
      </c>
      <c r="C8" s="3586"/>
      <c r="D8" s="3606"/>
      <c r="E8" s="131" t="s">
        <v>1273</v>
      </c>
      <c r="F8" s="1751"/>
      <c r="G8" s="1751"/>
      <c r="H8" s="1751"/>
      <c r="I8" s="1367"/>
    </row>
    <row r="9" spans="1:12" ht="12.75">
      <c r="A9" s="3583"/>
      <c r="B9" s="3570"/>
      <c r="C9" s="3588"/>
      <c r="D9" s="3606"/>
      <c r="E9" s="131" t="s">
        <v>1274</v>
      </c>
      <c r="F9" s="1751"/>
      <c r="G9" s="1751"/>
      <c r="H9" s="1751"/>
      <c r="I9" s="1367"/>
    </row>
    <row r="10" spans="1:12" ht="12.75">
      <c r="A10" s="3583" t="s">
        <v>1275</v>
      </c>
      <c r="B10" s="3570">
        <v>15</v>
      </c>
      <c r="C10" s="3586"/>
      <c r="D10" s="3606"/>
      <c r="E10" s="131" t="s">
        <v>1276</v>
      </c>
      <c r="F10" s="1751"/>
      <c r="G10" s="1751"/>
      <c r="H10" s="1751"/>
      <c r="I10" s="1367"/>
    </row>
    <row r="11" spans="1:12" ht="12.75">
      <c r="A11" s="3583"/>
      <c r="B11" s="3570"/>
      <c r="C11" s="3588"/>
      <c r="D11" s="3606"/>
      <c r="E11" s="131" t="s">
        <v>1277</v>
      </c>
      <c r="F11" s="1751"/>
      <c r="G11" s="1751"/>
      <c r="H11" s="1751"/>
      <c r="I11" s="1367"/>
    </row>
    <row r="12" spans="1:12" ht="12.75">
      <c r="A12" s="3583" t="s">
        <v>1278</v>
      </c>
      <c r="B12" s="3570">
        <v>15</v>
      </c>
      <c r="C12" s="3586"/>
      <c r="D12" s="3606"/>
      <c r="E12" s="131" t="s">
        <v>1279</v>
      </c>
      <c r="F12" s="1751"/>
      <c r="G12" s="1751"/>
      <c r="H12" s="1751"/>
      <c r="I12" s="1367"/>
    </row>
    <row r="13" spans="1:12" ht="12.75">
      <c r="A13" s="3583"/>
      <c r="B13" s="3570"/>
      <c r="C13" s="3588"/>
      <c r="D13" s="3606"/>
      <c r="E13" s="131" t="s">
        <v>1280</v>
      </c>
      <c r="F13" s="1751"/>
      <c r="G13" s="1751"/>
      <c r="H13" s="1751"/>
      <c r="I13" s="1367"/>
    </row>
    <row r="14" spans="1:12" ht="12.75">
      <c r="A14" s="3583" t="s">
        <v>1281</v>
      </c>
      <c r="B14" s="3570">
        <v>30</v>
      </c>
      <c r="C14" s="3586">
        <v>7</v>
      </c>
      <c r="D14" s="3606">
        <v>3</v>
      </c>
      <c r="E14" s="131" t="s">
        <v>1282</v>
      </c>
      <c r="F14" s="1751"/>
      <c r="G14" s="1751"/>
      <c r="H14" s="1751"/>
      <c r="I14" s="1367"/>
    </row>
    <row r="15" spans="1:12" ht="12.75">
      <c r="A15" s="3583"/>
      <c r="B15" s="3570"/>
      <c r="C15" s="3587"/>
      <c r="D15" s="3606"/>
      <c r="E15" s="131" t="s">
        <v>1283</v>
      </c>
      <c r="F15" s="1751"/>
      <c r="G15" s="1751"/>
      <c r="H15" s="1751"/>
      <c r="I15" s="1367"/>
    </row>
    <row r="16" spans="1:12" ht="12.75">
      <c r="A16" s="3583"/>
      <c r="B16" s="3570"/>
      <c r="C16" s="3588"/>
      <c r="D16" s="3606"/>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3" t="s">
        <v>2130</v>
      </c>
      <c r="F18" s="3594"/>
      <c r="G18" s="3594"/>
      <c r="H18" s="3594"/>
      <c r="I18" s="3594"/>
      <c r="K18" s="302" t="s">
        <v>1289</v>
      </c>
      <c r="L18" s="302">
        <f>IF(C1="",'数据-汇总表'!E3,SUMIF(项目类型,C1,'数据-汇总表'!E17:E26)+SUMIF(项目类型,C1,'数据-汇总表'!I17:I26))</f>
        <v>207.53</v>
      </c>
      <c r="M18" s="302">
        <f>IF(C1="",'数据-汇总表'!E3,SUMIF(项目类型,C1,'数据-汇总表'!E17:E26))</f>
        <v>207.53</v>
      </c>
    </row>
    <row r="19" spans="1:36" ht="15">
      <c r="A19" s="1755" t="s">
        <v>1290</v>
      </c>
      <c r="B19" s="1756" t="s">
        <v>1291</v>
      </c>
      <c r="C19" s="134">
        <f ca="1">SUMIF(INDIRECT("'"&amp;C4&amp;"'"&amp;"!A:A"),'结果表-1805'!B19,INDIRECT("'"&amp;C4&amp;"'"&amp;"!B:B"))</f>
        <v>618.9375</v>
      </c>
      <c r="D19" s="135">
        <f ca="1">SUMIF(INDIRECT("'"&amp;D4&amp;"'"&amp;"!A:A"),'结果表-1805'!B19,INDIRECT("'"&amp;D4&amp;"'"&amp;"!B:B"))</f>
        <v>407.91840000000002</v>
      </c>
      <c r="E19" s="1755" t="s">
        <v>1292</v>
      </c>
      <c r="F19" s="1756" t="s">
        <v>1291</v>
      </c>
      <c r="G19" s="136">
        <f ca="1">ROUND(C19*$C$18+D19*$D$18,0)</f>
        <v>556</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SUMIF(INDIRECT("'"&amp;C4&amp;"'"&amp;"!A:A"),'结果表-1805'!B20,INDIRECT("'"&amp;C4&amp;"'"&amp;"!B:B"))</f>
        <v>29824</v>
      </c>
      <c r="D20" s="138">
        <f ca="1">SUMIF(INDIRECT("'"&amp;D4&amp;"'"&amp;"!A:A"),'结果表-1805'!B20,INDIRECT("'"&amp;D4&amp;"'"&amp;"!B:B"))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0.51730713789816773</v>
      </c>
      <c r="E22" s="129"/>
      <c r="F22" s="129"/>
      <c r="G22" s="129"/>
      <c r="H22" s="129"/>
      <c r="I22" s="129"/>
    </row>
    <row r="23" spans="1:36" ht="13.5" thickBot="1">
      <c r="A23" s="1741"/>
      <c r="B23" s="1741"/>
      <c r="C23" s="1741"/>
      <c r="D23" s="1741"/>
      <c r="E23" s="129"/>
      <c r="F23" s="129"/>
      <c r="G23" s="129"/>
      <c r="H23" s="129"/>
      <c r="I23" s="129"/>
    </row>
    <row r="24" spans="1:36" ht="14.25">
      <c r="A24" s="3577" t="s">
        <v>1299</v>
      </c>
      <c r="B24" s="1756" t="s">
        <v>1291</v>
      </c>
      <c r="C24" s="136">
        <f>IF(B30=0,0,D30)</f>
        <v>0</v>
      </c>
      <c r="D24" s="1763"/>
      <c r="E24" s="129"/>
      <c r="F24" s="129"/>
      <c r="G24" s="129"/>
      <c r="H24" s="129"/>
      <c r="I24" s="129"/>
    </row>
    <row r="25" spans="1:36" ht="14.25">
      <c r="A25" s="3578"/>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3404</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597" t="s">
        <v>1312</v>
      </c>
      <c r="B36" s="1781" t="s">
        <v>1313</v>
      </c>
      <c r="C36" s="145"/>
      <c r="D36" s="1782"/>
      <c r="E36" s="1783"/>
      <c r="F36" s="1784"/>
      <c r="G36" s="129"/>
      <c r="H36" s="129"/>
      <c r="I36" s="129"/>
    </row>
    <row r="37" spans="1:15" ht="15.75" thickBot="1">
      <c r="A37" s="3598"/>
      <c r="B37" s="1668" t="s">
        <v>1314</v>
      </c>
      <c r="C37" s="147"/>
      <c r="D37" s="1133"/>
      <c r="E37" s="1133"/>
      <c r="F37" s="1784"/>
      <c r="G37" s="129"/>
      <c r="H37" s="129"/>
      <c r="I37" s="129"/>
    </row>
    <row r="38" spans="1:15" ht="15.75" thickBot="1">
      <c r="A38" s="3599"/>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4" t="s">
        <v>1326</v>
      </c>
      <c r="B45" s="3575"/>
      <c r="C45" s="3576"/>
      <c r="D45" s="155">
        <f ca="1">ROUND(H101*F45,0)</f>
        <v>556</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0"/>
      <c r="I46" s="159"/>
      <c r="J46" s="3455">
        <v>1</v>
      </c>
      <c r="K46" s="3633" t="s">
        <v>1331</v>
      </c>
      <c r="L46" s="3633"/>
      <c r="M46" s="3653"/>
      <c r="N46" s="3653"/>
      <c r="O46" s="3653"/>
    </row>
    <row r="47" spans="1:15" ht="12" customHeight="1">
      <c r="A47" s="160" t="s">
        <v>1332</v>
      </c>
      <c r="B47" s="161"/>
      <c r="C47" s="162"/>
      <c r="D47" s="1081" t="s">
        <v>1333</v>
      </c>
      <c r="E47" s="302" t="s">
        <v>1334</v>
      </c>
      <c r="F47" s="163" t="s">
        <v>1335</v>
      </c>
      <c r="G47" s="2540" t="s">
        <v>1336</v>
      </c>
      <c r="H47" s="2541"/>
      <c r="I47" s="159"/>
      <c r="J47" s="3455">
        <v>2</v>
      </c>
      <c r="K47" s="3633" t="s">
        <v>1337</v>
      </c>
      <c r="L47" s="3633"/>
      <c r="M47" s="3654">
        <f>'数据-取费表'!B2</f>
        <v>45506</v>
      </c>
      <c r="N47" s="3654"/>
      <c r="O47" s="3654"/>
    </row>
    <row r="48" spans="1:15" ht="25.5">
      <c r="A48" s="3602" t="s">
        <v>1338</v>
      </c>
      <c r="B48" s="3585"/>
      <c r="C48" s="3585"/>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3440</v>
      </c>
      <c r="I48" s="1800"/>
      <c r="J48" s="3455">
        <v>3</v>
      </c>
      <c r="K48" s="3633" t="s">
        <v>1340</v>
      </c>
      <c r="L48" s="3633"/>
      <c r="M48" s="3655">
        <f ca="1">H101</f>
        <v>556</v>
      </c>
      <c r="N48" s="3655"/>
      <c r="O48" s="3655"/>
    </row>
    <row r="49" spans="1:35" ht="25.5" customHeight="1">
      <c r="A49" s="3464" t="s">
        <v>1341</v>
      </c>
      <c r="B49" s="3569" t="s">
        <v>1342</v>
      </c>
      <c r="C49" s="3569"/>
      <c r="D49" s="1584">
        <v>0</v>
      </c>
      <c r="E49" s="324" t="s">
        <v>1343</v>
      </c>
      <c r="F49" s="3447" t="s">
        <v>28</v>
      </c>
      <c r="G49" s="3639"/>
      <c r="H49" s="2304" t="s">
        <v>2133</v>
      </c>
      <c r="I49" s="2305"/>
      <c r="J49" s="3455">
        <v>4</v>
      </c>
      <c r="K49" s="3633" t="str">
        <f>IF(项目基本情况!E8="房地产抵押价值","房地产抵押价值","抵押担保权已注销时的房地产抵押价值")</f>
        <v>房地产抵押价值</v>
      </c>
      <c r="L49" s="3633"/>
      <c r="M49" s="3655">
        <f ca="1">IF(项目基本情况!E8="房地产抵押价值",H107,H109)</f>
        <v>556</v>
      </c>
      <c r="N49" s="3655"/>
      <c r="O49" s="3655"/>
    </row>
    <row r="50" spans="1:35" ht="25.5" customHeight="1">
      <c r="A50" s="2545"/>
      <c r="B50" s="3569" t="s">
        <v>1344</v>
      </c>
      <c r="C50" s="3569"/>
      <c r="D50" s="2546"/>
      <c r="E50" s="332"/>
      <c r="F50" s="3447"/>
      <c r="G50" s="3640"/>
      <c r="H50" s="2306" t="s">
        <v>2134</v>
      </c>
      <c r="I50" s="2305"/>
      <c r="J50" s="3652" t="s">
        <v>1345</v>
      </c>
      <c r="K50" s="3652"/>
      <c r="L50" s="3652"/>
      <c r="M50" s="3652"/>
      <c r="N50" s="3652"/>
      <c r="O50" s="3652"/>
    </row>
    <row r="51" spans="1:35" ht="20.45" customHeight="1">
      <c r="A51" s="2547"/>
      <c r="B51" s="3569" t="s">
        <v>1346</v>
      </c>
      <c r="C51" s="3569"/>
      <c r="D51" s="1081"/>
      <c r="E51" s="327"/>
      <c r="F51" s="3447"/>
      <c r="G51" s="3641"/>
      <c r="H51" s="2306" t="s">
        <v>2135</v>
      </c>
      <c r="I51" s="2305"/>
      <c r="J51" s="3449" t="s">
        <v>1347</v>
      </c>
      <c r="K51" s="3633" t="s">
        <v>1348</v>
      </c>
      <c r="L51" s="3633"/>
      <c r="M51" s="3449" t="s">
        <v>1349</v>
      </c>
      <c r="N51" s="3449" t="s">
        <v>1350</v>
      </c>
      <c r="O51" s="3449" t="s">
        <v>1351</v>
      </c>
    </row>
    <row r="52" spans="1:35" ht="24" customHeight="1">
      <c r="A52" s="3468" t="s">
        <v>1352</v>
      </c>
      <c r="B52" s="3569" t="s">
        <v>1353</v>
      </c>
      <c r="C52" s="3569"/>
      <c r="D52" s="1081">
        <f ca="1">ROUND(D45*'数据-取费表'!B41/(1+'数据-取费表'!C42),0)</f>
        <v>30</v>
      </c>
      <c r="E52" s="3465" t="s">
        <v>1354</v>
      </c>
      <c r="F52" s="2548">
        <f>'数据-取费表'!B41</f>
        <v>5.6000000000000001E-2</v>
      </c>
      <c r="G52" s="2549"/>
      <c r="H52" s="2538"/>
      <c r="I52" s="1801"/>
      <c r="J52" s="3455">
        <v>1</v>
      </c>
      <c r="K52" s="3634" t="s">
        <v>1355</v>
      </c>
      <c r="L52" s="3634"/>
      <c r="M52" s="2519">
        <f ca="1">D48</f>
        <v>0</v>
      </c>
      <c r="N52" s="3455" t="str">
        <f>E48</f>
        <v>(销售额-原购置价)×税（费）率</v>
      </c>
      <c r="O52" s="2520">
        <f>F48</f>
        <v>5.6000000000000001E-2</v>
      </c>
    </row>
    <row r="53" spans="1:35" ht="12" customHeight="1">
      <c r="A53" s="3468" t="s">
        <v>1356</v>
      </c>
      <c r="B53" s="3595" t="s">
        <v>2290</v>
      </c>
      <c r="C53" s="3596"/>
      <c r="D53" s="1081">
        <f ca="1">ROUND(D45*'数据-取费表'!B41/(1+'数据-取费表'!C42),0)</f>
        <v>30</v>
      </c>
      <c r="E53" s="3465" t="s">
        <v>1354</v>
      </c>
      <c r="F53" s="2548">
        <f>'数据-取费表'!B41</f>
        <v>5.6000000000000001E-2</v>
      </c>
      <c r="G53" s="2549"/>
      <c r="H53" s="2538"/>
      <c r="I53" s="1801"/>
      <c r="J53" s="3455">
        <v>2</v>
      </c>
      <c r="K53" s="3634" t="s">
        <v>1357</v>
      </c>
      <c r="L53" s="3634"/>
      <c r="M53" s="2519">
        <f t="shared" ref="M53:O54" ca="1" si="0">D55</f>
        <v>0</v>
      </c>
      <c r="N53" s="3455" t="str">
        <f t="shared" si="0"/>
        <v>销售额×税（费）率</v>
      </c>
      <c r="O53" s="2520">
        <f t="shared" si="0"/>
        <v>5.0000000000000001E-4</v>
      </c>
    </row>
    <row r="54" spans="1:35" ht="12" customHeight="1">
      <c r="A54" s="3468" t="s">
        <v>1358</v>
      </c>
      <c r="B54" s="3595" t="s">
        <v>2291</v>
      </c>
      <c r="C54" s="3596"/>
      <c r="D54" s="1081">
        <f ca="1">C68</f>
        <v>0</v>
      </c>
      <c r="E54" s="327" t="s">
        <v>1359</v>
      </c>
      <c r="F54" s="2548">
        <f>'数据-取费表'!B41</f>
        <v>5.6000000000000001E-2</v>
      </c>
      <c r="G54" s="2549"/>
      <c r="H54" s="2550"/>
      <c r="I54" s="1801"/>
      <c r="J54" s="3455">
        <v>3</v>
      </c>
      <c r="K54" s="3634" t="s">
        <v>1360</v>
      </c>
      <c r="L54" s="3634"/>
      <c r="M54" s="2519">
        <f t="shared" ca="1" si="0"/>
        <v>0</v>
      </c>
      <c r="N54" s="3455" t="str">
        <f t="shared" si="0"/>
        <v>增值额×税（费）率</v>
      </c>
      <c r="O54" s="2521" t="str">
        <f t="shared" si="0"/>
        <v>——</v>
      </c>
    </row>
    <row r="55" spans="1:35" ht="24" customHeight="1">
      <c r="A55" s="3584" t="s">
        <v>1361</v>
      </c>
      <c r="B55" s="3585"/>
      <c r="C55" s="3585"/>
      <c r="D55" s="3450">
        <f ca="1">IF(H55="个人住宅",0,ROUND(D45*I55,0))</f>
        <v>0</v>
      </c>
      <c r="E55" s="3465" t="s">
        <v>1362</v>
      </c>
      <c r="F55" s="2548">
        <f>IF(H55="正常",I55,"免征")</f>
        <v>5.0000000000000001E-4</v>
      </c>
      <c r="G55" s="2549"/>
      <c r="H55" s="2544" t="s">
        <v>3400</v>
      </c>
      <c r="I55" s="165">
        <f>'数据-取费表'!B49</f>
        <v>5.0000000000000001E-4</v>
      </c>
      <c r="J55" s="3455" t="str">
        <f>IF(H59="非个人房产","",4)</f>
        <v/>
      </c>
      <c r="K55" s="3634" t="str">
        <f>IF(H59="非个人房产","——","个人所得税")</f>
        <v>——</v>
      </c>
      <c r="L55" s="3634"/>
      <c r="M55" s="2522" t="str">
        <f>D59</f>
        <v>——</v>
      </c>
      <c r="N55" s="3456" t="str">
        <f>E59</f>
        <v>——</v>
      </c>
      <c r="O55" s="2523" t="str">
        <f>F59</f>
        <v>——</v>
      </c>
    </row>
    <row r="56" spans="1:35" ht="24.75">
      <c r="A56" s="3584" t="s">
        <v>1363</v>
      </c>
      <c r="B56" s="3585"/>
      <c r="C56" s="3585"/>
      <c r="D56" s="3450">
        <f ca="1">IF(H56="个人住宅",D57,D58)</f>
        <v>0</v>
      </c>
      <c r="E56" s="3465" t="s">
        <v>1364</v>
      </c>
      <c r="F56" s="2548" t="str">
        <f>IF(H56="正常",F58,"免征")</f>
        <v>——</v>
      </c>
      <c r="G56" s="2551" t="s">
        <v>1365</v>
      </c>
      <c r="H56" s="2552" t="s">
        <v>3400</v>
      </c>
      <c r="I56" s="1802"/>
      <c r="J56" s="3455" t="str">
        <f>IF(项目基本情况!K6="上海银行",IF(J55="",4,J55+1),"")</f>
        <v/>
      </c>
      <c r="K56" s="3657" t="str">
        <f>IF(项目基本情况!K6="上海银行","其他处置费用","")</f>
        <v/>
      </c>
      <c r="L56" s="3658"/>
      <c r="M56" s="2519" t="str">
        <f>IF(项目基本情况!K6="上海银行",M69,"")</f>
        <v/>
      </c>
      <c r="N56" s="3657" t="str">
        <f>IF(项目基本情况!K6="上海银行","包含处置中涉及的律师、诉讼、拍卖、评估等费用","")</f>
        <v/>
      </c>
      <c r="O56" s="3660"/>
    </row>
    <row r="57" spans="1:35" ht="12.75">
      <c r="A57" s="3468" t="s">
        <v>1341</v>
      </c>
      <c r="B57" s="3595" t="s">
        <v>1366</v>
      </c>
      <c r="C57" s="3596"/>
      <c r="D57" s="1584">
        <v>0</v>
      </c>
      <c r="E57" s="324" t="s">
        <v>1343</v>
      </c>
      <c r="F57" s="302"/>
      <c r="G57" s="2549"/>
      <c r="H57" s="2553"/>
      <c r="I57" s="1802"/>
      <c r="J57" s="3634">
        <f>IF(AND(J55="",J56=""),4,IF(项目基本情况!K6="上海银行",'结果表-1805'!J56+1,'结果表-1805'!J55+1))</f>
        <v>4</v>
      </c>
      <c r="K57" s="3634" t="s">
        <v>1367</v>
      </c>
      <c r="L57" s="2524" t="s">
        <v>1368</v>
      </c>
      <c r="M57" s="2525"/>
      <c r="N57" s="2526">
        <f ca="1">SUMIF(M52:M56,"&lt;9e307")</f>
        <v>0</v>
      </c>
      <c r="O57" s="2527"/>
      <c r="P57" s="2684">
        <f ca="1">N57/M49</f>
        <v>0</v>
      </c>
    </row>
    <row r="58" spans="1:35" ht="24.75">
      <c r="A58" s="3468" t="s">
        <v>1352</v>
      </c>
      <c r="B58" s="3595" t="s">
        <v>1369</v>
      </c>
      <c r="C58" s="3569"/>
      <c r="D58" s="3450">
        <f ca="1">IF(H58="转让取得",C81,C97)</f>
        <v>0</v>
      </c>
      <c r="E58" s="3465" t="s">
        <v>1364</v>
      </c>
      <c r="F58" s="302" t="s">
        <v>28</v>
      </c>
      <c r="G58" s="2549"/>
      <c r="H58" s="2552" t="s">
        <v>3441</v>
      </c>
      <c r="I58" s="1802"/>
      <c r="J58" s="3634"/>
      <c r="K58" s="3634"/>
      <c r="L58" s="2524" t="s">
        <v>1370</v>
      </c>
      <c r="M58" s="2528"/>
      <c r="N58" s="2529" t="str">
        <f ca="1">NUMBERSTRING(INT(N57*10000),2)&amp;"元整"</f>
        <v>零元整</v>
      </c>
      <c r="O58" s="2530"/>
    </row>
    <row r="59" spans="1:35" ht="24.75" thickBot="1">
      <c r="A59" s="3637" t="s">
        <v>1371</v>
      </c>
      <c r="B59" s="3638"/>
      <c r="C59" s="363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3442</v>
      </c>
      <c r="I59" s="2307" t="s">
        <v>2136</v>
      </c>
      <c r="J59" s="3635">
        <f>J57+1</f>
        <v>5</v>
      </c>
      <c r="K59" s="3634" t="s">
        <v>1372</v>
      </c>
      <c r="L59" s="3455" t="s">
        <v>1368</v>
      </c>
      <c r="M59" s="2531"/>
      <c r="N59" s="2532">
        <f ca="1">M49-N57</f>
        <v>556</v>
      </c>
      <c r="O59" s="2533"/>
    </row>
    <row r="60" spans="1:35" ht="12" customHeight="1">
      <c r="A60" s="1803"/>
      <c r="B60" s="1741"/>
      <c r="C60" s="1741"/>
      <c r="D60" s="1741"/>
      <c r="E60" s="1572"/>
      <c r="F60" s="1802"/>
      <c r="G60" s="1802"/>
      <c r="H60" s="1804"/>
      <c r="I60" s="129"/>
      <c r="J60" s="3636"/>
      <c r="K60" s="3634"/>
      <c r="L60" s="2524" t="s">
        <v>1370</v>
      </c>
      <c r="M60" s="2528"/>
      <c r="N60" s="2529" t="str">
        <f ca="1">NUMBERSTRING(INT(N59*10000),2)&amp;"元整"</f>
        <v>伍佰伍拾陆万元整</v>
      </c>
      <c r="O60" s="2530"/>
    </row>
    <row r="61" spans="1:35" ht="13.5" thickBot="1">
      <c r="A61" s="3582" t="s">
        <v>1373</v>
      </c>
      <c r="B61" s="3582"/>
      <c r="C61" s="3582"/>
      <c r="D61" s="3582"/>
      <c r="E61" s="3582"/>
      <c r="F61" s="1802"/>
      <c r="G61" s="1802"/>
      <c r="H61" s="1804"/>
      <c r="I61" s="129"/>
      <c r="J61" s="3455">
        <f>J59+1</f>
        <v>6</v>
      </c>
      <c r="K61" s="3634" t="s">
        <v>1374</v>
      </c>
      <c r="L61" s="3634"/>
      <c r="M61" s="2534"/>
      <c r="N61" s="2535">
        <f ca="1">ROUND(N59*10000/'数据-汇总表'!E3,0)</f>
        <v>8086</v>
      </c>
      <c r="O61" s="2536"/>
    </row>
    <row r="62" spans="1:35" ht="12.75">
      <c r="A62" s="3600" t="s">
        <v>1375</v>
      </c>
      <c r="B62" s="3601"/>
      <c r="C62" s="3460"/>
      <c r="D62" s="3460" t="s">
        <v>1376</v>
      </c>
      <c r="E62" s="166" t="s">
        <v>1377</v>
      </c>
      <c r="F62" s="1802"/>
      <c r="G62" s="1802"/>
      <c r="H62" s="1804"/>
      <c r="I62" s="129"/>
    </row>
    <row r="63" spans="1:35" ht="12.75">
      <c r="A63" s="173" t="s">
        <v>330</v>
      </c>
      <c r="B63" s="167" t="s">
        <v>1378</v>
      </c>
      <c r="C63" s="2558">
        <f ca="1">ROUND((C64+C65)/(1+'数据-取费表'!C42),0)</f>
        <v>530</v>
      </c>
      <c r="D63" s="167"/>
      <c r="E63" s="168"/>
      <c r="F63" s="1802"/>
      <c r="G63" s="1802"/>
      <c r="H63" s="1804"/>
      <c r="I63" s="129"/>
      <c r="J63" s="3659" t="s">
        <v>1379</v>
      </c>
      <c r="K63" s="3451" t="s">
        <v>1380</v>
      </c>
      <c r="L63" s="3451">
        <f ca="1">IF(M49&gt;10000,M49*0.5%,IF(AND(M49&gt;1000,M49&lt;=10000),M49*1%,IF(AND(M49&gt;100,M49&lt;=1000),M49*3%,IF(AND(M49&gt;10,M49&lt;=100),M49*5%,M49*8%))))</f>
        <v>16.68</v>
      </c>
      <c r="M63" s="302">
        <f ca="1">ROUND(L63,1)</f>
        <v>16.7</v>
      </c>
      <c r="N63" s="2537"/>
      <c r="Z63" s="1746"/>
      <c r="AI63" s="1747"/>
    </row>
    <row r="64" spans="1:35" ht="14.25" customHeight="1">
      <c r="A64" s="169" t="s">
        <v>325</v>
      </c>
      <c r="B64" s="170" t="s">
        <v>1381</v>
      </c>
      <c r="C64" s="2559">
        <f ca="1">D45</f>
        <v>556</v>
      </c>
      <c r="D64" s="170" t="s">
        <v>26</v>
      </c>
      <c r="E64" s="172"/>
      <c r="F64" s="1802"/>
      <c r="G64" s="1802"/>
      <c r="H64" s="1804"/>
      <c r="I64" s="129"/>
      <c r="J64" s="3659"/>
      <c r="K64" s="3451" t="s">
        <v>1382</v>
      </c>
      <c r="L64" s="3451">
        <f ca="1">IF(M49&gt;2000,M49*0.5%,IF(AND(M49&gt;1000,M49&lt;=2000),M49*0.6%,IF(AND(M49&gt;500,M49&lt;=1000),M49*0.7%,IF(AND(M49&gt;200,M49&lt;=500),M49*0.8%,IF(AND(M49&gt;100,M49&lt;=200),M49*0.9%,IF(AND(M49&gt;50,M49&lt;=100),M49*1%,IF(AND(M49&gt;20,M49&lt;=50),M49*1.5%,IF(AND(M49&gt;10,M49&lt;=20),M49*2%,IF(AND(M49&gt;1,M49&lt;=10),M49*2.5%)))))))))</f>
        <v>3.8919999999999995</v>
      </c>
      <c r="M64" s="302">
        <f t="shared" ref="M64:M65" ca="1" si="1">ROUND(L64,1)</f>
        <v>3.9</v>
      </c>
      <c r="N64" s="2538" t="s">
        <v>1383</v>
      </c>
      <c r="Z64" s="1746"/>
      <c r="AI64" s="1747"/>
    </row>
    <row r="65" spans="1:35" ht="14.25" customHeight="1">
      <c r="A65" s="169" t="s">
        <v>326</v>
      </c>
      <c r="B65" s="170" t="s">
        <v>1384</v>
      </c>
      <c r="C65" s="2560"/>
      <c r="D65" s="170"/>
      <c r="E65" s="172"/>
      <c r="F65" s="1802"/>
      <c r="G65" s="1802"/>
      <c r="H65" s="1804"/>
      <c r="I65" s="129"/>
      <c r="J65" s="3659"/>
      <c r="K65" s="3451" t="s">
        <v>1385</v>
      </c>
      <c r="L65" s="3451">
        <f ca="1">IF(M49&gt;1000,M49*0.1%,IF(AND(M49&gt;500,M49&lt;=1000),M49*0.5%,IF(AND(M49&gt;50,M49&lt;=500),M49*1%,IF(AND(M49&gt;1,M49&lt;=50),M49*1.5%))))</f>
        <v>2.7800000000000002</v>
      </c>
      <c r="M65" s="302">
        <f t="shared" ca="1" si="1"/>
        <v>2.8</v>
      </c>
      <c r="N65" s="2538" t="s">
        <v>1383</v>
      </c>
      <c r="Z65" s="1746"/>
      <c r="AI65" s="1747"/>
    </row>
    <row r="66" spans="1:35" ht="14.25" customHeight="1">
      <c r="A66" s="173" t="s">
        <v>327</v>
      </c>
      <c r="B66" s="174" t="s">
        <v>1386</v>
      </c>
      <c r="C66" s="2561">
        <f>ROUND(8462178/1.05/10000,0)</f>
        <v>806</v>
      </c>
      <c r="D66" s="174" t="s">
        <v>26</v>
      </c>
      <c r="E66" s="1332" t="s">
        <v>671</v>
      </c>
      <c r="F66" s="1802"/>
      <c r="G66" s="1802"/>
      <c r="H66" s="1804"/>
      <c r="I66" s="129"/>
      <c r="J66" s="3659"/>
      <c r="K66" s="3451" t="s">
        <v>1387</v>
      </c>
      <c r="L66" s="3451">
        <f ca="1">M49*0.5%</f>
        <v>2.7800000000000002</v>
      </c>
      <c r="M66" s="302">
        <f ca="1">IF(L66&gt;0.5,0.5,ROUND(L66,0))</f>
        <v>0.5</v>
      </c>
      <c r="N66" s="2538" t="s">
        <v>1388</v>
      </c>
      <c r="Z66" s="1746"/>
      <c r="AI66" s="1747"/>
    </row>
    <row r="67" spans="1:35" ht="14.25" customHeight="1">
      <c r="A67" s="173" t="s">
        <v>328</v>
      </c>
      <c r="B67" s="174" t="s">
        <v>1389</v>
      </c>
      <c r="C67" s="2562">
        <f ca="1">C63-C66</f>
        <v>-276</v>
      </c>
      <c r="D67" s="170" t="s">
        <v>26</v>
      </c>
      <c r="E67" s="172"/>
      <c r="F67" s="1802"/>
      <c r="G67" s="1802"/>
      <c r="H67" s="1804"/>
      <c r="I67" s="129"/>
      <c r="J67" s="3659"/>
      <c r="K67" s="3451" t="s">
        <v>1390</v>
      </c>
      <c r="L67" s="3451">
        <f ca="1">IF(M49&gt;=10000,(8.25+(M49-10000)*0.01%),IF(AND(M49&gt;=8000,M49&lt;10000),(7.85+(M49-8000)*0.02%),IF(AND(M49&gt;=5000,M49&lt;8000),(6.65+(M49-5000)*0.04%),IF(AND(M49&gt;=2000,M49&lt;5000),(4.25+(PM49-2000)*0.08%),IF(AND(M49&gt;=1000,M49&lt;2000),(2.75+(M49-1000)*0.15%),IF(AND(M49&gt;=100,M49&lt;1000),(0.5+(M49-100)*0.25%),IF(AND(M49&gt;0,M49&lt;100),M49*0.5%)))))))</f>
        <v>1.6400000000000001</v>
      </c>
      <c r="M67" s="302">
        <f ca="1">ROUND(L67*0.9,1)</f>
        <v>1.5</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59"/>
      <c r="K68" s="3451" t="s">
        <v>1392</v>
      </c>
      <c r="L68" s="3451">
        <f ca="1">IF(M49&gt;10000,M49*0.5%,IF(AND(M49&gt;5000,M49&lt;=10000),M49*1%,IF(AND(M49&gt;1000,M49&lt;=5000),M49*2%,IF(AND(M49&gt;200,M49&lt;=1000),M49*3%,M49*5%))))</f>
        <v>16.68</v>
      </c>
      <c r="M68" s="302">
        <f ca="1">ROUND(L68,1)</f>
        <v>16.7</v>
      </c>
      <c r="N68" s="2537"/>
      <c r="Z68" s="1746"/>
      <c r="AI68" s="1747"/>
    </row>
    <row r="69" spans="1:35" s="1766" customFormat="1" ht="16.5" customHeight="1">
      <c r="A69" s="1805"/>
      <c r="B69" s="1806"/>
      <c r="C69" s="1807"/>
      <c r="D69" s="1808"/>
      <c r="E69" s="1809"/>
      <c r="F69" s="1572"/>
      <c r="G69" s="1572"/>
      <c r="H69" s="1571"/>
      <c r="I69" s="1741"/>
      <c r="J69" s="3659"/>
      <c r="K69" s="3451" t="s">
        <v>1393</v>
      </c>
      <c r="L69" s="3451"/>
      <c r="M69" s="302">
        <f ca="1">ROUND(SUM(M63:M68),0)</f>
        <v>42</v>
      </c>
      <c r="N69" s="2539">
        <f ca="1">M69/M49</f>
        <v>7.5539568345323743E-2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1" t="s">
        <v>1394</v>
      </c>
      <c r="B70" s="3622"/>
      <c r="C70" s="3622"/>
      <c r="D70" s="3622"/>
      <c r="E70" s="3622"/>
      <c r="F70" s="3622"/>
      <c r="G70" s="3622"/>
      <c r="H70" s="3622"/>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0" t="s">
        <v>1375</v>
      </c>
      <c r="B71" s="360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530</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794</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791</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C66</f>
        <v>806</v>
      </c>
      <c r="D75" s="170" t="s">
        <v>26</v>
      </c>
      <c r="E75" s="184" t="s">
        <v>1399</v>
      </c>
      <c r="F75" s="2566" t="s">
        <v>3464</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5" t="s">
        <v>1402</v>
      </c>
      <c r="F76" s="3569"/>
      <c r="G76" s="3569"/>
      <c r="H76" s="36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23</v>
      </c>
      <c r="D77" s="2569">
        <f>'数据-取费表'!B48+'数据-取费表'!B49</f>
        <v>3.0499999999999999E-2</v>
      </c>
      <c r="E77" s="3450" t="s">
        <v>1404</v>
      </c>
      <c r="F77" s="186"/>
      <c r="G77" s="1816" t="s">
        <v>3465</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579" t="s">
        <v>1406</v>
      </c>
      <c r="F78" s="3580"/>
      <c r="G78" s="3580"/>
      <c r="H78" s="358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-264</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1" t="s">
        <v>1410</v>
      </c>
      <c r="B83" s="3622"/>
      <c r="C83" s="3622"/>
      <c r="D83" s="3622"/>
      <c r="E83" s="3622"/>
      <c r="F83" s="3622"/>
      <c r="G83" s="3622"/>
      <c r="H83" s="36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0" t="s">
        <v>1375</v>
      </c>
      <c r="B84" s="360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530</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1" t="s">
        <v>2128</v>
      </c>
      <c r="H90" s="3662"/>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79" t="s">
        <v>1419</v>
      </c>
      <c r="F91" s="3580"/>
      <c r="G91" s="3580"/>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79" t="s">
        <v>1422</v>
      </c>
      <c r="F92" s="3580"/>
      <c r="G92" s="3580"/>
      <c r="H92" s="3589"/>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579" t="s">
        <v>1406</v>
      </c>
      <c r="F93" s="3580"/>
      <c r="G93" s="3580"/>
      <c r="H93" s="358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0" t="s">
        <v>1426</v>
      </c>
      <c r="F94" s="3591"/>
      <c r="G94" s="3591"/>
      <c r="H94" s="359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527</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175.66666666666666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315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79" t="str">
        <f>C4</f>
        <v>比较法-办公-1805</v>
      </c>
      <c r="D101" s="2580" t="str">
        <f>D4</f>
        <v>收益法-1805</v>
      </c>
      <c r="E101" s="3656" t="s">
        <v>1431</v>
      </c>
      <c r="F101" s="3613"/>
      <c r="G101" s="1821" t="s">
        <v>1432</v>
      </c>
      <c r="H101" s="2589">
        <f ca="1">H118</f>
        <v>556</v>
      </c>
      <c r="I101" s="129"/>
    </row>
    <row r="102" spans="1:35" ht="18.75" customHeight="1">
      <c r="A102" s="3615" t="s">
        <v>1433</v>
      </c>
      <c r="B102" s="2578" t="s">
        <v>1432</v>
      </c>
      <c r="C102" s="2579">
        <f ca="1">IF(D32="楼面单价",ROUND(C19,0),C19)</f>
        <v>619</v>
      </c>
      <c r="D102" s="2580">
        <f ca="1">IF(D32="楼面单价",ROUND(D19,0),D19)</f>
        <v>408</v>
      </c>
      <c r="E102" s="3656"/>
      <c r="F102" s="3613"/>
      <c r="G102" s="1821" t="s">
        <v>1434</v>
      </c>
      <c r="H102" s="2549">
        <f ca="1">I118</f>
        <v>26774</v>
      </c>
      <c r="I102" s="129"/>
    </row>
    <row r="103" spans="1:35" ht="42.75" customHeight="1">
      <c r="A103" s="3615"/>
      <c r="B103" s="2578" t="s">
        <v>1434</v>
      </c>
      <c r="C103" s="2581">
        <f ca="1">C20</f>
        <v>29824</v>
      </c>
      <c r="D103" s="2582">
        <f ca="1">D20</f>
        <v>19656</v>
      </c>
      <c r="E103" s="3650" t="s">
        <v>1435</v>
      </c>
      <c r="F103" s="3651"/>
      <c r="G103" s="1822" t="s">
        <v>1436</v>
      </c>
      <c r="H103" s="2589">
        <f>IF(D36="正常操作",H104+H105+H106,H105+H106)</f>
        <v>0</v>
      </c>
      <c r="I103" s="129"/>
    </row>
    <row r="104" spans="1:35" ht="18.75" customHeight="1">
      <c r="A104" s="3615" t="s">
        <v>1437</v>
      </c>
      <c r="B104" s="2583" t="s">
        <v>1432</v>
      </c>
      <c r="C104" s="2584">
        <f ca="1">H118</f>
        <v>556</v>
      </c>
      <c r="D104" s="2585"/>
      <c r="E104" s="1668" t="s">
        <v>1438</v>
      </c>
      <c r="F104" s="1660"/>
      <c r="G104" s="1822" t="s">
        <v>1436</v>
      </c>
      <c r="H104" s="2590">
        <f>IF(D36="同一抵押权人同一抵押物续贷",C36&amp;"（续贷，未扣减，详见特别提示）",C36)</f>
        <v>0</v>
      </c>
      <c r="I104" s="129"/>
    </row>
    <row r="105" spans="1:35" ht="18.75" customHeight="1" thickBot="1">
      <c r="A105" s="3616"/>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2" t="str">
        <f>IF(项目基本情况!E8="已注销","——","3.房地产抵押价值")</f>
        <v>3.房地产抵押价值</v>
      </c>
      <c r="F107" s="3613"/>
      <c r="G107" s="1821" t="s">
        <v>1432</v>
      </c>
      <c r="H107" s="2589">
        <f ca="1">IF(E107="——","——",H101-H103)</f>
        <v>556</v>
      </c>
      <c r="I107" s="129"/>
    </row>
    <row r="108" spans="1:35" ht="18.75" customHeight="1">
      <c r="A108" s="129"/>
      <c r="B108" s="129"/>
      <c r="C108" s="129"/>
      <c r="D108" s="129"/>
      <c r="E108" s="3612"/>
      <c r="F108" s="3613"/>
      <c r="G108" s="1821" t="s">
        <v>1434</v>
      </c>
      <c r="H108" s="2549">
        <f ca="1">IF(H107=H101,H102,ROUND(H107*10000/'数据-汇总表'!E3,0))</f>
        <v>26774</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1" t="s">
        <v>1432</v>
      </c>
      <c r="H109" s="2592" t="str">
        <f>IF(E109="——","——",H101-H105-H106)</f>
        <v>——</v>
      </c>
      <c r="I109" s="129"/>
    </row>
    <row r="110" spans="1:35" ht="18.75" customHeight="1">
      <c r="A110" s="129"/>
      <c r="B110" s="129"/>
      <c r="C110" s="129"/>
      <c r="D110" s="129"/>
      <c r="E110" s="3612"/>
      <c r="F110" s="3613"/>
      <c r="G110" s="1821" t="s">
        <v>1434</v>
      </c>
      <c r="H110" s="2549"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14"/>
      <c r="G111" s="1821" t="s">
        <v>1432</v>
      </c>
      <c r="H111" s="2589">
        <f ca="1">IF(E111="——","——",N59)</f>
        <v>556</v>
      </c>
      <c r="I111" s="129"/>
    </row>
    <row r="112" spans="1:35" ht="18.75" customHeight="1" thickBot="1">
      <c r="A112" s="129"/>
      <c r="B112" s="129"/>
      <c r="C112" s="129"/>
      <c r="D112" s="129"/>
      <c r="E112" s="3645"/>
      <c r="F112" s="3646"/>
      <c r="G112" s="1824" t="s">
        <v>1434</v>
      </c>
      <c r="H112" s="2593">
        <f ca="1">IF(E111="——","——",N61)</f>
        <v>8086</v>
      </c>
      <c r="I112" s="129"/>
    </row>
    <row r="113" spans="1:27" ht="18.75" customHeight="1">
      <c r="A113" s="129"/>
      <c r="B113" s="129"/>
      <c r="C113" s="129"/>
      <c r="D113" s="129"/>
      <c r="E113" s="3617" t="s">
        <v>1440</v>
      </c>
      <c r="F113" s="3617"/>
      <c r="G113" s="3617"/>
      <c r="H113" s="3617"/>
      <c r="I113" s="129"/>
    </row>
    <row r="114" spans="1:27" ht="3.75" customHeight="1">
      <c r="A114" s="1741"/>
      <c r="B114" s="1741"/>
      <c r="C114" s="1741"/>
      <c r="D114" s="1741"/>
      <c r="E114" s="1803"/>
      <c r="F114" s="1803"/>
      <c r="G114" s="1803"/>
      <c r="H114" s="1803"/>
      <c r="I114" s="1741"/>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3453" t="s">
        <v>1449</v>
      </c>
      <c r="E117" s="3453" t="s">
        <v>1450</v>
      </c>
      <c r="F117" s="3453" t="s">
        <v>1449</v>
      </c>
      <c r="G117" s="3453" t="s">
        <v>1451</v>
      </c>
      <c r="H117" s="3453" t="s">
        <v>1449</v>
      </c>
      <c r="I117" s="3453" t="s">
        <v>1451</v>
      </c>
    </row>
    <row r="118" spans="1:27" ht="24.75" customHeight="1">
      <c r="A118" s="2594" t="str">
        <f>项目基本情况!S2</f>
        <v>房地产</v>
      </c>
      <c r="B118" s="3453">
        <f>M18</f>
        <v>207.53</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556</v>
      </c>
      <c r="I118" s="3453">
        <f ca="1">ROUND(IF(D32="楼面单价",C32,H118*10000/B118),0)</f>
        <v>26774</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伍佰伍拾陆万元整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3" t="s">
        <v>1452</v>
      </c>
      <c r="B121" s="3624"/>
      <c r="C121" s="3625"/>
      <c r="D121" s="3623" t="str">
        <f>IF(D120=0,"零元整",NUMBERSTRING(INT(D120*10000),2)&amp;"元整")</f>
        <v>零元整</v>
      </c>
      <c r="E121" s="3624"/>
      <c r="F121" s="3624"/>
      <c r="G121" s="3624"/>
      <c r="H121" s="3624"/>
      <c r="I121" s="3625"/>
      <c r="AA121" s="723"/>
    </row>
    <row r="122" spans="1:27" ht="18.75" customHeight="1">
      <c r="A122" s="3614" t="str">
        <f>IF(项目基本情况!B9="房地产市场价值","",MID(E107,3,LEN(E107)-2))</f>
        <v>房地产抵押价值</v>
      </c>
      <c r="B122" s="3614"/>
      <c r="C122" s="3614"/>
      <c r="D122" s="3647">
        <f ca="1">H107</f>
        <v>556</v>
      </c>
      <c r="E122" s="3648"/>
      <c r="F122" s="3648"/>
      <c r="G122" s="3648"/>
      <c r="H122" s="3648"/>
      <c r="I122" s="3649"/>
      <c r="AA122" s="723"/>
    </row>
    <row r="123" spans="1:27" ht="18.75" customHeight="1">
      <c r="A123" s="3583" t="s">
        <v>1452</v>
      </c>
      <c r="B123" s="3583"/>
      <c r="C123" s="3583"/>
      <c r="D123" s="3623" t="str">
        <f ca="1">NUMBERSTRING(INT(D122*10000),2)&amp;"元整"</f>
        <v>伍佰伍拾陆万元整</v>
      </c>
      <c r="E123" s="3624"/>
      <c r="F123" s="3624"/>
      <c r="G123" s="3624"/>
      <c r="H123" s="3624"/>
      <c r="I123" s="3625"/>
      <c r="AA123" s="723"/>
    </row>
    <row r="124" spans="1:27" ht="18.75" customHeight="1">
      <c r="A124" s="3614" t="str">
        <f>IF(项目基本情况!B9="房地产市场价值","",MID(E109,3,LEN(E109)-2))</f>
        <v/>
      </c>
      <c r="B124" s="3614"/>
      <c r="C124" s="3614"/>
      <c r="D124" s="3647" t="str">
        <f>H109</f>
        <v>——</v>
      </c>
      <c r="E124" s="3648"/>
      <c r="F124" s="3648"/>
      <c r="G124" s="3648"/>
      <c r="H124" s="3648"/>
      <c r="I124" s="3649"/>
      <c r="AA124" s="723"/>
    </row>
    <row r="125" spans="1:27" ht="18.75" customHeight="1">
      <c r="A125" s="3583" t="s">
        <v>1452</v>
      </c>
      <c r="B125" s="3583"/>
      <c r="C125" s="3583"/>
      <c r="D125" s="3623" t="e">
        <f>NUMBERSTRING(INT(D124*10000),2)&amp;"元整"</f>
        <v>#VALUE!</v>
      </c>
      <c r="E125" s="3624"/>
      <c r="F125" s="3624"/>
      <c r="G125" s="3624"/>
      <c r="H125" s="3624"/>
      <c r="I125" s="3625"/>
      <c r="AA125" s="723"/>
    </row>
    <row r="126" spans="1:27" ht="18.75" customHeight="1">
      <c r="A126" s="3614" t="str">
        <f>IF(项目基本情况!B9="房地产市场价值","",MID(E111,3,LEN(E111)-2))</f>
        <v>抵押净值</v>
      </c>
      <c r="B126" s="3614"/>
      <c r="C126" s="3614"/>
      <c r="D126" s="3647">
        <f ca="1">H111</f>
        <v>556</v>
      </c>
      <c r="E126" s="3648"/>
      <c r="F126" s="3648"/>
      <c r="G126" s="3648"/>
      <c r="H126" s="3648"/>
      <c r="I126" s="3649"/>
      <c r="AA126" s="723"/>
    </row>
    <row r="127" spans="1:27" ht="18.75" customHeight="1">
      <c r="A127" s="3583" t="s">
        <v>1452</v>
      </c>
      <c r="B127" s="3583"/>
      <c r="C127" s="3583"/>
      <c r="D127" s="3623" t="str">
        <f ca="1">NUMBERSTRING(INT(D126*10000),2)&amp;"元整"</f>
        <v>伍佰伍拾陆万元整</v>
      </c>
      <c r="E127" s="3624"/>
      <c r="F127" s="3624"/>
      <c r="G127" s="3624"/>
      <c r="H127" s="3624"/>
      <c r="I127" s="3625"/>
      <c r="AA127" s="723"/>
    </row>
    <row r="128" spans="1:27" ht="21.75" customHeight="1">
      <c r="A128" s="3630" t="s">
        <v>1453</v>
      </c>
      <c r="B128" s="3630"/>
      <c r="C128" s="3630"/>
      <c r="D128" s="3630"/>
      <c r="E128" s="3630"/>
      <c r="F128" s="3630"/>
      <c r="G128" s="3630"/>
      <c r="H128" s="3630"/>
      <c r="I128" s="3630"/>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2" zoomScaleNormal="70" zoomScaleSheetLayoutView="100" workbookViewId="0">
      <selection activeCell="I38" sqref="I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1805</v>
      </c>
      <c r="E1" s="3426" t="s">
        <v>3397</v>
      </c>
      <c r="F1" s="1873" t="s">
        <v>3398</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618.9375</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1665</v>
      </c>
      <c r="D3" s="353">
        <f>IF(D1="",'数据-汇总表'!E3,SUMIF('数据-汇总表'!$C19:$C33,D1,'数据-汇总表'!$E19:$E33))</f>
        <v>207.53</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1666</v>
      </c>
      <c r="B4" s="356"/>
      <c r="C4" s="3710" t="s">
        <v>1667</v>
      </c>
      <c r="D4" s="3711"/>
      <c r="E4" s="3712" t="s">
        <v>1668</v>
      </c>
      <c r="F4" s="3713"/>
      <c r="G4" s="3710" t="s">
        <v>1669</v>
      </c>
      <c r="H4" s="3711"/>
      <c r="I4" s="3710" t="s">
        <v>1670</v>
      </c>
      <c r="J4" s="3711"/>
      <c r="K4" s="559" t="s">
        <v>1671</v>
      </c>
      <c r="L4" s="2709"/>
      <c r="M4" s="2710"/>
      <c r="N4" s="2710"/>
      <c r="O4" s="2710"/>
      <c r="P4" s="3742" t="s">
        <v>1672</v>
      </c>
      <c r="Q4" s="3743"/>
      <c r="R4" s="3746" t="s">
        <v>1668</v>
      </c>
      <c r="S4" s="3747"/>
      <c r="T4" s="3746" t="s">
        <v>1669</v>
      </c>
      <c r="U4" s="3747"/>
      <c r="V4" s="3750" t="s">
        <v>1670</v>
      </c>
      <c r="W4" s="3750"/>
      <c r="X4" s="3474"/>
      <c r="Y4" s="3746" t="s">
        <v>1672</v>
      </c>
      <c r="Z4" s="3747"/>
      <c r="AA4" s="3738" t="s">
        <v>1668</v>
      </c>
      <c r="AB4" s="3738" t="s">
        <v>1669</v>
      </c>
      <c r="AC4" s="3739" t="s">
        <v>1670</v>
      </c>
    </row>
    <row r="5" spans="1:29" ht="15">
      <c r="A5" s="358"/>
      <c r="B5" s="359"/>
      <c r="C5" s="3729" t="s">
        <v>1673</v>
      </c>
      <c r="D5" s="3730"/>
      <c r="E5" s="3748" t="s">
        <v>3438</v>
      </c>
      <c r="F5" s="3737"/>
      <c r="G5" s="3748" t="s">
        <v>3438</v>
      </c>
      <c r="H5" s="3737"/>
      <c r="I5" s="3749" t="s">
        <v>3463</v>
      </c>
      <c r="J5" s="3730"/>
      <c r="K5" s="559"/>
      <c r="L5" s="2709"/>
      <c r="M5" s="2710"/>
      <c r="N5" s="2710"/>
      <c r="O5" s="2710"/>
      <c r="P5" s="3744"/>
      <c r="Q5" s="3717"/>
      <c r="R5" s="3722"/>
      <c r="S5" s="3723"/>
      <c r="T5" s="3722"/>
      <c r="U5" s="3723"/>
      <c r="V5" s="3726"/>
      <c r="W5" s="3726"/>
      <c r="X5" s="3469"/>
      <c r="Y5" s="3722"/>
      <c r="Z5" s="3723"/>
      <c r="AA5" s="3708"/>
      <c r="AB5" s="3708"/>
      <c r="AC5" s="3740"/>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45"/>
      <c r="Q6" s="3719"/>
      <c r="R6" s="3722"/>
      <c r="S6" s="3723"/>
      <c r="T6" s="3724"/>
      <c r="U6" s="3725"/>
      <c r="V6" s="3726"/>
      <c r="W6" s="3726"/>
      <c r="X6" s="3469"/>
      <c r="Y6" s="3724"/>
      <c r="Z6" s="3725"/>
      <c r="AA6" s="3709"/>
      <c r="AB6" s="3709"/>
      <c r="AC6" s="3741"/>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1" t="s">
        <v>1680</v>
      </c>
      <c r="Q7" s="3733"/>
      <c r="R7" s="699" t="s">
        <v>14</v>
      </c>
      <c r="S7" s="700">
        <f t="shared" ref="S7:S15" si="0">F7</f>
        <v>100</v>
      </c>
      <c r="T7" s="699" t="s">
        <v>14</v>
      </c>
      <c r="U7" s="700">
        <f t="shared" ref="U7:U15" si="1">H7</f>
        <v>100</v>
      </c>
      <c r="V7" s="699" t="s">
        <v>14</v>
      </c>
      <c r="W7" s="700">
        <f t="shared" ref="W7:W15" si="2">J7</f>
        <v>100</v>
      </c>
      <c r="X7" s="701"/>
      <c r="Y7" s="3731" t="s">
        <v>1680</v>
      </c>
      <c r="Z7" s="3732"/>
      <c r="AA7" s="702">
        <f>D7/F7</f>
        <v>1</v>
      </c>
      <c r="AB7" s="702">
        <f>D7/H7</f>
        <v>1</v>
      </c>
      <c r="AC7" s="1953">
        <f>D7/J7</f>
        <v>1</v>
      </c>
    </row>
    <row r="8" spans="1:29" s="108" customFormat="1" ht="15.75" thickBot="1">
      <c r="A8" s="362" t="s">
        <v>1681</v>
      </c>
      <c r="B8" s="363"/>
      <c r="C8" s="368" t="s">
        <v>3400</v>
      </c>
      <c r="D8" s="365">
        <v>100</v>
      </c>
      <c r="E8" s="368" t="s">
        <v>3408</v>
      </c>
      <c r="F8" s="367">
        <f>SUMIF(62:62,E8,63:63)-SUMIF(62:62,C8,63:63)+100</f>
        <v>102</v>
      </c>
      <c r="G8" s="368" t="s">
        <v>3408</v>
      </c>
      <c r="H8" s="365">
        <f>SUMIF(62:62,G8,63:63)-SUMIF(62:62,C8,63:63)+100</f>
        <v>102</v>
      </c>
      <c r="I8" s="368" t="s">
        <v>3408</v>
      </c>
      <c r="J8" s="365">
        <f>SUMIF(62:62,I8,63:63)-SUMIF(62:62,C8,63:63)+100</f>
        <v>102</v>
      </c>
      <c r="K8" s="560"/>
      <c r="L8" s="2711"/>
      <c r="M8" s="2712"/>
      <c r="N8" s="2712"/>
      <c r="O8" s="2712"/>
      <c r="P8" s="3751" t="s">
        <v>1683</v>
      </c>
      <c r="Q8" s="3732"/>
      <c r="R8" s="699" t="s">
        <v>14</v>
      </c>
      <c r="S8" s="700">
        <f t="shared" si="0"/>
        <v>102</v>
      </c>
      <c r="T8" s="699" t="s">
        <v>14</v>
      </c>
      <c r="U8" s="700">
        <f t="shared" si="1"/>
        <v>102</v>
      </c>
      <c r="V8" s="699" t="s">
        <v>14</v>
      </c>
      <c r="W8" s="700">
        <f t="shared" si="2"/>
        <v>102</v>
      </c>
      <c r="X8" s="701"/>
      <c r="Y8" s="3731" t="s">
        <v>1683</v>
      </c>
      <c r="Z8" s="3732"/>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06" t="s">
        <v>1686</v>
      </c>
      <c r="Q9" s="3466" t="str">
        <f t="shared" ref="Q9:Q15" si="6">B9</f>
        <v>用途</v>
      </c>
      <c r="R9" s="699" t="s">
        <v>14</v>
      </c>
      <c r="S9" s="700">
        <f t="shared" si="0"/>
        <v>100</v>
      </c>
      <c r="T9" s="699" t="s">
        <v>14</v>
      </c>
      <c r="U9" s="700">
        <f t="shared" si="1"/>
        <v>100</v>
      </c>
      <c r="V9" s="699" t="s">
        <v>14</v>
      </c>
      <c r="W9" s="700">
        <f t="shared" si="2"/>
        <v>100</v>
      </c>
      <c r="X9" s="701"/>
      <c r="Y9" s="3570" t="s">
        <v>1687</v>
      </c>
      <c r="Z9" s="3448"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06"/>
      <c r="Q10" s="3466" t="str">
        <f t="shared" si="6"/>
        <v>土地使用年限（年）</v>
      </c>
      <c r="R10" s="699" t="s">
        <v>14</v>
      </c>
      <c r="S10" s="700">
        <f t="shared" si="0"/>
        <v>100</v>
      </c>
      <c r="T10" s="699" t="s">
        <v>14</v>
      </c>
      <c r="U10" s="700">
        <f t="shared" si="1"/>
        <v>100</v>
      </c>
      <c r="V10" s="699" t="s">
        <v>14</v>
      </c>
      <c r="W10" s="700">
        <f t="shared" si="2"/>
        <v>100</v>
      </c>
      <c r="X10" s="701"/>
      <c r="Y10" s="3570"/>
      <c r="Z10" s="3448"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06"/>
      <c r="Q11" s="3466" t="str">
        <f t="shared" si="6"/>
        <v>容积率</v>
      </c>
      <c r="R11" s="699" t="s">
        <v>14</v>
      </c>
      <c r="S11" s="700">
        <f t="shared" si="0"/>
        <v>100</v>
      </c>
      <c r="T11" s="699" t="s">
        <v>14</v>
      </c>
      <c r="U11" s="700">
        <f t="shared" si="1"/>
        <v>100</v>
      </c>
      <c r="V11" s="699" t="s">
        <v>14</v>
      </c>
      <c r="W11" s="700">
        <f t="shared" si="2"/>
        <v>100</v>
      </c>
      <c r="X11" s="701"/>
      <c r="Y11" s="3570"/>
      <c r="Z11" s="3448"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06"/>
      <c r="Q12" s="3466">
        <f t="shared" si="6"/>
        <v>111</v>
      </c>
      <c r="R12" s="699" t="s">
        <v>14</v>
      </c>
      <c r="S12" s="700">
        <f t="shared" si="0"/>
        <v>100</v>
      </c>
      <c r="T12" s="699" t="s">
        <v>14</v>
      </c>
      <c r="U12" s="700">
        <f t="shared" si="1"/>
        <v>100</v>
      </c>
      <c r="V12" s="699" t="s">
        <v>14</v>
      </c>
      <c r="W12" s="700">
        <f t="shared" si="2"/>
        <v>100</v>
      </c>
      <c r="X12" s="701"/>
      <c r="Y12" s="3570"/>
      <c r="Z12" s="3448">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06"/>
      <c r="Q13" s="3466">
        <f t="shared" si="6"/>
        <v>111</v>
      </c>
      <c r="R13" s="699" t="s">
        <v>14</v>
      </c>
      <c r="S13" s="700">
        <f t="shared" si="0"/>
        <v>100</v>
      </c>
      <c r="T13" s="699" t="s">
        <v>14</v>
      </c>
      <c r="U13" s="700">
        <f t="shared" si="1"/>
        <v>100</v>
      </c>
      <c r="V13" s="699" t="s">
        <v>14</v>
      </c>
      <c r="W13" s="700">
        <f t="shared" si="2"/>
        <v>100</v>
      </c>
      <c r="X13" s="701"/>
      <c r="Y13" s="3570"/>
      <c r="Z13" s="3448">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06"/>
      <c r="Q14" s="3466">
        <f t="shared" si="6"/>
        <v>111</v>
      </c>
      <c r="R14" s="699" t="s">
        <v>14</v>
      </c>
      <c r="S14" s="700">
        <f t="shared" si="0"/>
        <v>100</v>
      </c>
      <c r="T14" s="699" t="s">
        <v>14</v>
      </c>
      <c r="U14" s="700">
        <f t="shared" si="1"/>
        <v>100</v>
      </c>
      <c r="V14" s="699" t="s">
        <v>14</v>
      </c>
      <c r="W14" s="700">
        <f t="shared" si="2"/>
        <v>100</v>
      </c>
      <c r="X14" s="701"/>
      <c r="Y14" s="3570"/>
      <c r="Z14" s="3448">
        <f t="shared" si="7"/>
        <v>111</v>
      </c>
      <c r="AA14" s="702">
        <f t="shared" si="3"/>
        <v>1</v>
      </c>
      <c r="AB14" s="702">
        <f t="shared" si="4"/>
        <v>1</v>
      </c>
      <c r="AC14" s="1953">
        <f t="shared" si="5"/>
        <v>1</v>
      </c>
    </row>
    <row r="15" spans="1:29" ht="71.25">
      <c r="A15" s="391" t="s">
        <v>1690</v>
      </c>
      <c r="B15" s="577" t="s">
        <v>1811</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04" t="s">
        <v>1691</v>
      </c>
      <c r="Q15" s="3472" t="str">
        <f t="shared" si="6"/>
        <v>办公集聚程度</v>
      </c>
      <c r="R15" s="703" t="s">
        <v>14</v>
      </c>
      <c r="S15" s="704">
        <f t="shared" si="0"/>
        <v>100</v>
      </c>
      <c r="T15" s="703" t="s">
        <v>14</v>
      </c>
      <c r="U15" s="704">
        <f t="shared" si="1"/>
        <v>100</v>
      </c>
      <c r="V15" s="703" t="s">
        <v>14</v>
      </c>
      <c r="W15" s="704">
        <f t="shared" si="2"/>
        <v>100</v>
      </c>
      <c r="X15" s="3469"/>
      <c r="Y15" s="3697" t="s">
        <v>1691</v>
      </c>
      <c r="Z15" s="3470" t="str">
        <f t="shared" si="7"/>
        <v>办公集聚程度</v>
      </c>
      <c r="AA15" s="3473">
        <f t="shared" si="3"/>
        <v>1</v>
      </c>
      <c r="AB15" s="3473">
        <f t="shared" si="4"/>
        <v>1</v>
      </c>
      <c r="AC15" s="1956">
        <f t="shared" si="5"/>
        <v>1</v>
      </c>
    </row>
    <row r="16" spans="1:29" ht="15">
      <c r="A16" s="379"/>
      <c r="B16" s="578"/>
      <c r="C16" s="1898" t="s">
        <v>3401</v>
      </c>
      <c r="D16" s="399"/>
      <c r="E16" s="1898" t="s">
        <v>3401</v>
      </c>
      <c r="F16" s="399"/>
      <c r="G16" s="1898" t="s">
        <v>3401</v>
      </c>
      <c r="H16" s="401"/>
      <c r="I16" s="1898" t="s">
        <v>3401</v>
      </c>
      <c r="J16" s="399"/>
      <c r="K16" s="564"/>
      <c r="L16" s="2716"/>
      <c r="M16" s="2710"/>
      <c r="N16" s="2710"/>
      <c r="O16" s="2710"/>
      <c r="P16" s="3705"/>
      <c r="Q16" s="3472"/>
      <c r="R16" s="703"/>
      <c r="S16" s="704"/>
      <c r="T16" s="703"/>
      <c r="U16" s="704"/>
      <c r="V16" s="703"/>
      <c r="W16" s="704"/>
      <c r="X16" s="3469"/>
      <c r="Y16" s="3698"/>
      <c r="Z16" s="3470"/>
      <c r="AA16" s="3473">
        <v>1</v>
      </c>
      <c r="AB16" s="3473">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5"/>
      <c r="Q17" s="3472" t="str">
        <f>B17</f>
        <v>交通便捷度</v>
      </c>
      <c r="R17" s="703" t="s">
        <v>14</v>
      </c>
      <c r="S17" s="704">
        <f>F17</f>
        <v>100</v>
      </c>
      <c r="T17" s="703" t="s">
        <v>14</v>
      </c>
      <c r="U17" s="704">
        <f>H17</f>
        <v>100</v>
      </c>
      <c r="V17" s="703" t="s">
        <v>14</v>
      </c>
      <c r="W17" s="704">
        <f>J17</f>
        <v>100</v>
      </c>
      <c r="X17" s="3469"/>
      <c r="Y17" s="3698"/>
      <c r="Z17" s="3470" t="str">
        <f>Q17</f>
        <v>交通便捷度</v>
      </c>
      <c r="AA17" s="3473">
        <f t="shared" si="3"/>
        <v>1</v>
      </c>
      <c r="AB17" s="3473">
        <f t="shared" si="4"/>
        <v>1</v>
      </c>
      <c r="AC17" s="1956">
        <f t="shared" si="5"/>
        <v>1</v>
      </c>
    </row>
    <row r="18" spans="1:29" ht="15">
      <c r="A18" s="379"/>
      <c r="B18" s="580"/>
      <c r="C18" s="1898" t="s">
        <v>3401</v>
      </c>
      <c r="D18" s="401"/>
      <c r="E18" s="1898" t="s">
        <v>3401</v>
      </c>
      <c r="F18" s="401"/>
      <c r="G18" s="1898" t="s">
        <v>3401</v>
      </c>
      <c r="H18" s="399"/>
      <c r="I18" s="1898" t="s">
        <v>3401</v>
      </c>
      <c r="J18" s="399"/>
      <c r="K18" s="564"/>
      <c r="L18" s="2716"/>
      <c r="M18" s="2710"/>
      <c r="N18" s="2710"/>
      <c r="O18" s="2710"/>
      <c r="P18" s="3705"/>
      <c r="Q18" s="3472"/>
      <c r="R18" s="703"/>
      <c r="S18" s="704"/>
      <c r="T18" s="703"/>
      <c r="U18" s="704"/>
      <c r="V18" s="703"/>
      <c r="W18" s="704"/>
      <c r="X18" s="3469"/>
      <c r="Y18" s="3698"/>
      <c r="Z18" s="3470"/>
      <c r="AA18" s="3473">
        <v>1</v>
      </c>
      <c r="AB18" s="3473">
        <v>1</v>
      </c>
      <c r="AC18" s="1956">
        <v>1</v>
      </c>
    </row>
    <row r="19" spans="1:29" ht="42.75">
      <c r="A19" s="379"/>
      <c r="B19" s="579" t="s">
        <v>1812</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5"/>
      <c r="Q19" s="3472" t="str">
        <f>B19</f>
        <v>公共配套设施</v>
      </c>
      <c r="R19" s="703" t="s">
        <v>14</v>
      </c>
      <c r="S19" s="704">
        <f>F19</f>
        <v>100</v>
      </c>
      <c r="T19" s="703" t="s">
        <v>14</v>
      </c>
      <c r="U19" s="704">
        <f>H19</f>
        <v>100</v>
      </c>
      <c r="V19" s="703" t="s">
        <v>14</v>
      </c>
      <c r="W19" s="704">
        <f>J19</f>
        <v>100</v>
      </c>
      <c r="X19" s="3469"/>
      <c r="Y19" s="3698"/>
      <c r="Z19" s="3470" t="str">
        <f>Q19</f>
        <v>公共配套设施</v>
      </c>
      <c r="AA19" s="3473">
        <f t="shared" si="3"/>
        <v>1</v>
      </c>
      <c r="AB19" s="3473">
        <f t="shared" si="4"/>
        <v>1</v>
      </c>
      <c r="AC19" s="1956">
        <f t="shared" si="5"/>
        <v>1</v>
      </c>
    </row>
    <row r="20" spans="1:29" ht="15">
      <c r="A20" s="379"/>
      <c r="B20" s="580"/>
      <c r="C20" s="1898" t="s">
        <v>3401</v>
      </c>
      <c r="D20" s="399"/>
      <c r="E20" s="1898" t="s">
        <v>3401</v>
      </c>
      <c r="F20" s="399"/>
      <c r="G20" s="1898" t="s">
        <v>3401</v>
      </c>
      <c r="H20" s="399"/>
      <c r="I20" s="1898" t="s">
        <v>3401</v>
      </c>
      <c r="J20" s="399"/>
      <c r="K20" s="564"/>
      <c r="L20" s="2716"/>
      <c r="M20" s="2710"/>
      <c r="N20" s="2710"/>
      <c r="O20" s="2710"/>
      <c r="P20" s="3705"/>
      <c r="Q20" s="3472"/>
      <c r="R20" s="703"/>
      <c r="S20" s="704"/>
      <c r="T20" s="703"/>
      <c r="U20" s="704"/>
      <c r="V20" s="703"/>
      <c r="W20" s="704"/>
      <c r="X20" s="3469"/>
      <c r="Y20" s="3698"/>
      <c r="Z20" s="3470"/>
      <c r="AA20" s="3473">
        <v>1</v>
      </c>
      <c r="AB20" s="3473">
        <v>1</v>
      </c>
      <c r="AC20" s="1956">
        <v>1</v>
      </c>
    </row>
    <row r="21" spans="1:29" ht="28.5">
      <c r="A21" s="379"/>
      <c r="B21" s="581" t="s">
        <v>1813</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5"/>
      <c r="Q21" s="3472" t="str">
        <f>B21</f>
        <v>基础设施水平</v>
      </c>
      <c r="R21" s="703" t="s">
        <v>14</v>
      </c>
      <c r="S21" s="704">
        <f>F21</f>
        <v>100</v>
      </c>
      <c r="T21" s="703" t="s">
        <v>14</v>
      </c>
      <c r="U21" s="704">
        <f>H21</f>
        <v>100</v>
      </c>
      <c r="V21" s="703" t="s">
        <v>14</v>
      </c>
      <c r="W21" s="704">
        <f>J21</f>
        <v>100</v>
      </c>
      <c r="X21" s="3469"/>
      <c r="Y21" s="3698"/>
      <c r="Z21" s="3470" t="str">
        <f>Q21</f>
        <v>基础设施水平</v>
      </c>
      <c r="AA21" s="3473">
        <f t="shared" ref="AA21" si="8">D21/F21</f>
        <v>1</v>
      </c>
      <c r="AB21" s="3473">
        <f t="shared" ref="AB21" si="9">D21/H21</f>
        <v>1</v>
      </c>
      <c r="AC21" s="1956">
        <f t="shared" ref="AC21" si="10">D21/J21</f>
        <v>1</v>
      </c>
    </row>
    <row r="22" spans="1:29" ht="15">
      <c r="A22" s="379"/>
      <c r="B22" s="581"/>
      <c r="C22" s="1958" t="s">
        <v>3402</v>
      </c>
      <c r="D22" s="399"/>
      <c r="E22" s="1958" t="s">
        <v>3402</v>
      </c>
      <c r="F22" s="399"/>
      <c r="G22" s="1958" t="s">
        <v>3402</v>
      </c>
      <c r="H22" s="399"/>
      <c r="I22" s="1958" t="s">
        <v>3402</v>
      </c>
      <c r="J22" s="399"/>
      <c r="K22" s="1124"/>
      <c r="L22" s="2716"/>
      <c r="M22" s="2710"/>
      <c r="N22" s="2710"/>
      <c r="O22" s="2710"/>
      <c r="P22" s="3705"/>
      <c r="Q22" s="3472"/>
      <c r="R22" s="703"/>
      <c r="S22" s="704"/>
      <c r="T22" s="703"/>
      <c r="U22" s="704"/>
      <c r="V22" s="703"/>
      <c r="W22" s="704"/>
      <c r="X22" s="3469"/>
      <c r="Y22" s="3698"/>
      <c r="Z22" s="3470"/>
      <c r="AA22" s="3473">
        <v>1</v>
      </c>
      <c r="AB22" s="3473">
        <v>1</v>
      </c>
      <c r="AC22" s="1956">
        <v>1</v>
      </c>
    </row>
    <row r="23" spans="1:29" ht="42.75">
      <c r="A23" s="379"/>
      <c r="B23" s="579" t="s">
        <v>1814</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5"/>
      <c r="Q23" s="3472" t="str">
        <f>B23</f>
        <v>环境质量</v>
      </c>
      <c r="R23" s="703" t="s">
        <v>14</v>
      </c>
      <c r="S23" s="704">
        <f>F23</f>
        <v>100</v>
      </c>
      <c r="T23" s="703" t="s">
        <v>14</v>
      </c>
      <c r="U23" s="704">
        <f>H23</f>
        <v>100</v>
      </c>
      <c r="V23" s="703" t="s">
        <v>14</v>
      </c>
      <c r="W23" s="704">
        <f>J23</f>
        <v>100</v>
      </c>
      <c r="X23" s="3469"/>
      <c r="Y23" s="3698"/>
      <c r="Z23" s="3470" t="str">
        <f>Q23</f>
        <v>环境质量</v>
      </c>
      <c r="AA23" s="3473">
        <f t="shared" si="3"/>
        <v>1</v>
      </c>
      <c r="AB23" s="3473">
        <f t="shared" si="4"/>
        <v>1</v>
      </c>
      <c r="AC23" s="1956">
        <f t="shared" si="5"/>
        <v>1</v>
      </c>
    </row>
    <row r="24" spans="1:29" ht="15">
      <c r="A24" s="379"/>
      <c r="B24" s="581"/>
      <c r="C24" s="1898" t="s">
        <v>3401</v>
      </c>
      <c r="D24" s="399"/>
      <c r="E24" s="1898" t="s">
        <v>3401</v>
      </c>
      <c r="F24" s="399"/>
      <c r="G24" s="1898" t="s">
        <v>3401</v>
      </c>
      <c r="H24" s="399"/>
      <c r="I24" s="1898" t="s">
        <v>3401</v>
      </c>
      <c r="J24" s="399"/>
      <c r="K24" s="564"/>
      <c r="L24" s="2716"/>
      <c r="M24" s="2710"/>
      <c r="N24" s="2710"/>
      <c r="O24" s="2710"/>
      <c r="P24" s="3705"/>
      <c r="Q24" s="3472"/>
      <c r="R24" s="703"/>
      <c r="S24" s="704"/>
      <c r="T24" s="703"/>
      <c r="U24" s="704"/>
      <c r="V24" s="703"/>
      <c r="W24" s="704"/>
      <c r="X24" s="3469"/>
      <c r="Y24" s="3698"/>
      <c r="Z24" s="3470"/>
      <c r="AA24" s="3473">
        <v>1</v>
      </c>
      <c r="AB24" s="3473">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5"/>
      <c r="Q25" s="3472" t="str">
        <f>B25</f>
        <v>毗邻道路的类型与等级</v>
      </c>
      <c r="R25" s="703" t="s">
        <v>14</v>
      </c>
      <c r="S25" s="704">
        <f>F25</f>
        <v>100</v>
      </c>
      <c r="T25" s="703" t="s">
        <v>14</v>
      </c>
      <c r="U25" s="704">
        <f>H25</f>
        <v>100</v>
      </c>
      <c r="V25" s="703" t="s">
        <v>14</v>
      </c>
      <c r="W25" s="704">
        <f>J25</f>
        <v>100</v>
      </c>
      <c r="X25" s="3469"/>
      <c r="Y25" s="3698"/>
      <c r="Z25" s="3470" t="str">
        <f>Q25</f>
        <v>毗邻道路的类型与等级</v>
      </c>
      <c r="AA25" s="3473">
        <f t="shared" si="3"/>
        <v>1</v>
      </c>
      <c r="AB25" s="3473">
        <f t="shared" si="4"/>
        <v>1</v>
      </c>
      <c r="AC25" s="1956">
        <f t="shared" si="5"/>
        <v>1</v>
      </c>
    </row>
    <row r="26" spans="1:29" ht="15">
      <c r="A26" s="358"/>
      <c r="B26" s="580"/>
      <c r="C26" s="582" t="s">
        <v>3414</v>
      </c>
      <c r="D26" s="386"/>
      <c r="E26" s="582" t="s">
        <v>3414</v>
      </c>
      <c r="F26" s="386"/>
      <c r="G26" s="582" t="s">
        <v>3414</v>
      </c>
      <c r="H26" s="386"/>
      <c r="I26" s="582" t="s">
        <v>3414</v>
      </c>
      <c r="J26" s="386"/>
      <c r="K26" s="564"/>
      <c r="L26" s="2716"/>
      <c r="M26" s="2710"/>
      <c r="N26" s="2710"/>
      <c r="O26" s="2710"/>
      <c r="P26" s="3705"/>
      <c r="Q26" s="3472"/>
      <c r="R26" s="703"/>
      <c r="S26" s="704"/>
      <c r="T26" s="703"/>
      <c r="U26" s="704"/>
      <c r="V26" s="703"/>
      <c r="W26" s="704"/>
      <c r="X26" s="3469"/>
      <c r="Y26" s="3698"/>
      <c r="Z26" s="3470"/>
      <c r="AA26" s="3473">
        <v>1</v>
      </c>
      <c r="AB26" s="3473">
        <v>1</v>
      </c>
      <c r="AC26" s="1956">
        <v>1</v>
      </c>
    </row>
    <row r="27" spans="1:29" ht="15">
      <c r="A27" s="379"/>
      <c r="B27" s="580" t="s">
        <v>1783</v>
      </c>
      <c r="C27" s="582" t="s">
        <v>3416</v>
      </c>
      <c r="D27" s="386">
        <v>100</v>
      </c>
      <c r="E27" s="565" t="s">
        <v>3418</v>
      </c>
      <c r="F27" s="386">
        <f>SUMIF(89:89,E27,90:90)-SUMIF(89:89,C27,90:90)+100</f>
        <v>97</v>
      </c>
      <c r="G27" s="565" t="s">
        <v>3418</v>
      </c>
      <c r="H27" s="386">
        <f>SUMIF(89:89,G27,90:90)-SUMIF(89:89,C27,90:90)+100</f>
        <v>97</v>
      </c>
      <c r="I27" s="565" t="s">
        <v>3420</v>
      </c>
      <c r="J27" s="386">
        <f>SUMIF(89:89,I27,90:90)-SUMIF(89:89,C27,90:90)+100</f>
        <v>94</v>
      </c>
      <c r="K27" s="561">
        <v>3</v>
      </c>
      <c r="L27" s="2716"/>
      <c r="M27" s="2710"/>
      <c r="N27" s="2710"/>
      <c r="O27" s="2710"/>
      <c r="P27" s="3705"/>
      <c r="Q27" s="3472" t="str">
        <f t="shared" ref="Q27:Q47" si="11">B27</f>
        <v>楼层</v>
      </c>
      <c r="R27" s="703" t="s">
        <v>14</v>
      </c>
      <c r="S27" s="704">
        <f>F27</f>
        <v>97</v>
      </c>
      <c r="T27" s="703" t="s">
        <v>14</v>
      </c>
      <c r="U27" s="704">
        <f>H27</f>
        <v>97</v>
      </c>
      <c r="V27" s="703" t="s">
        <v>14</v>
      </c>
      <c r="W27" s="704">
        <f>J27</f>
        <v>94</v>
      </c>
      <c r="X27" s="3469"/>
      <c r="Y27" s="3698"/>
      <c r="Z27" s="3470" t="str">
        <f>Q27</f>
        <v>楼层</v>
      </c>
      <c r="AA27" s="3473">
        <f t="shared" si="3"/>
        <v>1.0309278350515463</v>
      </c>
      <c r="AB27" s="3473">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5"/>
      <c r="Q28" s="3466" t="str">
        <f t="shared" si="11"/>
        <v>朝向</v>
      </c>
      <c r="R28" s="699" t="s">
        <v>14</v>
      </c>
      <c r="S28" s="700">
        <f>F28</f>
        <v>100</v>
      </c>
      <c r="T28" s="699" t="s">
        <v>14</v>
      </c>
      <c r="U28" s="700">
        <f>H28</f>
        <v>100</v>
      </c>
      <c r="V28" s="699" t="s">
        <v>14</v>
      </c>
      <c r="W28" s="700">
        <f>J28</f>
        <v>100</v>
      </c>
      <c r="X28" s="701"/>
      <c r="Y28" s="3698"/>
      <c r="Z28" s="3448" t="str">
        <f>Q28</f>
        <v>朝向</v>
      </c>
      <c r="AA28" s="3473">
        <f>D28/F28</f>
        <v>1</v>
      </c>
      <c r="AB28" s="3473">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5"/>
      <c r="Q29" s="3472">
        <f t="shared" si="11"/>
        <v>111</v>
      </c>
      <c r="R29" s="703" t="s">
        <v>14</v>
      </c>
      <c r="S29" s="704">
        <f t="shared" ref="S29:S47" si="12">F29</f>
        <v>100</v>
      </c>
      <c r="T29" s="703" t="s">
        <v>14</v>
      </c>
      <c r="U29" s="704">
        <f t="shared" ref="U29:U47" si="13">H29</f>
        <v>100</v>
      </c>
      <c r="V29" s="703" t="s">
        <v>14</v>
      </c>
      <c r="W29" s="704">
        <f t="shared" ref="W29:W47" si="14">J29</f>
        <v>100</v>
      </c>
      <c r="X29" s="3469"/>
      <c r="Y29" s="3698"/>
      <c r="Z29" s="3470">
        <f t="shared" ref="Z29:Z47" si="15">Q29</f>
        <v>111</v>
      </c>
      <c r="AA29" s="3473">
        <f t="shared" si="3"/>
        <v>1</v>
      </c>
      <c r="AB29" s="3473">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5"/>
      <c r="Q30" s="3472">
        <f t="shared" si="11"/>
        <v>111</v>
      </c>
      <c r="R30" s="703" t="s">
        <v>14</v>
      </c>
      <c r="S30" s="704">
        <f t="shared" si="12"/>
        <v>100</v>
      </c>
      <c r="T30" s="703" t="s">
        <v>14</v>
      </c>
      <c r="U30" s="704">
        <f t="shared" si="13"/>
        <v>100</v>
      </c>
      <c r="V30" s="703" t="s">
        <v>14</v>
      </c>
      <c r="W30" s="704">
        <f t="shared" si="14"/>
        <v>100</v>
      </c>
      <c r="X30" s="3469"/>
      <c r="Y30" s="3698"/>
      <c r="Z30" s="3470">
        <f t="shared" si="15"/>
        <v>111</v>
      </c>
      <c r="AA30" s="3473">
        <f t="shared" si="3"/>
        <v>1</v>
      </c>
      <c r="AB30" s="3473">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5"/>
      <c r="Q31" s="3472">
        <f t="shared" si="11"/>
        <v>111</v>
      </c>
      <c r="R31" s="703" t="s">
        <v>14</v>
      </c>
      <c r="S31" s="704">
        <f t="shared" si="12"/>
        <v>100</v>
      </c>
      <c r="T31" s="703" t="s">
        <v>14</v>
      </c>
      <c r="U31" s="704">
        <f t="shared" si="13"/>
        <v>100</v>
      </c>
      <c r="V31" s="703" t="s">
        <v>14</v>
      </c>
      <c r="W31" s="704">
        <f t="shared" si="14"/>
        <v>100</v>
      </c>
      <c r="X31" s="3469"/>
      <c r="Y31" s="3698"/>
      <c r="Z31" s="3470">
        <f t="shared" si="15"/>
        <v>111</v>
      </c>
      <c r="AA31" s="3473">
        <f t="shared" si="3"/>
        <v>1</v>
      </c>
      <c r="AB31" s="3473">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5"/>
      <c r="Q32" s="3472">
        <f t="shared" si="11"/>
        <v>111</v>
      </c>
      <c r="R32" s="703" t="s">
        <v>14</v>
      </c>
      <c r="S32" s="704">
        <f t="shared" si="12"/>
        <v>100</v>
      </c>
      <c r="T32" s="703" t="s">
        <v>14</v>
      </c>
      <c r="U32" s="704">
        <f t="shared" si="13"/>
        <v>100</v>
      </c>
      <c r="V32" s="703" t="s">
        <v>14</v>
      </c>
      <c r="W32" s="704">
        <f t="shared" si="14"/>
        <v>100</v>
      </c>
      <c r="X32" s="3469"/>
      <c r="Y32" s="3698"/>
      <c r="Z32" s="3470">
        <f t="shared" si="15"/>
        <v>111</v>
      </c>
      <c r="AA32" s="3473">
        <f t="shared" si="3"/>
        <v>1</v>
      </c>
      <c r="AB32" s="3473">
        <f t="shared" si="4"/>
        <v>1</v>
      </c>
      <c r="AC32" s="1956">
        <f t="shared" si="5"/>
        <v>1</v>
      </c>
    </row>
    <row r="33" spans="1:29" ht="15">
      <c r="A33" s="391" t="s">
        <v>1694</v>
      </c>
      <c r="B33" s="63" t="s">
        <v>1817</v>
      </c>
      <c r="C33" s="1961" t="s">
        <v>3422</v>
      </c>
      <c r="D33" s="418">
        <v>100</v>
      </c>
      <c r="E33" s="1961" t="s">
        <v>3422</v>
      </c>
      <c r="F33" s="412">
        <f>SUMIF(101:101,E33,102:102)-SUMIF(101:101,C33,102:102)+100</f>
        <v>100</v>
      </c>
      <c r="G33" s="1961" t="s">
        <v>3422</v>
      </c>
      <c r="H33" s="386">
        <f>SUMIF(101:101,G33,102:102)-SUMIF(101:101,C33,102:102)+100</f>
        <v>100</v>
      </c>
      <c r="I33" s="1961" t="s">
        <v>3422</v>
      </c>
      <c r="J33" s="418">
        <f>SUMIF(101:101,I33,102:102)-SUMIF(101:101,C33,102:102)+100</f>
        <v>100</v>
      </c>
      <c r="K33" s="561"/>
      <c r="L33" s="2716"/>
      <c r="M33" s="2710"/>
      <c r="N33" s="2710"/>
      <c r="O33" s="2710"/>
      <c r="P33" s="3699" t="s">
        <v>1696</v>
      </c>
      <c r="Q33" s="3472" t="str">
        <f t="shared" si="11"/>
        <v>建筑类型</v>
      </c>
      <c r="R33" s="703" t="s">
        <v>14</v>
      </c>
      <c r="S33" s="704">
        <f t="shared" si="12"/>
        <v>100</v>
      </c>
      <c r="T33" s="703" t="s">
        <v>14</v>
      </c>
      <c r="U33" s="704">
        <f t="shared" si="13"/>
        <v>100</v>
      </c>
      <c r="V33" s="703" t="s">
        <v>14</v>
      </c>
      <c r="W33" s="704">
        <f t="shared" si="14"/>
        <v>100</v>
      </c>
      <c r="X33" s="3469"/>
      <c r="Y33" s="3702" t="s">
        <v>1696</v>
      </c>
      <c r="Z33" s="3470" t="str">
        <f t="shared" si="15"/>
        <v>建筑类型</v>
      </c>
      <c r="AA33" s="3473">
        <f t="shared" si="3"/>
        <v>1</v>
      </c>
      <c r="AB33" s="3473">
        <f t="shared" si="4"/>
        <v>1</v>
      </c>
      <c r="AC33" s="1956">
        <f t="shared" si="5"/>
        <v>1</v>
      </c>
    </row>
    <row r="34" spans="1:29" s="422" customFormat="1" ht="15">
      <c r="A34" s="419"/>
      <c r="B34" s="375" t="s">
        <v>1697</v>
      </c>
      <c r="C34" s="420">
        <f>典型户型修正!B26</f>
        <v>207.53</v>
      </c>
      <c r="D34" s="127">
        <v>100</v>
      </c>
      <c r="E34" s="420">
        <v>132.41999999999999</v>
      </c>
      <c r="F34" s="376">
        <f>LOOKUP(E34,104:104,105:105)-LOOKUP(C34,104:104,105:105)+100</f>
        <v>100</v>
      </c>
      <c r="G34" s="420">
        <v>127.09</v>
      </c>
      <c r="H34" s="127">
        <f>LOOKUP(G34,104:104,105:105)-LOOKUP(C34,104:104,105:105)+100</f>
        <v>100</v>
      </c>
      <c r="I34" s="420">
        <f>'比较法-办公-1804'!I34</f>
        <v>707.83</v>
      </c>
      <c r="J34" s="127">
        <f>LOOKUP(I34,104:104,105:105)-LOOKUP(C34,104:104,105:105)+100</f>
        <v>100</v>
      </c>
      <c r="K34" s="562"/>
      <c r="L34" s="2715"/>
      <c r="M34" s="2717"/>
      <c r="N34" s="2717"/>
      <c r="O34" s="2717"/>
      <c r="P34" s="3700"/>
      <c r="Q34" s="705" t="str">
        <f t="shared" si="11"/>
        <v>项目建筑规模</v>
      </c>
      <c r="R34" s="706" t="s">
        <v>14</v>
      </c>
      <c r="S34" s="707">
        <f t="shared" si="12"/>
        <v>100</v>
      </c>
      <c r="T34" s="706" t="s">
        <v>14</v>
      </c>
      <c r="U34" s="707">
        <f t="shared" si="13"/>
        <v>100</v>
      </c>
      <c r="V34" s="706" t="s">
        <v>14</v>
      </c>
      <c r="W34" s="707">
        <f t="shared" si="14"/>
        <v>100</v>
      </c>
      <c r="X34" s="708"/>
      <c r="Y34" s="3702"/>
      <c r="Z34" s="709" t="str">
        <f t="shared" si="15"/>
        <v>项目建筑规模</v>
      </c>
      <c r="AA34" s="3473">
        <f t="shared" si="3"/>
        <v>1</v>
      </c>
      <c r="AB34" s="3473">
        <f t="shared" si="4"/>
        <v>1</v>
      </c>
      <c r="AC34" s="1956">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700"/>
      <c r="Q35" s="3472" t="str">
        <f t="shared" si="11"/>
        <v>建筑结构</v>
      </c>
      <c r="R35" s="703" t="s">
        <v>14</v>
      </c>
      <c r="S35" s="704">
        <f t="shared" si="12"/>
        <v>100</v>
      </c>
      <c r="T35" s="703" t="s">
        <v>14</v>
      </c>
      <c r="U35" s="704">
        <f t="shared" si="13"/>
        <v>100</v>
      </c>
      <c r="V35" s="703" t="s">
        <v>14</v>
      </c>
      <c r="W35" s="704">
        <f t="shared" si="14"/>
        <v>100</v>
      </c>
      <c r="X35" s="3469"/>
      <c r="Y35" s="3702"/>
      <c r="Z35" s="3470" t="str">
        <f t="shared" si="15"/>
        <v>建筑结构</v>
      </c>
      <c r="AA35" s="3473">
        <f t="shared" si="3"/>
        <v>1</v>
      </c>
      <c r="AB35" s="3473">
        <f t="shared" si="4"/>
        <v>1</v>
      </c>
      <c r="AC35" s="1956">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2</v>
      </c>
      <c r="L36" s="2716"/>
      <c r="M36" s="2710"/>
      <c r="N36" s="2710"/>
      <c r="O36" s="2710"/>
      <c r="P36" s="3700"/>
      <c r="Q36" s="3472" t="str">
        <f t="shared" si="11"/>
        <v>公共部分装修</v>
      </c>
      <c r="R36" s="703" t="s">
        <v>14</v>
      </c>
      <c r="S36" s="704">
        <f t="shared" si="12"/>
        <v>100</v>
      </c>
      <c r="T36" s="703" t="s">
        <v>14</v>
      </c>
      <c r="U36" s="704">
        <f t="shared" si="13"/>
        <v>100</v>
      </c>
      <c r="V36" s="703" t="s">
        <v>14</v>
      </c>
      <c r="W36" s="704">
        <f t="shared" si="14"/>
        <v>100</v>
      </c>
      <c r="X36" s="3469"/>
      <c r="Y36" s="3702"/>
      <c r="Z36" s="3470" t="str">
        <f t="shared" si="15"/>
        <v>公共部分装修</v>
      </c>
      <c r="AA36" s="3473">
        <f t="shared" si="3"/>
        <v>1</v>
      </c>
      <c r="AB36" s="3473">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0"/>
      <c r="Q37" s="3472" t="str">
        <f t="shared" si="11"/>
        <v>成新度</v>
      </c>
      <c r="R37" s="703" t="s">
        <v>14</v>
      </c>
      <c r="S37" s="704">
        <f t="shared" si="12"/>
        <v>100</v>
      </c>
      <c r="T37" s="703" t="s">
        <v>14</v>
      </c>
      <c r="U37" s="704">
        <f t="shared" si="13"/>
        <v>100</v>
      </c>
      <c r="V37" s="703" t="s">
        <v>14</v>
      </c>
      <c r="W37" s="704">
        <f t="shared" si="14"/>
        <v>101</v>
      </c>
      <c r="X37" s="3469"/>
      <c r="Y37" s="3702"/>
      <c r="Z37" s="3470" t="str">
        <f t="shared" si="15"/>
        <v>成新度</v>
      </c>
      <c r="AA37" s="3473">
        <f t="shared" si="3"/>
        <v>1</v>
      </c>
      <c r="AB37" s="3473">
        <f t="shared" si="4"/>
        <v>1</v>
      </c>
      <c r="AC37" s="1956">
        <f t="shared" si="5"/>
        <v>0.99009900990099009</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2</v>
      </c>
      <c r="L38" s="2711"/>
      <c r="M38" s="2712"/>
      <c r="N38" s="2712"/>
      <c r="O38" s="2712"/>
      <c r="P38" s="3700"/>
      <c r="Q38" s="3466" t="str">
        <f t="shared" si="11"/>
        <v>写字楼等级</v>
      </c>
      <c r="R38" s="699" t="s">
        <v>14</v>
      </c>
      <c r="S38" s="700">
        <f t="shared" si="12"/>
        <v>100</v>
      </c>
      <c r="T38" s="699" t="s">
        <v>14</v>
      </c>
      <c r="U38" s="700">
        <f t="shared" si="13"/>
        <v>100</v>
      </c>
      <c r="V38" s="699" t="s">
        <v>14</v>
      </c>
      <c r="W38" s="700">
        <f t="shared" si="14"/>
        <v>100</v>
      </c>
      <c r="X38" s="701"/>
      <c r="Y38" s="3702"/>
      <c r="Z38" s="3448" t="str">
        <f t="shared" si="15"/>
        <v>写字楼等级</v>
      </c>
      <c r="AA38" s="702">
        <f t="shared" si="3"/>
        <v>1</v>
      </c>
      <c r="AB38" s="702">
        <f t="shared" si="4"/>
        <v>1</v>
      </c>
      <c r="AC38" s="1953">
        <f t="shared" si="5"/>
        <v>1</v>
      </c>
    </row>
    <row r="39" spans="1:29" ht="15">
      <c r="A39" s="423"/>
      <c r="B39" s="375" t="s">
        <v>1819</v>
      </c>
      <c r="C39" s="411" t="s">
        <v>3429</v>
      </c>
      <c r="D39" s="386">
        <v>100</v>
      </c>
      <c r="E39" s="411" t="s">
        <v>3429</v>
      </c>
      <c r="F39" s="412">
        <f>SUMIF(115:115,E39,116:116)-SUMIF(115:115,C39,116:116)+100</f>
        <v>100</v>
      </c>
      <c r="G39" s="411" t="s">
        <v>3429</v>
      </c>
      <c r="H39" s="386">
        <f>SUMIF(115:115,G39,116:116)-SUMIF(115:115,C39,116:116)+100</f>
        <v>100</v>
      </c>
      <c r="I39" s="411" t="s">
        <v>3429</v>
      </c>
      <c r="J39" s="386">
        <f>SUMIF(115:115,I39,116:116)-SUMIF(115:115,C39,116:116)+100</f>
        <v>100</v>
      </c>
      <c r="K39" s="561">
        <v>2</v>
      </c>
      <c r="L39" s="2716"/>
      <c r="M39" s="2710"/>
      <c r="N39" s="2710"/>
      <c r="O39" s="2710"/>
      <c r="P39" s="3700" t="s">
        <v>1696</v>
      </c>
      <c r="Q39" s="3472" t="str">
        <f t="shared" si="11"/>
        <v>物业管理</v>
      </c>
      <c r="R39" s="703" t="s">
        <v>14</v>
      </c>
      <c r="S39" s="704">
        <f t="shared" si="12"/>
        <v>100</v>
      </c>
      <c r="T39" s="703" t="s">
        <v>14</v>
      </c>
      <c r="U39" s="704">
        <f t="shared" si="13"/>
        <v>100</v>
      </c>
      <c r="V39" s="703" t="s">
        <v>14</v>
      </c>
      <c r="W39" s="704">
        <f t="shared" si="14"/>
        <v>100</v>
      </c>
      <c r="X39" s="3469"/>
      <c r="Y39" s="3702" t="s">
        <v>1696</v>
      </c>
      <c r="Z39" s="3470" t="str">
        <f t="shared" si="15"/>
        <v>物业管理</v>
      </c>
      <c r="AA39" s="3473">
        <f t="shared" si="3"/>
        <v>1</v>
      </c>
      <c r="AB39" s="3473">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0"/>
      <c r="Q40" s="3472" t="str">
        <f t="shared" si="11"/>
        <v>市政基础设施</v>
      </c>
      <c r="R40" s="703" t="s">
        <v>14</v>
      </c>
      <c r="S40" s="704">
        <f t="shared" si="12"/>
        <v>100</v>
      </c>
      <c r="T40" s="703" t="s">
        <v>14</v>
      </c>
      <c r="U40" s="704">
        <f t="shared" si="13"/>
        <v>100</v>
      </c>
      <c r="V40" s="703" t="s">
        <v>14</v>
      </c>
      <c r="W40" s="704">
        <f t="shared" si="14"/>
        <v>100</v>
      </c>
      <c r="X40" s="3469"/>
      <c r="Y40" s="3702"/>
      <c r="Z40" s="3470" t="str">
        <f t="shared" si="15"/>
        <v>市政基础设施</v>
      </c>
      <c r="AA40" s="3473">
        <f t="shared" si="3"/>
        <v>1</v>
      </c>
      <c r="AB40" s="3473">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0"/>
      <c r="Q41" s="3472" t="str">
        <f t="shared" si="11"/>
        <v>层高</v>
      </c>
      <c r="R41" s="703" t="s">
        <v>14</v>
      </c>
      <c r="S41" s="704">
        <f t="shared" si="12"/>
        <v>100</v>
      </c>
      <c r="T41" s="703" t="s">
        <v>14</v>
      </c>
      <c r="U41" s="704">
        <f t="shared" si="13"/>
        <v>100</v>
      </c>
      <c r="V41" s="703" t="s">
        <v>14</v>
      </c>
      <c r="W41" s="704">
        <f t="shared" si="14"/>
        <v>100</v>
      </c>
      <c r="X41" s="3469"/>
      <c r="Y41" s="3702"/>
      <c r="Z41" s="3470" t="str">
        <f t="shared" si="15"/>
        <v>层高</v>
      </c>
      <c r="AA41" s="3473">
        <f t="shared" si="3"/>
        <v>1</v>
      </c>
      <c r="AB41" s="3473">
        <f t="shared" si="4"/>
        <v>1</v>
      </c>
      <c r="AC41" s="1956">
        <f t="shared" si="5"/>
        <v>1</v>
      </c>
    </row>
    <row r="42" spans="1:29" s="422" customFormat="1" ht="15">
      <c r="A42" s="419"/>
      <c r="B42" s="347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0"/>
      <c r="Q42" s="705" t="str">
        <f t="shared" si="11"/>
        <v>单套建筑面积</v>
      </c>
      <c r="R42" s="706" t="s">
        <v>14</v>
      </c>
      <c r="S42" s="707">
        <f t="shared" si="12"/>
        <v>100</v>
      </c>
      <c r="T42" s="706" t="s">
        <v>14</v>
      </c>
      <c r="U42" s="707">
        <f t="shared" si="13"/>
        <v>100</v>
      </c>
      <c r="V42" s="706" t="s">
        <v>14</v>
      </c>
      <c r="W42" s="707">
        <f t="shared" si="14"/>
        <v>100</v>
      </c>
      <c r="X42" s="708"/>
      <c r="Y42" s="3702"/>
      <c r="Z42" s="709" t="str">
        <f t="shared" si="15"/>
        <v>单套建筑面积</v>
      </c>
      <c r="AA42" s="3473">
        <f t="shared" si="3"/>
        <v>1</v>
      </c>
      <c r="AB42" s="3473">
        <f t="shared" si="4"/>
        <v>1</v>
      </c>
      <c r="AC42" s="1956">
        <f t="shared" si="5"/>
        <v>1</v>
      </c>
    </row>
    <row r="43" spans="1:29" ht="15">
      <c r="A43" s="423"/>
      <c r="B43" s="375" t="s">
        <v>1792</v>
      </c>
      <c r="C43" s="411" t="s">
        <v>3425</v>
      </c>
      <c r="D43" s="386">
        <v>100</v>
      </c>
      <c r="E43" s="411" t="s">
        <v>3425</v>
      </c>
      <c r="F43" s="412">
        <f>SUMIF(123:123,E43,124:124)-SUMIF(123:123,C43,124:124)+100</f>
        <v>100</v>
      </c>
      <c r="G43" s="411" t="s">
        <v>3425</v>
      </c>
      <c r="H43" s="386">
        <f>SUMIF(123:123,G43,124:124)-SUMIF(123:123,C43,124:124)+100</f>
        <v>100</v>
      </c>
      <c r="I43" s="411" t="s">
        <v>3435</v>
      </c>
      <c r="J43" s="386">
        <f>SUMIF(123:123,I43,124:124)-SUMIF(123:123,C43,124:124)+100</f>
        <v>99</v>
      </c>
      <c r="K43" s="561">
        <v>1</v>
      </c>
      <c r="L43" s="2716"/>
      <c r="M43" s="2710"/>
      <c r="N43" s="2710"/>
      <c r="O43" s="2710"/>
      <c r="P43" s="3700"/>
      <c r="Q43" s="3472" t="str">
        <f t="shared" si="11"/>
        <v>内部装修</v>
      </c>
      <c r="R43" s="703" t="s">
        <v>14</v>
      </c>
      <c r="S43" s="704">
        <f t="shared" si="12"/>
        <v>100</v>
      </c>
      <c r="T43" s="703" t="s">
        <v>14</v>
      </c>
      <c r="U43" s="704">
        <f t="shared" si="13"/>
        <v>100</v>
      </c>
      <c r="V43" s="703" t="s">
        <v>14</v>
      </c>
      <c r="W43" s="704">
        <f t="shared" si="14"/>
        <v>99</v>
      </c>
      <c r="X43" s="3469"/>
      <c r="Y43" s="3702"/>
      <c r="Z43" s="3470" t="str">
        <f t="shared" si="15"/>
        <v>内部装修</v>
      </c>
      <c r="AA43" s="3473">
        <f t="shared" si="3"/>
        <v>1</v>
      </c>
      <c r="AB43" s="3473">
        <f t="shared" si="4"/>
        <v>1</v>
      </c>
      <c r="AC43" s="1956">
        <f t="shared" si="5"/>
        <v>1.0101010101010102</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16"/>
      <c r="M44" s="2710"/>
      <c r="N44" s="2710"/>
      <c r="O44" s="2710"/>
      <c r="P44" s="3700"/>
      <c r="Q44" s="3472" t="str">
        <f t="shared" si="11"/>
        <v>内部装修维护情况</v>
      </c>
      <c r="R44" s="703" t="s">
        <v>14</v>
      </c>
      <c r="S44" s="704">
        <f t="shared" si="12"/>
        <v>100</v>
      </c>
      <c r="T44" s="703" t="s">
        <v>14</v>
      </c>
      <c r="U44" s="704">
        <f t="shared" si="13"/>
        <v>100</v>
      </c>
      <c r="V44" s="703" t="s">
        <v>14</v>
      </c>
      <c r="W44" s="704">
        <f t="shared" si="14"/>
        <v>100</v>
      </c>
      <c r="X44" s="3469"/>
      <c r="Y44" s="3702"/>
      <c r="Z44" s="3470" t="str">
        <f t="shared" si="15"/>
        <v>内部装修维护情况</v>
      </c>
      <c r="AA44" s="3473">
        <f t="shared" si="3"/>
        <v>1</v>
      </c>
      <c r="AB44" s="3473">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0"/>
      <c r="Q45" s="3466">
        <f t="shared" si="11"/>
        <v>111</v>
      </c>
      <c r="R45" s="699" t="s">
        <v>14</v>
      </c>
      <c r="S45" s="700">
        <f t="shared" si="12"/>
        <v>100</v>
      </c>
      <c r="T45" s="699" t="s">
        <v>14</v>
      </c>
      <c r="U45" s="700">
        <f t="shared" si="13"/>
        <v>100</v>
      </c>
      <c r="V45" s="699" t="s">
        <v>14</v>
      </c>
      <c r="W45" s="700">
        <f t="shared" si="14"/>
        <v>100</v>
      </c>
      <c r="X45" s="701"/>
      <c r="Y45" s="3702"/>
      <c r="Z45" s="3448">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0"/>
      <c r="Q46" s="3472">
        <f t="shared" si="11"/>
        <v>111</v>
      </c>
      <c r="R46" s="703" t="s">
        <v>14</v>
      </c>
      <c r="S46" s="704">
        <f t="shared" si="12"/>
        <v>100</v>
      </c>
      <c r="T46" s="703" t="s">
        <v>14</v>
      </c>
      <c r="U46" s="704">
        <f t="shared" si="13"/>
        <v>100</v>
      </c>
      <c r="V46" s="703" t="s">
        <v>14</v>
      </c>
      <c r="W46" s="704">
        <f t="shared" si="14"/>
        <v>100</v>
      </c>
      <c r="X46" s="3469"/>
      <c r="Y46" s="3702"/>
      <c r="Z46" s="3470">
        <f t="shared" si="15"/>
        <v>111</v>
      </c>
      <c r="AA46" s="3473">
        <f t="shared" si="3"/>
        <v>1</v>
      </c>
      <c r="AB46" s="3473">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1"/>
      <c r="Q47" s="3472">
        <f t="shared" si="11"/>
        <v>111</v>
      </c>
      <c r="R47" s="703" t="s">
        <v>14</v>
      </c>
      <c r="S47" s="704">
        <f t="shared" si="12"/>
        <v>100</v>
      </c>
      <c r="T47" s="703" t="s">
        <v>14</v>
      </c>
      <c r="U47" s="704">
        <f t="shared" si="13"/>
        <v>100</v>
      </c>
      <c r="V47" s="703" t="s">
        <v>14</v>
      </c>
      <c r="W47" s="704">
        <f t="shared" si="14"/>
        <v>100</v>
      </c>
      <c r="X47" s="3469"/>
      <c r="Y47" s="3703"/>
      <c r="Z47" s="3470">
        <f t="shared" si="15"/>
        <v>111</v>
      </c>
      <c r="AA47" s="3473">
        <f t="shared" si="3"/>
        <v>1</v>
      </c>
      <c r="AB47" s="3473">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06" t="str">
        <f>A48</f>
        <v>成交单价（元/平方米）</v>
      </c>
      <c r="Q48" s="3695"/>
      <c r="R48" s="3696">
        <f>E48</f>
        <v>28772</v>
      </c>
      <c r="S48" s="3696"/>
      <c r="T48" s="3696">
        <f>G48</f>
        <v>28798</v>
      </c>
      <c r="U48" s="3696"/>
      <c r="V48" s="3696">
        <f>I48</f>
        <v>29993</v>
      </c>
      <c r="W48" s="3696"/>
      <c r="X48" s="397"/>
      <c r="Y48" s="710"/>
      <c r="Z48" s="397"/>
      <c r="AA48" s="397"/>
      <c r="AB48" s="397"/>
      <c r="AC48" s="578"/>
    </row>
    <row r="49" spans="1:29" ht="15.75" thickBot="1">
      <c r="A49" s="437" t="s">
        <v>1709</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06" t="str">
        <f>A49</f>
        <v>比较价值（元/平方米）</v>
      </c>
      <c r="Q49" s="3695"/>
      <c r="R49" s="3696">
        <f>IF(F1="售价",ROUND(PRODUCT(R48,AA7:AA47),0),ROUND(PRODUCT(R48,AA7:AA47),1))</f>
        <v>29080</v>
      </c>
      <c r="S49" s="3696"/>
      <c r="T49" s="3696">
        <f>IF(F1="售价",ROUND(PRODUCT(T48,AB7:AB47),0),ROUND(PRODUCT(T48,AB7:AB47),1))</f>
        <v>29107</v>
      </c>
      <c r="U49" s="3696"/>
      <c r="V49" s="3696">
        <f>IF(F1="售价",ROUND(PRODUCT(V48,AC7:AC47),0),ROUND(PRODUCT(V48,AC7:AC47),1))</f>
        <v>31285</v>
      </c>
      <c r="W49" s="3696"/>
      <c r="X49" s="397"/>
      <c r="Y49" s="397"/>
      <c r="Z49" s="397"/>
      <c r="AA49" s="397"/>
      <c r="AB49" s="397"/>
      <c r="AC49" s="578"/>
    </row>
    <row r="50" spans="1:29" ht="15.75" thickBot="1">
      <c r="A50" s="441" t="s">
        <v>1710</v>
      </c>
      <c r="B50" s="442"/>
      <c r="C50" s="1157">
        <f>R50</f>
        <v>29824</v>
      </c>
      <c r="D50" s="1157"/>
      <c r="E50" s="1157"/>
      <c r="F50" s="1157"/>
      <c r="G50" s="1157"/>
      <c r="H50" s="1157"/>
      <c r="I50" s="1157"/>
      <c r="J50" s="443"/>
      <c r="K50" s="713"/>
      <c r="L50" s="2718"/>
      <c r="M50" s="2710"/>
      <c r="N50" s="2710"/>
      <c r="O50" s="2710"/>
      <c r="P50" s="3752" t="str">
        <f>A50</f>
        <v>估价对象XX用房的比较价值（楼面单价，元/平方米）</v>
      </c>
      <c r="Q50" s="3753"/>
      <c r="R50" s="3754">
        <f>IF(F1="售价",ROUND(IF(D49="简单平均",AVERAGE(R49:V49),R49*F49+T49*H49+V49*J49),0),ROUND(IF(D49="简单平均",AVERAGE(R49:V49),R49*F49+T49*H49+V49*J49),1))</f>
        <v>29824</v>
      </c>
      <c r="S50" s="3754"/>
      <c r="T50" s="3754"/>
      <c r="U50" s="3754"/>
      <c r="V50" s="3754"/>
      <c r="W50" s="375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43" t="s">
        <v>3409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3410</v>
      </c>
      <c r="D87" s="3477" t="s">
        <v>3411</v>
      </c>
      <c r="E87" s="3477" t="s">
        <v>3412</v>
      </c>
      <c r="F87" s="3477" t="s">
        <v>3413</v>
      </c>
      <c r="G87" s="3477" t="s">
        <v>3415</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3417</v>
      </c>
      <c r="D89" s="3477" t="s">
        <v>3419</v>
      </c>
      <c r="E89" s="3477" t="s">
        <v>3421</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3426</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3428</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3430</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3402</v>
      </c>
      <c r="D117" s="503" t="s">
        <v>3431</v>
      </c>
      <c r="E117" s="503" t="s">
        <v>3432</v>
      </c>
      <c r="F117" s="503" t="s">
        <v>3433</v>
      </c>
      <c r="G117" s="503" t="s">
        <v>3434</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3426</v>
      </c>
      <c r="D123" s="3477" t="s">
        <v>3436</v>
      </c>
      <c r="E123" s="3477" t="s">
        <v>3437</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58" priority="20" stopIfTrue="1" operator="containsText" text="超过">
      <formula>NOT(ISERROR(SEARCH("超过",F53)))</formula>
    </cfRule>
  </conditionalFormatting>
  <conditionalFormatting sqref="H55">
    <cfRule type="containsText" dxfId="157" priority="19" stopIfTrue="1" operator="containsText" text="超过">
      <formula>NOT(ISERROR(SEARCH("超过",H55)))</formula>
    </cfRule>
  </conditionalFormatting>
  <conditionalFormatting sqref="F55">
    <cfRule type="containsText" dxfId="156" priority="18" stopIfTrue="1" operator="containsText" text="超过">
      <formula>NOT(ISERROR(SEARCH("超过",F55)))</formula>
    </cfRule>
  </conditionalFormatting>
  <conditionalFormatting sqref="F54 H54">
    <cfRule type="containsText" dxfId="155" priority="17" stopIfTrue="1" operator="containsText" text="超过">
      <formula>NOT(ISERROR(SEARCH("超过",F54)))</formula>
    </cfRule>
  </conditionalFormatting>
  <conditionalFormatting sqref="E53">
    <cfRule type="expression" dxfId="154" priority="16" stopIfTrue="1">
      <formula>$F$53="超过30%"</formula>
    </cfRule>
  </conditionalFormatting>
  <conditionalFormatting sqref="E54">
    <cfRule type="expression" dxfId="153" priority="15" stopIfTrue="1">
      <formula>$F$54="超过20%"</formula>
    </cfRule>
  </conditionalFormatting>
  <conditionalFormatting sqref="E55">
    <cfRule type="expression" dxfId="152" priority="14" stopIfTrue="1">
      <formula>$F$55="超过30%"</formula>
    </cfRule>
  </conditionalFormatting>
  <conditionalFormatting sqref="G55">
    <cfRule type="expression" dxfId="151" priority="13" stopIfTrue="1">
      <formula>$H$55="超过30%"</formula>
    </cfRule>
  </conditionalFormatting>
  <conditionalFormatting sqref="G53">
    <cfRule type="expression" dxfId="150" priority="12" stopIfTrue="1">
      <formula>$H$53="超过30%"</formula>
    </cfRule>
  </conditionalFormatting>
  <conditionalFormatting sqref="G54">
    <cfRule type="expression" dxfId="149" priority="11" stopIfTrue="1">
      <formula>$H$54="超过20%"</formula>
    </cfRule>
  </conditionalFormatting>
  <conditionalFormatting sqref="J53">
    <cfRule type="containsText" dxfId="148" priority="10" stopIfTrue="1" operator="containsText" text="超过">
      <formula>NOT(ISERROR(SEARCH("超过",J53)))</formula>
    </cfRule>
  </conditionalFormatting>
  <conditionalFormatting sqref="J55">
    <cfRule type="containsText" dxfId="147" priority="9" stopIfTrue="1" operator="containsText" text="超过">
      <formula>NOT(ISERROR(SEARCH("超过",J55)))</formula>
    </cfRule>
  </conditionalFormatting>
  <conditionalFormatting sqref="J54">
    <cfRule type="containsText" dxfId="146" priority="8" stopIfTrue="1" operator="containsText" text="超过">
      <formula>NOT(ISERROR(SEARCH("超过",J54)))</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F7:F47 H7:H47 J7:J47">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1805</v>
      </c>
      <c r="D1" s="1356" t="s">
        <v>43</v>
      </c>
      <c r="E1" s="1357" t="s">
        <v>678</v>
      </c>
      <c r="F1" s="1056">
        <f ca="1">J53</f>
        <v>41</v>
      </c>
      <c r="G1" s="1372">
        <f>MATCH(C1,'数据-取费表'!A6:A16,0)+5</f>
        <v>8</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407.91840000000002</v>
      </c>
      <c r="C2" s="1381" t="s">
        <v>879</v>
      </c>
      <c r="D2" s="1465">
        <f ca="1">C40+J29+L46</f>
        <v>4079184</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238906</v>
      </c>
      <c r="D5" s="1358" t="s">
        <v>889</v>
      </c>
      <c r="E5" s="1065"/>
      <c r="F5" s="1066"/>
      <c r="G5" s="1378"/>
      <c r="H5" s="299">
        <v>1</v>
      </c>
      <c r="I5" s="300" t="s">
        <v>888</v>
      </c>
      <c r="J5" s="1064">
        <f ca="1">J6+J10+J12</f>
        <v>0</v>
      </c>
      <c r="K5" s="1358" t="s">
        <v>889</v>
      </c>
      <c r="L5" s="1065"/>
      <c r="M5" s="1066"/>
    </row>
    <row r="6" spans="1:37" ht="18" customHeight="1">
      <c r="A6" s="1063" t="s">
        <v>398</v>
      </c>
      <c r="B6" s="3668" t="s">
        <v>694</v>
      </c>
      <c r="C6" s="1068">
        <f ca="1">ROUND(F6*F8*F7*(1-F9),0)</f>
        <v>238608</v>
      </c>
      <c r="D6" s="155" t="s">
        <v>2105</v>
      </c>
      <c r="E6" s="302" t="s">
        <v>696</v>
      </c>
      <c r="F6" s="303">
        <f ca="1">INDIRECT("'数据-取费表'!u"&amp;$G$1)</f>
        <v>3.5</v>
      </c>
      <c r="G6" s="1378"/>
      <c r="H6" s="1063" t="s">
        <v>398</v>
      </c>
      <c r="I6" s="3668" t="s">
        <v>694</v>
      </c>
      <c r="J6" s="301">
        <f ca="1">ROUND(M6*M8*M7*(1-M9),0)</f>
        <v>0</v>
      </c>
      <c r="K6" s="1370" t="s">
        <v>2106</v>
      </c>
      <c r="L6" s="302" t="s">
        <v>696</v>
      </c>
      <c r="M6" s="303">
        <f ca="1">INDIRECT("'数据-取费表'!z"&amp;$G$1)</f>
        <v>0</v>
      </c>
    </row>
    <row r="7" spans="1:37" ht="18" customHeight="1">
      <c r="A7" s="1067"/>
      <c r="B7" s="3669"/>
      <c r="C7" s="1069"/>
      <c r="D7" s="307"/>
      <c r="E7" s="3452" t="s">
        <v>697</v>
      </c>
      <c r="F7" s="303">
        <f ca="1">IF(INDIRECT("'数据-取费表'!ah"&amp;$G$1)="",INDIRECT("'数据-取费表'!k"&amp;$G$1),INDIRECT("'数据-取费表'!ah"&amp;$G$1))</f>
        <v>207.53</v>
      </c>
      <c r="G7" s="1378"/>
      <c r="H7" s="304"/>
      <c r="I7" s="3669"/>
      <c r="J7" s="306"/>
      <c r="K7" s="307"/>
      <c r="L7" s="302" t="s">
        <v>697</v>
      </c>
      <c r="M7" s="303">
        <f ca="1">F7</f>
        <v>207.53</v>
      </c>
    </row>
    <row r="8" spans="1:37" ht="18" customHeight="1">
      <c r="A8" s="304"/>
      <c r="B8" s="3669"/>
      <c r="C8" s="306"/>
      <c r="D8" s="307"/>
      <c r="E8" s="302" t="s">
        <v>698</v>
      </c>
      <c r="F8" s="303">
        <f ca="1">INDIRECT("'数据-取费表'!ai"&amp;$G$1)</f>
        <v>365</v>
      </c>
      <c r="G8" s="1378"/>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78"/>
      <c r="H9" s="304"/>
      <c r="I9" s="3670"/>
      <c r="J9" s="306"/>
      <c r="K9" s="307"/>
      <c r="L9" s="313" t="s">
        <v>699</v>
      </c>
      <c r="M9" s="314">
        <f ca="1">INDIRECT("'数据-取费表'!ab"&amp;$G$1)</f>
        <v>0</v>
      </c>
    </row>
    <row r="10" spans="1:37" ht="18" customHeight="1">
      <c r="A10" s="1063" t="s">
        <v>402</v>
      </c>
      <c r="B10" s="1359" t="s">
        <v>700</v>
      </c>
      <c r="C10" s="316">
        <f ca="1">ROUND(IF(F10="押一",C6/12*F11,IF(F10="押二",C6/12*2*F11,IF(F10="押三",C6/12*3*F11,C11*F11))),0)</f>
        <v>298</v>
      </c>
      <c r="D10" s="1360" t="s">
        <v>2115</v>
      </c>
      <c r="E10" s="313" t="s">
        <v>701</v>
      </c>
      <c r="F10" s="1110" t="s">
        <v>3403</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1176351</v>
      </c>
      <c r="D13" s="3445" t="s">
        <v>705</v>
      </c>
      <c r="E13" s="344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933885</v>
      </c>
      <c r="D14" s="3462" t="s">
        <v>708</v>
      </c>
      <c r="E14" s="3461"/>
      <c r="F14" s="319"/>
      <c r="G14" s="1378"/>
      <c r="H14" s="976" t="s">
        <v>398</v>
      </c>
      <c r="I14" s="302" t="s">
        <v>709</v>
      </c>
      <c r="J14" s="21">
        <f ca="1">C29</f>
        <v>1336763</v>
      </c>
      <c r="K14" s="3450"/>
      <c r="L14" s="801"/>
      <c r="M14" s="802"/>
    </row>
    <row r="15" spans="1:37" s="1391" customFormat="1" ht="18" customHeight="1" thickBot="1">
      <c r="A15" s="976" t="s">
        <v>399</v>
      </c>
      <c r="B15" s="302" t="s">
        <v>710</v>
      </c>
      <c r="C15" s="21">
        <f ca="1">ROUND(C14*F15,0)</f>
        <v>28017</v>
      </c>
      <c r="D15" s="3446" t="s">
        <v>711</v>
      </c>
      <c r="E15" s="3446"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6684</v>
      </c>
      <c r="K16" s="1081" t="s">
        <v>715</v>
      </c>
      <c r="L16" s="3467"/>
      <c r="M16" s="1066"/>
    </row>
    <row r="17" spans="1:37" s="1391" customFormat="1" ht="18" customHeight="1">
      <c r="A17" s="976" t="s">
        <v>681</v>
      </c>
      <c r="B17" s="302" t="s">
        <v>716</v>
      </c>
      <c r="C17" s="21">
        <f ca="1">ROUND(F17*(F43+INDIRECT("'数据-取费表'!S"&amp;$G$1)),0)</f>
        <v>41506</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62" t="s">
        <v>720</v>
      </c>
      <c r="L17" s="3465"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18678</v>
      </c>
      <c r="D18" s="302" t="s">
        <v>711</v>
      </c>
      <c r="E18" s="302" t="s">
        <v>712</v>
      </c>
      <c r="F18" s="322">
        <f>'数据-取费表'!B36</f>
        <v>0.02</v>
      </c>
      <c r="G18" s="1390"/>
      <c r="H18" s="976" t="s">
        <v>397</v>
      </c>
      <c r="I18" s="302" t="s">
        <v>723</v>
      </c>
      <c r="J18" s="21">
        <f ca="1">ROUND(J6*M18/(1+'数据-取费表'!C42),0)</f>
        <v>0</v>
      </c>
      <c r="K18" s="3465"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1022086</v>
      </c>
      <c r="D19" s="131" t="s">
        <v>726</v>
      </c>
      <c r="E19" s="3476"/>
      <c r="F19" s="23"/>
      <c r="G19" s="1378"/>
      <c r="H19" s="976" t="s">
        <v>399</v>
      </c>
      <c r="I19" s="302" t="s">
        <v>727</v>
      </c>
      <c r="J19" s="21">
        <f ca="1">IF(K19="按租金收入计税",ROUND(J6*M19/(1+'数据-取费表'!C42),0),ROUND(C29*M19*0.7,0))</f>
        <v>0</v>
      </c>
      <c r="K19" s="1364" t="s">
        <v>3337</v>
      </c>
      <c r="L19" s="302" t="s">
        <v>712</v>
      </c>
      <c r="M19" s="322">
        <f>IF(K19="按租金收入计税",'数据-取费表'!B51,'数据-取费表'!B50)</f>
        <v>0.12</v>
      </c>
    </row>
    <row r="20" spans="1:37" s="1391" customFormat="1" ht="18" customHeight="1">
      <c r="A20" s="976" t="s">
        <v>402</v>
      </c>
      <c r="B20" s="302" t="s">
        <v>728</v>
      </c>
      <c r="C20" s="21">
        <f ca="1">ROUND(C19*F20,0)</f>
        <v>20442</v>
      </c>
      <c r="D20" s="2422"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76"/>
      <c r="F22" s="23"/>
      <c r="G22" s="1378"/>
      <c r="H22" s="976" t="s">
        <v>402</v>
      </c>
      <c r="I22" s="302" t="s">
        <v>738</v>
      </c>
      <c r="J22" s="21">
        <f ca="1">ROUND(J14*M22,0)</f>
        <v>6684</v>
      </c>
      <c r="K22" s="3465"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34925</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3465"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76"/>
      <c r="F25" s="23"/>
      <c r="G25" s="1378"/>
      <c r="H25" s="1073" t="s">
        <v>394</v>
      </c>
      <c r="I25" s="1088" t="s">
        <v>752</v>
      </c>
      <c r="J25" s="310">
        <f ca="1">J5-J16</f>
        <v>-6684</v>
      </c>
      <c r="K25" s="1089" t="s">
        <v>753</v>
      </c>
      <c r="L25" s="1090"/>
      <c r="M25" s="1091"/>
    </row>
    <row r="26" spans="1:37" ht="18" customHeight="1">
      <c r="A26" s="976" t="s">
        <v>397</v>
      </c>
      <c r="B26" s="302" t="s">
        <v>754</v>
      </c>
      <c r="C26" s="21">
        <f ca="1">ROUND((C19+C20)*F26,0)</f>
        <v>156379</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22" t="s">
        <v>761</v>
      </c>
      <c r="E27" s="3446"/>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2"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1336763</v>
      </c>
      <c r="D29" s="1086"/>
      <c r="E29" s="1084"/>
      <c r="F29" s="1087"/>
      <c r="G29" s="1390"/>
      <c r="H29" s="334" t="s">
        <v>396</v>
      </c>
      <c r="I29" s="335" t="s">
        <v>768</v>
      </c>
      <c r="J29" s="336">
        <f ca="1">ROUND(J26/(1+F40)^F41,0)</f>
        <v>0</v>
      </c>
      <c r="K29" s="337" t="s">
        <v>769</v>
      </c>
      <c r="L29" s="338"/>
      <c r="M29" s="339">
        <f ca="1">INDIRECT("'数据-取费表'!k"&amp;$G$1)</f>
        <v>207.53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49639</v>
      </c>
      <c r="D30" s="1081" t="s">
        <v>715</v>
      </c>
      <c r="E30" s="3467"/>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39995</v>
      </c>
      <c r="D31" s="3462" t="s">
        <v>720</v>
      </c>
      <c r="E31" s="3465"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302" t="s">
        <v>723</v>
      </c>
      <c r="C32" s="21">
        <f ca="1">IF(项目基本情况!B11="自然人","——",ROUND(C6*F32/(1+'数据-取费表'!C42),0))</f>
        <v>12726</v>
      </c>
      <c r="D32" s="3465"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27269</v>
      </c>
      <c r="D33" s="1364" t="s">
        <v>3337</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6684</v>
      </c>
      <c r="D36" s="3465"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1765</v>
      </c>
      <c r="D37" s="3465"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1195</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189267</v>
      </c>
      <c r="D39" s="1089" t="s">
        <v>773</v>
      </c>
      <c r="E39" s="1090"/>
      <c r="F39" s="1091"/>
      <c r="G39" s="1378"/>
      <c r="H39" s="2694"/>
      <c r="I39" s="1392"/>
      <c r="J39" s="1393"/>
      <c r="K39" s="2698"/>
      <c r="L39" s="2694"/>
      <c r="M39" s="2694"/>
    </row>
    <row r="40" spans="1:18" ht="18" customHeight="1">
      <c r="A40" s="299" t="s">
        <v>395</v>
      </c>
      <c r="B40" s="300" t="s">
        <v>774</v>
      </c>
      <c r="C40" s="301">
        <f ca="1">ROUND(C39*(1-((1+F42)/(1+F40))^F41)/(F40-F42),0)</f>
        <v>4051618</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207.53</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3353</v>
      </c>
      <c r="B45" s="1394"/>
      <c r="C45" s="1466">
        <f ca="1">ROUND((C68-C40)/10000,4)</f>
        <v>-418.81319999999999</v>
      </c>
      <c r="D45" s="3425" t="s">
        <v>3354</v>
      </c>
      <c r="E45" s="1394"/>
      <c r="F45" s="1394"/>
      <c r="O45" s="1397" t="s">
        <v>808</v>
      </c>
      <c r="P45" s="1455"/>
      <c r="Q45" s="1455"/>
      <c r="R45" s="1455"/>
    </row>
    <row r="46" spans="1:18" s="1378" customFormat="1" ht="13.5" thickBot="1">
      <c r="A46" s="1398" t="s">
        <v>809</v>
      </c>
      <c r="C46" s="1399">
        <f ca="1">ROUND(C45,0)</f>
        <v>-419</v>
      </c>
      <c r="D46" s="1400" t="str">
        <f>C2</f>
        <v>万元</v>
      </c>
      <c r="I46" s="1401" t="s">
        <v>810</v>
      </c>
      <c r="J46" s="1402"/>
      <c r="K46" s="1403"/>
      <c r="L46" s="1404">
        <f ca="1">IF(M47="住宅",0,IF(L48&gt;J51,L60,J60))</f>
        <v>27566</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3395</v>
      </c>
      <c r="K47" s="1410" t="s">
        <v>816</v>
      </c>
      <c r="L47" s="1411">
        <f ca="1">INDIRECT("'数据-取费表'!d"&amp;$G$1)</f>
        <v>50</v>
      </c>
      <c r="M47" s="1374" t="str">
        <f>IF(ISNUMBER(FIND("住宅",C1)),"住宅","非住宅")</f>
        <v>非住宅</v>
      </c>
      <c r="O47" s="1412" t="s">
        <v>403</v>
      </c>
      <c r="P47" s="1413" t="s">
        <v>817</v>
      </c>
      <c r="Q47" s="1414">
        <f ca="1">C40+J29</f>
        <v>4051618</v>
      </c>
      <c r="R47" s="1414" t="s">
        <v>818</v>
      </c>
    </row>
    <row r="48" spans="1:18" s="1378" customFormat="1" ht="28.5" thickBot="1">
      <c r="A48" s="1104" t="s">
        <v>438</v>
      </c>
      <c r="B48" s="300" t="s">
        <v>692</v>
      </c>
      <c r="C48" s="3475">
        <f ca="1">C49+C53+C55</f>
        <v>0</v>
      </c>
      <c r="D48" s="1106"/>
      <c r="E48" s="1107"/>
      <c r="F48" s="956"/>
      <c r="G48" s="720"/>
      <c r="H48" s="721"/>
      <c r="I48" s="1415" t="s">
        <v>819</v>
      </c>
      <c r="J48" s="1416" t="s">
        <v>3396</v>
      </c>
      <c r="K48" s="1417" t="s">
        <v>820</v>
      </c>
      <c r="L48" s="1418">
        <f ca="1">INDIRECT("'数据-取费表'!f"&amp;$G$1)</f>
        <v>41</v>
      </c>
      <c r="O48" s="1412" t="s">
        <v>404</v>
      </c>
      <c r="P48" s="1413" t="s">
        <v>821</v>
      </c>
      <c r="Q48" s="1414">
        <f ca="1">J60</f>
        <v>27566</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1336763</v>
      </c>
      <c r="R49" s="1414" t="s">
        <v>818</v>
      </c>
    </row>
    <row r="50" spans="1:18" s="1378" customFormat="1" ht="13.5" thickBot="1">
      <c r="A50" s="970"/>
      <c r="B50" s="973"/>
      <c r="C50" s="974"/>
      <c r="D50" s="947"/>
      <c r="E50" s="1050" t="s">
        <v>697</v>
      </c>
      <c r="F50" s="1051">
        <f ca="1">F7</f>
        <v>207.53</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1977360</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2422"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66" t="s">
        <v>837</v>
      </c>
      <c r="L53" s="3667"/>
      <c r="O53" s="1412" t="s">
        <v>409</v>
      </c>
      <c r="P53" s="1413" t="s">
        <v>838</v>
      </c>
      <c r="Q53" s="1414">
        <f ca="1">Q47+Q48</f>
        <v>4079184</v>
      </c>
      <c r="R53" s="1414" t="s">
        <v>410</v>
      </c>
    </row>
    <row r="54" spans="1:18" s="1378" customFormat="1" ht="13.5" thickBot="1">
      <c r="A54" s="969"/>
      <c r="B54" s="1467" t="s">
        <v>891</v>
      </c>
      <c r="C54" s="953"/>
      <c r="D54" s="1360"/>
      <c r="E54" s="3454"/>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4"/>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1176351</v>
      </c>
      <c r="D56" s="1441"/>
      <c r="E56" s="1442"/>
      <c r="F56" s="1434"/>
      <c r="I56" s="1443" t="s">
        <v>842</v>
      </c>
      <c r="J56" s="1444" t="s">
        <v>3388</v>
      </c>
      <c r="K56" s="1415" t="s">
        <v>843</v>
      </c>
      <c r="L56" s="1418" t="str">
        <f ca="1">IF(L48&lt;J51,"——",L48-J51)</f>
        <v>——</v>
      </c>
      <c r="O56" s="1412" t="s">
        <v>403</v>
      </c>
      <c r="P56" s="1413" t="s">
        <v>817</v>
      </c>
      <c r="Q56" s="1414">
        <f ca="1">C40+J29</f>
        <v>4051618</v>
      </c>
      <c r="R56" s="1414" t="s">
        <v>818</v>
      </c>
    </row>
    <row r="57" spans="1:18" s="1378" customFormat="1" ht="24.75" thickBot="1">
      <c r="A57" s="1445"/>
      <c r="B57" s="944" t="s">
        <v>767</v>
      </c>
      <c r="C57" s="238">
        <f ca="1">C29</f>
        <v>1336763</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8449</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534705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27566</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3337</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4051618</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6684</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1765</v>
      </c>
      <c r="D65" s="958" t="s">
        <v>743</v>
      </c>
      <c r="E65" s="944" t="s">
        <v>744</v>
      </c>
      <c r="F65" s="330">
        <f t="shared" ca="1" si="0"/>
        <v>1.5E-3</v>
      </c>
      <c r="I65" s="1456" t="s">
        <v>867</v>
      </c>
      <c r="J65" s="1457">
        <v>40</v>
      </c>
      <c r="K65" s="1457">
        <v>30</v>
      </c>
      <c r="L65" s="1457">
        <v>50</v>
      </c>
      <c r="M65" s="1459">
        <v>0.02</v>
      </c>
      <c r="O65" s="1412" t="s">
        <v>403</v>
      </c>
      <c r="P65" s="1413" t="s">
        <v>868</v>
      </c>
      <c r="Q65" s="1414">
        <f ca="1">C40+J29</f>
        <v>4051618</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-8449</v>
      </c>
      <c r="D67" s="957" t="s">
        <v>753</v>
      </c>
      <c r="E67" s="962"/>
      <c r="F67" s="963"/>
      <c r="O67" s="1422" t="s">
        <v>405</v>
      </c>
      <c r="P67" s="1413" t="s">
        <v>850</v>
      </c>
      <c r="Q67" s="1460">
        <f ca="1">L51</f>
        <v>1977360</v>
      </c>
      <c r="R67" s="1414" t="s">
        <v>870</v>
      </c>
    </row>
    <row r="68" spans="1:18" s="1378" customFormat="1" ht="16.5" thickBot="1">
      <c r="A68" s="941" t="s">
        <v>395</v>
      </c>
      <c r="B68" s="942" t="s">
        <v>774</v>
      </c>
      <c r="C68" s="301">
        <f ca="1">ROUND(C67*(1-((1+F70)/(1+F68))^F69)/(F68-F70),0)</f>
        <v>-136514</v>
      </c>
      <c r="D68" s="959" t="s">
        <v>758</v>
      </c>
      <c r="E68" s="944" t="s">
        <v>759</v>
      </c>
      <c r="F68" s="312">
        <f ca="1">F40</f>
        <v>5.5E-2</v>
      </c>
      <c r="O68" s="1422" t="s">
        <v>406</v>
      </c>
      <c r="P68" s="1461" t="s">
        <v>871</v>
      </c>
      <c r="Q68" s="1414">
        <f ca="1">ROUND(Q69-Q70*Q71,0)</f>
        <v>106922</v>
      </c>
      <c r="R68" s="1414" t="s">
        <v>414</v>
      </c>
    </row>
    <row r="69" spans="1:18" s="1378" customFormat="1" ht="13.5" thickBot="1">
      <c r="A69" s="945"/>
      <c r="B69" s="946"/>
      <c r="C69" s="306"/>
      <c r="D69" s="964" t="s">
        <v>762</v>
      </c>
      <c r="E69" s="944" t="s">
        <v>763</v>
      </c>
      <c r="F69" s="333">
        <f ca="1">F41</f>
        <v>41</v>
      </c>
      <c r="O69" s="1422" t="s">
        <v>411</v>
      </c>
      <c r="P69" s="1461" t="s">
        <v>872</v>
      </c>
      <c r="Q69" s="1414">
        <f ca="1">C39</f>
        <v>189267</v>
      </c>
      <c r="R69" s="1414" t="s">
        <v>818</v>
      </c>
    </row>
    <row r="70" spans="1:18" s="1378" customFormat="1" ht="13.5" thickBot="1">
      <c r="A70" s="948"/>
      <c r="B70" s="949"/>
      <c r="C70" s="310"/>
      <c r="D70" s="960"/>
      <c r="E70" s="944" t="s">
        <v>766</v>
      </c>
      <c r="F70" s="1048"/>
      <c r="O70" s="1422" t="s">
        <v>412</v>
      </c>
      <c r="P70" s="1461" t="s">
        <v>873</v>
      </c>
      <c r="Q70" s="1414">
        <f ca="1">C13</f>
        <v>1176351</v>
      </c>
      <c r="R70" s="1414" t="s">
        <v>818</v>
      </c>
    </row>
    <row r="71" spans="1:18" s="1378" customFormat="1" ht="13.5" thickBot="1">
      <c r="A71" s="965" t="s">
        <v>396</v>
      </c>
      <c r="B71" s="966" t="s">
        <v>776</v>
      </c>
      <c r="C71" s="336">
        <f ca="1">ROUND(C68/F71,0)</f>
        <v>-658</v>
      </c>
      <c r="D71" s="967" t="s">
        <v>777</v>
      </c>
      <c r="E71" s="968" t="s">
        <v>778</v>
      </c>
      <c r="F71" s="339">
        <f ca="1">F43</f>
        <v>207.53</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82345</v>
      </c>
      <c r="D75" s="1378"/>
      <c r="E75" s="1378"/>
      <c r="F75" s="1378"/>
      <c r="K75" s="1396"/>
      <c r="L75" s="1378"/>
      <c r="O75" s="1412" t="s">
        <v>409</v>
      </c>
      <c r="P75" s="1413" t="s">
        <v>838</v>
      </c>
      <c r="Q75" s="1414">
        <f ca="1">Q65+Q66</f>
        <v>4051618</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AJ512"/>
  <sheetViews>
    <sheetView view="pageBreakPreview" topLeftCell="A55" zoomScaleNormal="100" zoomScaleSheetLayoutView="100" zoomScalePageLayoutView="80" workbookViewId="0">
      <selection activeCell="G77" sqref="G77"/>
    </sheetView>
  </sheetViews>
  <sheetFormatPr defaultColWidth="12.625" defaultRowHeight="21.75" customHeight="1"/>
  <cols>
    <col min="1" max="2" width="12.625" style="1747"/>
    <col min="3" max="4" width="12.625" style="1747" customWidth="1"/>
    <col min="5" max="9" width="12.625" style="1747"/>
    <col min="10" max="11" width="12.625" style="723" customWidth="1"/>
    <col min="12" max="12" width="12.625" style="723"/>
    <col min="13" max="13" width="14.125" style="723" bestFit="1" customWidth="1"/>
    <col min="14" max="26" width="12.625" style="723"/>
    <col min="27" max="35" width="12.625" style="1746"/>
    <col min="36" max="16384" width="12.625" style="1747"/>
  </cols>
  <sheetData>
    <row r="1" spans="1:12" ht="21.75" customHeight="1" thickBot="1">
      <c r="A1" s="1631" t="s">
        <v>1262</v>
      </c>
      <c r="B1" s="1741"/>
      <c r="C1" s="1742">
        <v>1806</v>
      </c>
      <c r="D1" s="1741"/>
      <c r="E1" s="1741"/>
      <c r="F1" s="1743" t="s">
        <v>1263</v>
      </c>
      <c r="G1" s="1555"/>
      <c r="H1" s="1744" t="str">
        <f>IF(G1="现房","——","估价对象范围")</f>
        <v>估价对象范围</v>
      </c>
      <c r="I1" s="1745"/>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48" t="s">
        <v>1265</v>
      </c>
      <c r="B4" s="1749" t="s">
        <v>1266</v>
      </c>
      <c r="C4" s="1750" t="s">
        <v>3453</v>
      </c>
      <c r="D4" s="1750" t="s">
        <v>3448</v>
      </c>
      <c r="E4" s="3609" t="s">
        <v>1267</v>
      </c>
      <c r="F4" s="3610"/>
      <c r="G4" s="3610"/>
      <c r="H4" s="3610"/>
      <c r="I4" s="3611"/>
      <c r="K4" s="146" t="str">
        <f>IF(ISNUMBER(FIND("比较法",结果表1806!C4)),"比较法",IF(ISNUMBER(FIND("成本法",结果表1806!C4)),"成本法",IF(ISNUMBER(FIND("假设开发法",结果表1806!C4)),"假设开发法",IF(ISNUMBER(FIND("收益法",结果表1806!C4)),"收益法","基准地价系数修正法"))))</f>
        <v>比较法</v>
      </c>
      <c r="L4" s="146" t="str">
        <f>IF(ISNUMBER(FIND("比较法",结果表1806!D4)),"比较法",IF(ISNUMBER(FIND("成本法",结果表1806!D4)),"成本法",IF(ISNUMBER(FIND("假设开发法",结果表1806!D4)),"假设开发法",IF(ISNUMBER(FIND("收益法",结果表1806!D4)),"收益法","基准地价系数修正法"))))</f>
        <v>收益法</v>
      </c>
    </row>
    <row r="5" spans="1:12" ht="12.75">
      <c r="A5" s="3583" t="s">
        <v>1268</v>
      </c>
      <c r="B5" s="3570">
        <v>25</v>
      </c>
      <c r="C5" s="3586"/>
      <c r="D5" s="3606"/>
      <c r="E5" s="131" t="s">
        <v>1269</v>
      </c>
      <c r="F5" s="1751"/>
      <c r="G5" s="1751"/>
      <c r="H5" s="1751"/>
      <c r="I5" s="1367"/>
    </row>
    <row r="6" spans="1:12" ht="12.75">
      <c r="A6" s="3583"/>
      <c r="B6" s="3570"/>
      <c r="C6" s="3587"/>
      <c r="D6" s="3606"/>
      <c r="E6" s="131" t="s">
        <v>1270</v>
      </c>
      <c r="F6" s="1751"/>
      <c r="G6" s="1751"/>
      <c r="H6" s="1751"/>
      <c r="I6" s="1367"/>
    </row>
    <row r="7" spans="1:12" ht="12.75">
      <c r="A7" s="3583"/>
      <c r="B7" s="3570"/>
      <c r="C7" s="3588"/>
      <c r="D7" s="3606"/>
      <c r="E7" s="131" t="s">
        <v>1271</v>
      </c>
      <c r="F7" s="1751"/>
      <c r="G7" s="1751"/>
      <c r="H7" s="1751"/>
      <c r="I7" s="1367"/>
    </row>
    <row r="8" spans="1:12" ht="12.75">
      <c r="A8" s="3583" t="s">
        <v>1272</v>
      </c>
      <c r="B8" s="3570">
        <v>15</v>
      </c>
      <c r="C8" s="3586"/>
      <c r="D8" s="3606"/>
      <c r="E8" s="131" t="s">
        <v>1273</v>
      </c>
      <c r="F8" s="1751"/>
      <c r="G8" s="1751"/>
      <c r="H8" s="1751"/>
      <c r="I8" s="1367"/>
    </row>
    <row r="9" spans="1:12" ht="12.75">
      <c r="A9" s="3583"/>
      <c r="B9" s="3570"/>
      <c r="C9" s="3588"/>
      <c r="D9" s="3606"/>
      <c r="E9" s="131" t="s">
        <v>1274</v>
      </c>
      <c r="F9" s="1751"/>
      <c r="G9" s="1751"/>
      <c r="H9" s="1751"/>
      <c r="I9" s="1367"/>
    </row>
    <row r="10" spans="1:12" ht="12.75">
      <c r="A10" s="3583" t="s">
        <v>1275</v>
      </c>
      <c r="B10" s="3570">
        <v>15</v>
      </c>
      <c r="C10" s="3586"/>
      <c r="D10" s="3606"/>
      <c r="E10" s="131" t="s">
        <v>1276</v>
      </c>
      <c r="F10" s="1751"/>
      <c r="G10" s="1751"/>
      <c r="H10" s="1751"/>
      <c r="I10" s="1367"/>
    </row>
    <row r="11" spans="1:12" ht="12.75">
      <c r="A11" s="3583"/>
      <c r="B11" s="3570"/>
      <c r="C11" s="3588"/>
      <c r="D11" s="3606"/>
      <c r="E11" s="131" t="s">
        <v>1277</v>
      </c>
      <c r="F11" s="1751"/>
      <c r="G11" s="1751"/>
      <c r="H11" s="1751"/>
      <c r="I11" s="1367"/>
    </row>
    <row r="12" spans="1:12" ht="12.75">
      <c r="A12" s="3583" t="s">
        <v>1278</v>
      </c>
      <c r="B12" s="3570">
        <v>15</v>
      </c>
      <c r="C12" s="3586"/>
      <c r="D12" s="3606"/>
      <c r="E12" s="131" t="s">
        <v>1279</v>
      </c>
      <c r="F12" s="1751"/>
      <c r="G12" s="1751"/>
      <c r="H12" s="1751"/>
      <c r="I12" s="1367"/>
    </row>
    <row r="13" spans="1:12" ht="12.75">
      <c r="A13" s="3583"/>
      <c r="B13" s="3570"/>
      <c r="C13" s="3588"/>
      <c r="D13" s="3606"/>
      <c r="E13" s="131" t="s">
        <v>1280</v>
      </c>
      <c r="F13" s="1751"/>
      <c r="G13" s="1751"/>
      <c r="H13" s="1751"/>
      <c r="I13" s="1367"/>
    </row>
    <row r="14" spans="1:12" ht="12.75">
      <c r="A14" s="3583" t="s">
        <v>1281</v>
      </c>
      <c r="B14" s="3570">
        <v>30</v>
      </c>
      <c r="C14" s="3586">
        <v>7</v>
      </c>
      <c r="D14" s="3606">
        <v>3</v>
      </c>
      <c r="E14" s="131" t="s">
        <v>1282</v>
      </c>
      <c r="F14" s="1751"/>
      <c r="G14" s="1751"/>
      <c r="H14" s="1751"/>
      <c r="I14" s="1367"/>
    </row>
    <row r="15" spans="1:12" ht="12.75">
      <c r="A15" s="3583"/>
      <c r="B15" s="3570"/>
      <c r="C15" s="3587"/>
      <c r="D15" s="3606"/>
      <c r="E15" s="131" t="s">
        <v>1283</v>
      </c>
      <c r="F15" s="1751"/>
      <c r="G15" s="1751"/>
      <c r="H15" s="1751"/>
      <c r="I15" s="1367"/>
    </row>
    <row r="16" spans="1:12" ht="12.75">
      <c r="A16" s="3583"/>
      <c r="B16" s="3570"/>
      <c r="C16" s="3588"/>
      <c r="D16" s="3606"/>
      <c r="E16" s="131" t="s">
        <v>1284</v>
      </c>
      <c r="F16" s="1751"/>
      <c r="G16" s="1751"/>
      <c r="H16" s="1751"/>
      <c r="I16" s="1367"/>
    </row>
    <row r="17" spans="1:36" ht="15">
      <c r="A17" s="1752" t="s">
        <v>1285</v>
      </c>
      <c r="B17" s="56"/>
      <c r="C17" s="132">
        <f>SUM(C5:C16)</f>
        <v>7</v>
      </c>
      <c r="D17" s="132">
        <f>SUM(D5:D16)</f>
        <v>3</v>
      </c>
      <c r="E17" s="129"/>
      <c r="F17" s="129"/>
      <c r="G17" s="129"/>
      <c r="H17" s="129"/>
      <c r="I17" s="129"/>
      <c r="K17" s="302"/>
      <c r="L17" s="302" t="s">
        <v>1286</v>
      </c>
      <c r="M17" s="302" t="s">
        <v>1287</v>
      </c>
    </row>
    <row r="18" spans="1:36" ht="31.9" customHeight="1" thickBot="1">
      <c r="A18" s="1753" t="s">
        <v>1288</v>
      </c>
      <c r="B18" s="1754"/>
      <c r="C18" s="133">
        <f>ROUND(C17/SUM(C17:D17),2)</f>
        <v>0.7</v>
      </c>
      <c r="D18" s="133">
        <f>1-C18</f>
        <v>0.30000000000000004</v>
      </c>
      <c r="E18" s="3593" t="s">
        <v>2130</v>
      </c>
      <c r="F18" s="3594"/>
      <c r="G18" s="3594"/>
      <c r="H18" s="3594"/>
      <c r="I18" s="3594"/>
      <c r="K18" s="302" t="s">
        <v>1289</v>
      </c>
      <c r="L18" s="302">
        <f>IF(C1="",'数据-汇总表'!E3,SUMIF(项目类型,C1,'数据-汇总表'!E17:E26)+SUMIF(项目类型,C1,'数据-汇总表'!I17:I26))</f>
        <v>184.82</v>
      </c>
      <c r="M18" s="302">
        <f>IF(C1="",'数据-汇总表'!E3,SUMIF(项目类型,C1,'数据-汇总表'!E17:E26))</f>
        <v>184.82</v>
      </c>
    </row>
    <row r="19" spans="1:36" ht="15">
      <c r="A19" s="1755" t="s">
        <v>1290</v>
      </c>
      <c r="B19" s="1756" t="s">
        <v>1291</v>
      </c>
      <c r="C19" s="134">
        <f ca="1">SUMIF(INDIRECT("'"&amp;C4&amp;"'"&amp;"!A:A"),结果表1806!B19,INDIRECT("'"&amp;C4&amp;"'"&amp;"!B:B"))</f>
        <v>551.20719999999994</v>
      </c>
      <c r="D19" s="135">
        <f ca="1">SUMIF(INDIRECT("'"&amp;D4&amp;"'"&amp;"!A:A"),结果表1806!B19,INDIRECT("'"&amp;D4&amp;"'"&amp;"!B:B"))</f>
        <v>363.28519999999997</v>
      </c>
      <c r="E19" s="1755" t="s">
        <v>1292</v>
      </c>
      <c r="F19" s="1756" t="s">
        <v>1291</v>
      </c>
      <c r="G19" s="136">
        <f ca="1">ROUND(C19*$C$18+D19*$D$18,0)</f>
        <v>495</v>
      </c>
      <c r="H19" s="1757"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8"/>
      <c r="B20" s="1020" t="s">
        <v>1295</v>
      </c>
      <c r="C20" s="137">
        <f ca="1">SUMIF(INDIRECT("'"&amp;C4&amp;"'"&amp;"!A:A"),结果表1806!B20,INDIRECT("'"&amp;C4&amp;"'"&amp;"!B:B"))</f>
        <v>29824</v>
      </c>
      <c r="D20" s="138">
        <f ca="1">SUMIF(INDIRECT("'"&amp;D4&amp;"'"&amp;"!A:A"),结果表1806!B20,INDIRECT("'"&amp;D4&amp;"'"&amp;"!B:B"))</f>
        <v>19656</v>
      </c>
      <c r="E20" s="1758"/>
      <c r="F20" s="1020" t="s">
        <v>1295</v>
      </c>
      <c r="G20" s="139">
        <f ca="1">ROUND(C20*$C$18+D20*$D$18,0)</f>
        <v>26774</v>
      </c>
      <c r="H20" s="802" t="s">
        <v>1296</v>
      </c>
      <c r="I20" s="129"/>
    </row>
    <row r="21" spans="1:36" ht="15" customHeight="1" thickBot="1">
      <c r="A21" s="822"/>
      <c r="B21" s="1759" t="s">
        <v>1297</v>
      </c>
      <c r="C21" s="717" t="e">
        <f ca="1">ROUND(C19*10000/L19,0)</f>
        <v>#DIV/0!</v>
      </c>
      <c r="D21" s="718" t="e">
        <f ca="1">ROUND(D19*10000/L19,0)</f>
        <v>#DIV/0!</v>
      </c>
      <c r="E21" s="822"/>
      <c r="F21" s="1759" t="s">
        <v>1297</v>
      </c>
      <c r="G21" s="140" t="e">
        <f ca="1">ROUND(G19*10000/L19,0)</f>
        <v>#DIV/0!</v>
      </c>
      <c r="H21" s="1760" t="s">
        <v>1296</v>
      </c>
      <c r="I21" s="129"/>
    </row>
    <row r="22" spans="1:36" ht="15" thickBot="1">
      <c r="A22" s="1682" t="s">
        <v>1298</v>
      </c>
      <c r="B22" s="1761"/>
      <c r="C22" s="1762"/>
      <c r="D22" s="719">
        <f ca="1">IF(C19&lt;D19,D19/C19-1,C19/D19-1)</f>
        <v>0.51728504216521887</v>
      </c>
      <c r="E22" s="129"/>
      <c r="F22" s="129"/>
      <c r="G22" s="129"/>
      <c r="H22" s="129"/>
      <c r="I22" s="129"/>
    </row>
    <row r="23" spans="1:36" ht="13.5" thickBot="1">
      <c r="A23" s="1741"/>
      <c r="B23" s="1741"/>
      <c r="C23" s="1741"/>
      <c r="D23" s="1741"/>
      <c r="E23" s="129"/>
      <c r="F23" s="129"/>
      <c r="G23" s="129"/>
      <c r="H23" s="129"/>
      <c r="I23" s="129"/>
    </row>
    <row r="24" spans="1:36" ht="14.25">
      <c r="A24" s="3577" t="s">
        <v>1299</v>
      </c>
      <c r="B24" s="1756" t="s">
        <v>1291</v>
      </c>
      <c r="C24" s="136">
        <f>IF(B30=0,0,D30)</f>
        <v>0</v>
      </c>
      <c r="D24" s="1763"/>
      <c r="E24" s="129"/>
      <c r="F24" s="129"/>
      <c r="G24" s="129"/>
      <c r="H24" s="129"/>
      <c r="I24" s="129"/>
    </row>
    <row r="25" spans="1:36" ht="14.25">
      <c r="A25" s="3578"/>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4">
        <f ca="1">IF(D32="总价",G19-C24,G20-C25)</f>
        <v>26774</v>
      </c>
      <c r="D32" s="1769" t="s">
        <v>3404</v>
      </c>
      <c r="E32" s="129"/>
      <c r="F32" s="129"/>
      <c r="G32" s="129"/>
      <c r="H32" s="129"/>
      <c r="I32" s="129"/>
    </row>
    <row r="33" spans="1:15" ht="15">
      <c r="A33" s="780" t="s">
        <v>1306</v>
      </c>
      <c r="B33" s="1770"/>
      <c r="C33" s="1771"/>
      <c r="D33" s="1772"/>
      <c r="E33" s="1773" t="s">
        <v>1307</v>
      </c>
      <c r="F33" s="1774" t="str">
        <f>IF(D32="楼面单价","取值（单价）","取值（总价）")</f>
        <v>取值（单价）</v>
      </c>
      <c r="G33" s="129"/>
      <c r="H33" s="129"/>
      <c r="I33" s="129"/>
    </row>
    <row r="34" spans="1:15" ht="15">
      <c r="A34" s="1775"/>
      <c r="B34" s="1776" t="s">
        <v>1308</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1309</v>
      </c>
      <c r="F34" s="1324"/>
      <c r="G34" s="129"/>
      <c r="H34" s="129"/>
      <c r="I34" s="129"/>
    </row>
    <row r="35" spans="1:15" ht="15.75" thickBot="1">
      <c r="A35" s="1778"/>
      <c r="B35" s="1779" t="s">
        <v>1310</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1311</v>
      </c>
      <c r="F35" s="154"/>
      <c r="G35" s="129"/>
      <c r="H35" s="129"/>
      <c r="I35" s="129"/>
    </row>
    <row r="36" spans="1:15" ht="15.75" thickBot="1">
      <c r="A36" s="3597" t="s">
        <v>1312</v>
      </c>
      <c r="B36" s="1781" t="s">
        <v>1313</v>
      </c>
      <c r="C36" s="145"/>
      <c r="D36" s="1782"/>
      <c r="E36" s="1783"/>
      <c r="F36" s="1784"/>
      <c r="G36" s="129"/>
      <c r="H36" s="129"/>
      <c r="I36" s="129"/>
    </row>
    <row r="37" spans="1:15" ht="15.75" thickBot="1">
      <c r="A37" s="3598"/>
      <c r="B37" s="1668" t="s">
        <v>1314</v>
      </c>
      <c r="C37" s="147"/>
      <c r="D37" s="1133"/>
      <c r="E37" s="1133"/>
      <c r="F37" s="1784"/>
      <c r="G37" s="129"/>
      <c r="H37" s="129"/>
      <c r="I37" s="129"/>
    </row>
    <row r="38" spans="1:15" ht="15.75" thickBot="1">
      <c r="A38" s="3599"/>
      <c r="B38" s="1785" t="s">
        <v>1315</v>
      </c>
      <c r="C38" s="672"/>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4" t="s">
        <v>1326</v>
      </c>
      <c r="B45" s="3575"/>
      <c r="C45" s="3576"/>
      <c r="D45" s="155">
        <f ca="1">ROUND(H101*F45,0)</f>
        <v>495</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0"/>
      <c r="I46" s="159"/>
      <c r="J46" s="3455">
        <v>1</v>
      </c>
      <c r="K46" s="3633" t="s">
        <v>1331</v>
      </c>
      <c r="L46" s="3633"/>
      <c r="M46" s="3653"/>
      <c r="N46" s="3653"/>
      <c r="O46" s="3653"/>
    </row>
    <row r="47" spans="1:15" ht="12" customHeight="1">
      <c r="A47" s="160" t="s">
        <v>1332</v>
      </c>
      <c r="B47" s="161"/>
      <c r="C47" s="162"/>
      <c r="D47" s="1081" t="s">
        <v>1333</v>
      </c>
      <c r="E47" s="302" t="s">
        <v>1334</v>
      </c>
      <c r="F47" s="163" t="s">
        <v>1335</v>
      </c>
      <c r="G47" s="2540" t="s">
        <v>1336</v>
      </c>
      <c r="H47" s="2541"/>
      <c r="I47" s="159"/>
      <c r="J47" s="3455">
        <v>2</v>
      </c>
      <c r="K47" s="3633" t="s">
        <v>1337</v>
      </c>
      <c r="L47" s="3633"/>
      <c r="M47" s="3654">
        <f>'数据-取费表'!B2</f>
        <v>45506</v>
      </c>
      <c r="N47" s="3654"/>
      <c r="O47" s="3654"/>
    </row>
    <row r="48" spans="1:15" ht="25.5">
      <c r="A48" s="3602" t="s">
        <v>1338</v>
      </c>
      <c r="B48" s="3585"/>
      <c r="C48" s="3585"/>
      <c r="D48" s="3450">
        <f ca="1">IF(H48="情况1",0,IF(H48="情况2",D52,IF(H48="情况3",D53,IF(H48="情况4",D54))))</f>
        <v>0</v>
      </c>
      <c r="E48" s="3465" t="str">
        <f>IF(H48="情况4","(销售额-原购置价)×税（费）率","销售额×税（费）率")</f>
        <v>(销售额-原购置价)×税（费）率</v>
      </c>
      <c r="F48" s="2542">
        <f>IF(H48="情况1","免征",'数据-取费表'!B41)</f>
        <v>5.6000000000000001E-2</v>
      </c>
      <c r="G48" s="2543" t="s">
        <v>1339</v>
      </c>
      <c r="H48" s="2544" t="s">
        <v>3440</v>
      </c>
      <c r="I48" s="1800"/>
      <c r="J48" s="3455">
        <v>3</v>
      </c>
      <c r="K48" s="3633" t="s">
        <v>1340</v>
      </c>
      <c r="L48" s="3633"/>
      <c r="M48" s="3655">
        <f ca="1">H101</f>
        <v>495</v>
      </c>
      <c r="N48" s="3655"/>
      <c r="O48" s="3655"/>
    </row>
    <row r="49" spans="1:35" ht="25.5" customHeight="1">
      <c r="A49" s="3464" t="s">
        <v>1341</v>
      </c>
      <c r="B49" s="3569" t="s">
        <v>1342</v>
      </c>
      <c r="C49" s="3569"/>
      <c r="D49" s="1584">
        <v>0</v>
      </c>
      <c r="E49" s="324" t="s">
        <v>1343</v>
      </c>
      <c r="F49" s="3447" t="s">
        <v>28</v>
      </c>
      <c r="G49" s="3639"/>
      <c r="H49" s="2304" t="s">
        <v>2133</v>
      </c>
      <c r="I49" s="2305"/>
      <c r="J49" s="3455">
        <v>4</v>
      </c>
      <c r="K49" s="3633" t="str">
        <f>IF(项目基本情况!E8="房地产抵押价值","房地产抵押价值","抵押担保权已注销时的房地产抵押价值")</f>
        <v>房地产抵押价值</v>
      </c>
      <c r="L49" s="3633"/>
      <c r="M49" s="3655">
        <f ca="1">IF(项目基本情况!E8="房地产抵押价值",H107,H109)</f>
        <v>495</v>
      </c>
      <c r="N49" s="3655"/>
      <c r="O49" s="3655"/>
    </row>
    <row r="50" spans="1:35" ht="25.5" customHeight="1">
      <c r="A50" s="2545"/>
      <c r="B50" s="3569" t="s">
        <v>1344</v>
      </c>
      <c r="C50" s="3569"/>
      <c r="D50" s="2546"/>
      <c r="E50" s="332"/>
      <c r="F50" s="3447"/>
      <c r="G50" s="3640"/>
      <c r="H50" s="2306" t="s">
        <v>2134</v>
      </c>
      <c r="I50" s="2305"/>
      <c r="J50" s="3652" t="s">
        <v>1345</v>
      </c>
      <c r="K50" s="3652"/>
      <c r="L50" s="3652"/>
      <c r="M50" s="3652"/>
      <c r="N50" s="3652"/>
      <c r="O50" s="3652"/>
    </row>
    <row r="51" spans="1:35" ht="20.45" customHeight="1">
      <c r="A51" s="2547"/>
      <c r="B51" s="3569" t="s">
        <v>1346</v>
      </c>
      <c r="C51" s="3569"/>
      <c r="D51" s="1081"/>
      <c r="E51" s="327"/>
      <c r="F51" s="3447"/>
      <c r="G51" s="3641"/>
      <c r="H51" s="2306" t="s">
        <v>2135</v>
      </c>
      <c r="I51" s="2305"/>
      <c r="J51" s="3449" t="s">
        <v>1347</v>
      </c>
      <c r="K51" s="3633" t="s">
        <v>1348</v>
      </c>
      <c r="L51" s="3633"/>
      <c r="M51" s="3449" t="s">
        <v>1349</v>
      </c>
      <c r="N51" s="3449" t="s">
        <v>1350</v>
      </c>
      <c r="O51" s="3449" t="s">
        <v>1351</v>
      </c>
    </row>
    <row r="52" spans="1:35" ht="24" customHeight="1">
      <c r="A52" s="3468" t="s">
        <v>1352</v>
      </c>
      <c r="B52" s="3569" t="s">
        <v>1353</v>
      </c>
      <c r="C52" s="3569"/>
      <c r="D52" s="1081">
        <f ca="1">ROUND(D45*'数据-取费表'!B41/(1+'数据-取费表'!C42),0)</f>
        <v>26</v>
      </c>
      <c r="E52" s="3465" t="s">
        <v>1354</v>
      </c>
      <c r="F52" s="2548">
        <f>'数据-取费表'!B41</f>
        <v>5.6000000000000001E-2</v>
      </c>
      <c r="G52" s="2549"/>
      <c r="H52" s="2538"/>
      <c r="I52" s="1801"/>
      <c r="J52" s="3455">
        <v>1</v>
      </c>
      <c r="K52" s="3634" t="s">
        <v>1355</v>
      </c>
      <c r="L52" s="3634"/>
      <c r="M52" s="2519">
        <f ca="1">D48</f>
        <v>0</v>
      </c>
      <c r="N52" s="3455" t="str">
        <f>E48</f>
        <v>(销售额-原购置价)×税（费）率</v>
      </c>
      <c r="O52" s="2520">
        <f>F48</f>
        <v>5.6000000000000001E-2</v>
      </c>
    </row>
    <row r="53" spans="1:35" ht="12" customHeight="1">
      <c r="A53" s="3468" t="s">
        <v>1356</v>
      </c>
      <c r="B53" s="3595" t="s">
        <v>2290</v>
      </c>
      <c r="C53" s="3596"/>
      <c r="D53" s="1081">
        <f ca="1">ROUND(D45*'数据-取费表'!B41/(1+'数据-取费表'!C42),0)</f>
        <v>26</v>
      </c>
      <c r="E53" s="3465" t="s">
        <v>1354</v>
      </c>
      <c r="F53" s="2548">
        <f>'数据-取费表'!B41</f>
        <v>5.6000000000000001E-2</v>
      </c>
      <c r="G53" s="2549"/>
      <c r="H53" s="2538"/>
      <c r="I53" s="1801"/>
      <c r="J53" s="3455">
        <v>2</v>
      </c>
      <c r="K53" s="3634" t="s">
        <v>1357</v>
      </c>
      <c r="L53" s="3634"/>
      <c r="M53" s="2519">
        <f t="shared" ref="M53:O54" ca="1" si="0">D55</f>
        <v>0</v>
      </c>
      <c r="N53" s="3455" t="str">
        <f t="shared" si="0"/>
        <v>销售额×税（费）率</v>
      </c>
      <c r="O53" s="2520">
        <f t="shared" si="0"/>
        <v>5.0000000000000001E-4</v>
      </c>
    </row>
    <row r="54" spans="1:35" ht="12" customHeight="1">
      <c r="A54" s="3468" t="s">
        <v>1358</v>
      </c>
      <c r="B54" s="3595" t="s">
        <v>2291</v>
      </c>
      <c r="C54" s="3596"/>
      <c r="D54" s="1081">
        <f ca="1">C68</f>
        <v>0</v>
      </c>
      <c r="E54" s="327" t="s">
        <v>1359</v>
      </c>
      <c r="F54" s="2548">
        <f>'数据-取费表'!B41</f>
        <v>5.6000000000000001E-2</v>
      </c>
      <c r="G54" s="2549"/>
      <c r="H54" s="2550"/>
      <c r="I54" s="1801"/>
      <c r="J54" s="3455">
        <v>3</v>
      </c>
      <c r="K54" s="3634" t="s">
        <v>1360</v>
      </c>
      <c r="L54" s="3634"/>
      <c r="M54" s="2519">
        <f t="shared" ca="1" si="0"/>
        <v>0</v>
      </c>
      <c r="N54" s="3455" t="str">
        <f t="shared" si="0"/>
        <v>增值额×税（费）率</v>
      </c>
      <c r="O54" s="2521" t="str">
        <f t="shared" si="0"/>
        <v>——</v>
      </c>
    </row>
    <row r="55" spans="1:35" ht="24" customHeight="1">
      <c r="A55" s="3584" t="s">
        <v>1361</v>
      </c>
      <c r="B55" s="3585"/>
      <c r="C55" s="3585"/>
      <c r="D55" s="3450">
        <f ca="1">IF(H55="个人住宅",0,ROUND(D45*I55,0))</f>
        <v>0</v>
      </c>
      <c r="E55" s="3465" t="s">
        <v>1362</v>
      </c>
      <c r="F55" s="2548">
        <f>IF(H55="正常",I55,"免征")</f>
        <v>5.0000000000000001E-4</v>
      </c>
      <c r="G55" s="2549"/>
      <c r="H55" s="2544" t="s">
        <v>3400</v>
      </c>
      <c r="I55" s="165">
        <f>'数据-取费表'!B49</f>
        <v>5.0000000000000001E-4</v>
      </c>
      <c r="J55" s="3455" t="str">
        <f>IF(H59="非个人房产","",4)</f>
        <v/>
      </c>
      <c r="K55" s="3634" t="str">
        <f>IF(H59="非个人房产","——","个人所得税")</f>
        <v>——</v>
      </c>
      <c r="L55" s="3634"/>
      <c r="M55" s="2522" t="str">
        <f>D59</f>
        <v>——</v>
      </c>
      <c r="N55" s="3456" t="str">
        <f>E59</f>
        <v>——</v>
      </c>
      <c r="O55" s="2523" t="str">
        <f>F59</f>
        <v>——</v>
      </c>
    </row>
    <row r="56" spans="1:35" ht="24.75">
      <c r="A56" s="3584" t="s">
        <v>1363</v>
      </c>
      <c r="B56" s="3585"/>
      <c r="C56" s="3585"/>
      <c r="D56" s="3450">
        <f ca="1">IF(H56="个人住宅",D57,D58)</f>
        <v>0</v>
      </c>
      <c r="E56" s="3465" t="s">
        <v>1364</v>
      </c>
      <c r="F56" s="2548" t="str">
        <f>IF(H56="正常",F58,"免征")</f>
        <v>——</v>
      </c>
      <c r="G56" s="2551" t="s">
        <v>1365</v>
      </c>
      <c r="H56" s="2552" t="s">
        <v>3400</v>
      </c>
      <c r="I56" s="1802"/>
      <c r="J56" s="3455" t="str">
        <f>IF(项目基本情况!K6="上海银行",IF(J55="",4,J55+1),"")</f>
        <v/>
      </c>
      <c r="K56" s="3657" t="str">
        <f>IF(项目基本情况!K6="上海银行","其他处置费用","")</f>
        <v/>
      </c>
      <c r="L56" s="3658"/>
      <c r="M56" s="2519" t="str">
        <f>IF(项目基本情况!K6="上海银行",M69,"")</f>
        <v/>
      </c>
      <c r="N56" s="3657" t="str">
        <f>IF(项目基本情况!K6="上海银行","包含处置中涉及的律师、诉讼、拍卖、评估等费用","")</f>
        <v/>
      </c>
      <c r="O56" s="3660"/>
    </row>
    <row r="57" spans="1:35" ht="12.75">
      <c r="A57" s="3468" t="s">
        <v>1341</v>
      </c>
      <c r="B57" s="3595" t="s">
        <v>1366</v>
      </c>
      <c r="C57" s="3596"/>
      <c r="D57" s="1584">
        <v>0</v>
      </c>
      <c r="E57" s="324" t="s">
        <v>1343</v>
      </c>
      <c r="F57" s="302"/>
      <c r="G57" s="2549"/>
      <c r="H57" s="2553"/>
      <c r="I57" s="1802"/>
      <c r="J57" s="3634">
        <f>IF(AND(J55="",J56=""),4,IF(项目基本情况!K6="上海银行",结果表1806!J56+1,结果表1806!J55+1))</f>
        <v>4</v>
      </c>
      <c r="K57" s="3634" t="s">
        <v>1367</v>
      </c>
      <c r="L57" s="2524" t="s">
        <v>1368</v>
      </c>
      <c r="M57" s="2525"/>
      <c r="N57" s="2526">
        <f ca="1">SUMIF(M52:M56,"&lt;9e307")</f>
        <v>0</v>
      </c>
      <c r="O57" s="2527"/>
      <c r="P57" s="2684">
        <f ca="1">N57/M49</f>
        <v>0</v>
      </c>
    </row>
    <row r="58" spans="1:35" ht="24.75">
      <c r="A58" s="3468" t="s">
        <v>1352</v>
      </c>
      <c r="B58" s="3595" t="s">
        <v>1369</v>
      </c>
      <c r="C58" s="3569"/>
      <c r="D58" s="3450">
        <f ca="1">IF(H58="转让取得",C81,C97)</f>
        <v>0</v>
      </c>
      <c r="E58" s="3465" t="s">
        <v>1364</v>
      </c>
      <c r="F58" s="302" t="s">
        <v>28</v>
      </c>
      <c r="G58" s="2549"/>
      <c r="H58" s="2552" t="s">
        <v>3441</v>
      </c>
      <c r="I58" s="1802"/>
      <c r="J58" s="3634"/>
      <c r="K58" s="3634"/>
      <c r="L58" s="2524" t="s">
        <v>1370</v>
      </c>
      <c r="M58" s="2528"/>
      <c r="N58" s="2529" t="str">
        <f ca="1">NUMBERSTRING(INT(N57*10000),2)&amp;"元整"</f>
        <v>零元整</v>
      </c>
      <c r="O58" s="2530"/>
    </row>
    <row r="59" spans="1:35" ht="24.75" thickBot="1">
      <c r="A59" s="3637" t="s">
        <v>1371</v>
      </c>
      <c r="B59" s="3638"/>
      <c r="C59" s="363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3442</v>
      </c>
      <c r="I59" s="2307" t="s">
        <v>2136</v>
      </c>
      <c r="J59" s="3635">
        <f>J57+1</f>
        <v>5</v>
      </c>
      <c r="K59" s="3634" t="s">
        <v>1372</v>
      </c>
      <c r="L59" s="3455" t="s">
        <v>1368</v>
      </c>
      <c r="M59" s="2531"/>
      <c r="N59" s="2532">
        <f ca="1">M49-N57</f>
        <v>495</v>
      </c>
      <c r="O59" s="2533"/>
    </row>
    <row r="60" spans="1:35" ht="12" customHeight="1">
      <c r="A60" s="1803"/>
      <c r="B60" s="1741"/>
      <c r="C60" s="1741"/>
      <c r="D60" s="1741"/>
      <c r="E60" s="1572"/>
      <c r="F60" s="1802"/>
      <c r="G60" s="1802"/>
      <c r="H60" s="1804"/>
      <c r="I60" s="129"/>
      <c r="J60" s="3636"/>
      <c r="K60" s="3634"/>
      <c r="L60" s="2524" t="s">
        <v>1370</v>
      </c>
      <c r="M60" s="2528"/>
      <c r="N60" s="2529" t="str">
        <f ca="1">NUMBERSTRING(INT(N59*10000),2)&amp;"元整"</f>
        <v>肆佰玖拾伍万元整</v>
      </c>
      <c r="O60" s="2530"/>
    </row>
    <row r="61" spans="1:35" ht="13.5" thickBot="1">
      <c r="A61" s="3582" t="s">
        <v>1373</v>
      </c>
      <c r="B61" s="3582"/>
      <c r="C61" s="3582"/>
      <c r="D61" s="3582"/>
      <c r="E61" s="3582"/>
      <c r="F61" s="1802"/>
      <c r="G61" s="1802"/>
      <c r="H61" s="1804"/>
      <c r="I61" s="129"/>
      <c r="J61" s="3455">
        <f>J59+1</f>
        <v>6</v>
      </c>
      <c r="K61" s="3634" t="s">
        <v>1374</v>
      </c>
      <c r="L61" s="3634"/>
      <c r="M61" s="2534"/>
      <c r="N61" s="2535">
        <f ca="1">ROUND(N59*10000/'数据-汇总表'!E3,0)</f>
        <v>7199</v>
      </c>
      <c r="O61" s="2536"/>
    </row>
    <row r="62" spans="1:35" ht="12.75">
      <c r="A62" s="3600" t="s">
        <v>1375</v>
      </c>
      <c r="B62" s="3601"/>
      <c r="C62" s="3460"/>
      <c r="D62" s="3460" t="s">
        <v>1376</v>
      </c>
      <c r="E62" s="166" t="s">
        <v>1377</v>
      </c>
      <c r="F62" s="1802"/>
      <c r="G62" s="1802"/>
      <c r="H62" s="1804"/>
      <c r="I62" s="129"/>
    </row>
    <row r="63" spans="1:35" ht="12.75">
      <c r="A63" s="173" t="s">
        <v>330</v>
      </c>
      <c r="B63" s="167" t="s">
        <v>1378</v>
      </c>
      <c r="C63" s="2558">
        <f ca="1">ROUND((C64+C65)/(1+'数据-取费表'!C42),0)</f>
        <v>471</v>
      </c>
      <c r="D63" s="167"/>
      <c r="E63" s="168"/>
      <c r="F63" s="1802"/>
      <c r="G63" s="1802"/>
      <c r="H63" s="1804"/>
      <c r="I63" s="129"/>
      <c r="J63" s="3659" t="s">
        <v>1379</v>
      </c>
      <c r="K63" s="3451" t="s">
        <v>1380</v>
      </c>
      <c r="L63" s="3451">
        <f ca="1">IF(M49&gt;10000,M49*0.5%,IF(AND(M49&gt;1000,M49&lt;=10000),M49*1%,IF(AND(M49&gt;100,M49&lt;=1000),M49*3%,IF(AND(M49&gt;10,M49&lt;=100),M49*5%,M49*8%))))</f>
        <v>14.85</v>
      </c>
      <c r="M63" s="302">
        <f ca="1">ROUND(L63,1)</f>
        <v>14.9</v>
      </c>
      <c r="N63" s="2537"/>
      <c r="Z63" s="1746"/>
      <c r="AI63" s="1747"/>
    </row>
    <row r="64" spans="1:35" ht="14.25" customHeight="1">
      <c r="A64" s="169" t="s">
        <v>325</v>
      </c>
      <c r="B64" s="170" t="s">
        <v>1381</v>
      </c>
      <c r="C64" s="2559">
        <f ca="1">D45</f>
        <v>495</v>
      </c>
      <c r="D64" s="170" t="s">
        <v>26</v>
      </c>
      <c r="E64" s="172"/>
      <c r="F64" s="1802"/>
      <c r="G64" s="1802"/>
      <c r="H64" s="1804"/>
      <c r="I64" s="129"/>
      <c r="J64" s="3659"/>
      <c r="K64" s="3451" t="s">
        <v>1382</v>
      </c>
      <c r="L64" s="3451">
        <f ca="1">IF(M49&gt;2000,M49*0.5%,IF(AND(M49&gt;1000,M49&lt;=2000),M49*0.6%,IF(AND(M49&gt;500,M49&lt;=1000),M49*0.7%,IF(AND(M49&gt;200,M49&lt;=500),M49*0.8%,IF(AND(M49&gt;100,M49&lt;=200),M49*0.9%,IF(AND(M49&gt;50,M49&lt;=100),M49*1%,IF(AND(M49&gt;20,M49&lt;=50),M49*1.5%,IF(AND(M49&gt;10,M49&lt;=20),M49*2%,IF(AND(M49&gt;1,M49&lt;=10),M49*2.5%)))))))))</f>
        <v>3.96</v>
      </c>
      <c r="M64" s="302">
        <f t="shared" ref="M64:M65" ca="1" si="1">ROUND(L64,1)</f>
        <v>4</v>
      </c>
      <c r="N64" s="2538" t="s">
        <v>1383</v>
      </c>
      <c r="Z64" s="1746"/>
      <c r="AI64" s="1747"/>
    </row>
    <row r="65" spans="1:35" ht="14.25" customHeight="1">
      <c r="A65" s="169" t="s">
        <v>326</v>
      </c>
      <c r="B65" s="170" t="s">
        <v>1384</v>
      </c>
      <c r="C65" s="2560"/>
      <c r="D65" s="170"/>
      <c r="E65" s="172"/>
      <c r="F65" s="1802"/>
      <c r="G65" s="1802"/>
      <c r="H65" s="1804"/>
      <c r="I65" s="129"/>
      <c r="J65" s="3659"/>
      <c r="K65" s="3451" t="s">
        <v>1385</v>
      </c>
      <c r="L65" s="3451">
        <f ca="1">IF(M49&gt;1000,M49*0.1%,IF(AND(M49&gt;500,M49&lt;=1000),M49*0.5%,IF(AND(M49&gt;50,M49&lt;=500),M49*1%,IF(AND(M49&gt;1,M49&lt;=50),M49*1.5%))))</f>
        <v>4.95</v>
      </c>
      <c r="M65" s="302">
        <f t="shared" ca="1" si="1"/>
        <v>5</v>
      </c>
      <c r="N65" s="2538" t="s">
        <v>1383</v>
      </c>
      <c r="Z65" s="1746"/>
      <c r="AI65" s="1747"/>
    </row>
    <row r="66" spans="1:35" ht="14.25" customHeight="1">
      <c r="A66" s="173" t="s">
        <v>327</v>
      </c>
      <c r="B66" s="174" t="s">
        <v>1386</v>
      </c>
      <c r="C66" s="2561">
        <f>ROUND(7511463/1.05/10000,0)</f>
        <v>715</v>
      </c>
      <c r="D66" s="174" t="s">
        <v>26</v>
      </c>
      <c r="E66" s="1332" t="s">
        <v>671</v>
      </c>
      <c r="F66" s="1802"/>
      <c r="G66" s="1802"/>
      <c r="H66" s="1804"/>
      <c r="I66" s="129"/>
      <c r="J66" s="3659"/>
      <c r="K66" s="3451" t="s">
        <v>1387</v>
      </c>
      <c r="L66" s="3451">
        <f ca="1">M49*0.5%</f>
        <v>2.4750000000000001</v>
      </c>
      <c r="M66" s="302">
        <f ca="1">IF(L66&gt;0.5,0.5,ROUND(L66,0))</f>
        <v>0.5</v>
      </c>
      <c r="N66" s="2538" t="s">
        <v>1388</v>
      </c>
      <c r="Z66" s="1746"/>
      <c r="AI66" s="1747"/>
    </row>
    <row r="67" spans="1:35" ht="14.25" customHeight="1">
      <c r="A67" s="173" t="s">
        <v>328</v>
      </c>
      <c r="B67" s="174" t="s">
        <v>1389</v>
      </c>
      <c r="C67" s="2562">
        <f ca="1">C63-C66</f>
        <v>-244</v>
      </c>
      <c r="D67" s="170" t="s">
        <v>26</v>
      </c>
      <c r="E67" s="172"/>
      <c r="F67" s="1802"/>
      <c r="G67" s="1802"/>
      <c r="H67" s="1804"/>
      <c r="I67" s="129"/>
      <c r="J67" s="3659"/>
      <c r="K67" s="3451" t="s">
        <v>1390</v>
      </c>
      <c r="L67" s="3451">
        <f ca="1">IF(M49&gt;=10000,(8.25+(M49-10000)*0.01%),IF(AND(M49&gt;=8000,M49&lt;10000),(7.85+(M49-8000)*0.02%),IF(AND(M49&gt;=5000,M49&lt;8000),(6.65+(M49-5000)*0.04%),IF(AND(M49&gt;=2000,M49&lt;5000),(4.25+(PM49-2000)*0.08%),IF(AND(M49&gt;=1000,M49&lt;2000),(2.75+(M49-1000)*0.15%),IF(AND(M49&gt;=100,M49&lt;1000),(0.5+(M49-100)*0.25%),IF(AND(M49&gt;0,M49&lt;100),M49*0.5%)))))))</f>
        <v>1.4875</v>
      </c>
      <c r="M67" s="302">
        <f ca="1">ROUND(L67*0.9,1)</f>
        <v>1.3</v>
      </c>
      <c r="N67" s="2537"/>
      <c r="Z67" s="1746"/>
      <c r="AI67" s="1747"/>
    </row>
    <row r="68" spans="1:35" ht="14.25" customHeight="1" thickBot="1">
      <c r="A68" s="176" t="s">
        <v>329</v>
      </c>
      <c r="B68" s="177" t="s">
        <v>1391</v>
      </c>
      <c r="C68" s="2563">
        <f ca="1">IF(C67&lt;=0,0,ROUND(C67*D68,0))</f>
        <v>0</v>
      </c>
      <c r="D68" s="2564">
        <f>'数据-取费表'!B41</f>
        <v>5.6000000000000001E-2</v>
      </c>
      <c r="E68" s="178"/>
      <c r="F68" s="1802"/>
      <c r="G68" s="1802"/>
      <c r="H68" s="1804"/>
      <c r="I68" s="129"/>
      <c r="J68" s="3659"/>
      <c r="K68" s="3451" t="s">
        <v>1392</v>
      </c>
      <c r="L68" s="3451">
        <f ca="1">IF(M49&gt;10000,M49*0.5%,IF(AND(M49&gt;5000,M49&lt;=10000),M49*1%,IF(AND(M49&gt;1000,M49&lt;=5000),M49*2%,IF(AND(M49&gt;200,M49&lt;=1000),M49*3%,M49*5%))))</f>
        <v>14.85</v>
      </c>
      <c r="M68" s="302">
        <f ca="1">ROUND(L68,1)</f>
        <v>14.9</v>
      </c>
      <c r="N68" s="2537"/>
      <c r="Z68" s="1746"/>
      <c r="AI68" s="1747"/>
    </row>
    <row r="69" spans="1:35" s="1766" customFormat="1" ht="16.5" customHeight="1">
      <c r="A69" s="1805"/>
      <c r="B69" s="1806"/>
      <c r="C69" s="1807"/>
      <c r="D69" s="1808"/>
      <c r="E69" s="1809"/>
      <c r="F69" s="1572"/>
      <c r="G69" s="1572"/>
      <c r="H69" s="1571"/>
      <c r="I69" s="1741"/>
      <c r="J69" s="3659"/>
      <c r="K69" s="3451" t="s">
        <v>1393</v>
      </c>
      <c r="L69" s="3451"/>
      <c r="M69" s="302">
        <f ca="1">ROUND(SUM(M63:M68),0)</f>
        <v>41</v>
      </c>
      <c r="N69" s="2539">
        <f ca="1">M69/M49</f>
        <v>8.2828282828282834E-2</v>
      </c>
      <c r="O69" s="723"/>
      <c r="P69" s="723"/>
      <c r="Q69" s="723"/>
      <c r="R69" s="723"/>
      <c r="S69" s="723"/>
      <c r="T69" s="723"/>
      <c r="U69" s="723"/>
      <c r="V69" s="723"/>
      <c r="W69" s="723"/>
      <c r="X69" s="723"/>
      <c r="Y69" s="723"/>
      <c r="Z69" s="1746"/>
      <c r="AA69" s="1746"/>
      <c r="AB69" s="1746"/>
      <c r="AC69" s="1746"/>
      <c r="AD69" s="1746"/>
      <c r="AE69" s="1746"/>
      <c r="AF69" s="1746"/>
      <c r="AG69" s="1746"/>
      <c r="AH69" s="1746"/>
    </row>
    <row r="70" spans="1:35" s="1811" customFormat="1" ht="15" thickBot="1">
      <c r="A70" s="3621" t="s">
        <v>1394</v>
      </c>
      <c r="B70" s="3622"/>
      <c r="C70" s="3622"/>
      <c r="D70" s="3622"/>
      <c r="E70" s="3622"/>
      <c r="F70" s="3622"/>
      <c r="G70" s="3622"/>
      <c r="H70" s="3622"/>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0" t="s">
        <v>1375</v>
      </c>
      <c r="B71" s="3601"/>
      <c r="C71" s="3460"/>
      <c r="D71" s="3460" t="s">
        <v>1376</v>
      </c>
      <c r="E71" s="179" t="s">
        <v>1377</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2">
        <f ca="1">ROUND(D45/(1+'数据-取费表'!C42),0)</f>
        <v>471</v>
      </c>
      <c r="D72" s="170" t="s">
        <v>26</v>
      </c>
      <c r="E72" s="3462"/>
      <c r="F72" s="3461"/>
      <c r="G72" s="3461"/>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2">
        <f ca="1">C74+C78</f>
        <v>705</v>
      </c>
      <c r="D73" s="170" t="s">
        <v>26</v>
      </c>
      <c r="E73" s="3462"/>
      <c r="F73" s="3461"/>
      <c r="G73" s="3461"/>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702</v>
      </c>
      <c r="D74" s="170" t="s">
        <v>26</v>
      </c>
      <c r="E74" s="3462"/>
      <c r="F74" s="3461"/>
      <c r="G74" s="3461"/>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5">
        <f>C66</f>
        <v>715</v>
      </c>
      <c r="D75" s="170" t="s">
        <v>26</v>
      </c>
      <c r="E75" s="184" t="s">
        <v>1399</v>
      </c>
      <c r="F75" s="2566" t="s">
        <v>3464</v>
      </c>
      <c r="G75" s="184" t="s">
        <v>1400</v>
      </c>
      <c r="H75" s="2567">
        <v>4</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8">
        <v>0.05</v>
      </c>
      <c r="E76" s="3595" t="s">
        <v>1402</v>
      </c>
      <c r="F76" s="3569"/>
      <c r="G76" s="3569"/>
      <c r="H76" s="36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21</v>
      </c>
      <c r="D77" s="2569">
        <f>'数据-取费表'!B48+'数据-取费表'!B49</f>
        <v>3.0499999999999999E-2</v>
      </c>
      <c r="E77" s="3450" t="s">
        <v>1404</v>
      </c>
      <c r="F77" s="186"/>
      <c r="G77" s="1816" t="s">
        <v>3465</v>
      </c>
      <c r="H77" s="34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70">
        <f ca="1">ROUND(D45*D78/(1+'数据-取费表'!C42),0)</f>
        <v>3</v>
      </c>
      <c r="D78" s="2571">
        <f>'数据-取费表'!B43</f>
        <v>6.000000000000001E-3</v>
      </c>
      <c r="E78" s="3579" t="s">
        <v>1406</v>
      </c>
      <c r="F78" s="3580"/>
      <c r="G78" s="3580"/>
      <c r="H78" s="3589"/>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2">
        <f ca="1">C72-C73</f>
        <v>-234</v>
      </c>
      <c r="D79" s="170" t="s">
        <v>26</v>
      </c>
      <c r="E79" s="3462"/>
      <c r="F79" s="3461"/>
      <c r="G79" s="3461"/>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2">
        <f ca="1">IF(C79&lt;=0,0,C79/C73)</f>
        <v>0</v>
      </c>
      <c r="D80" s="170" t="s">
        <v>26</v>
      </c>
      <c r="E80" s="3450" t="str">
        <f ca="1">IF(C80&gt;=200%,"增值额超过扣除项目金额200%",IF(C80&gt;=100%,"增值额超过扣除项目金额100%，未超过200%",IF(C80&gt;=50%,"增值额超过扣除项目金额50%，未超过100%",IF(C80&lt;50%,"增值额未超过扣除项目金额50%"))))</f>
        <v>增值额未超过扣除项目金额50%</v>
      </c>
      <c r="F80" s="3461"/>
      <c r="G80" s="3461"/>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8"/>
      <c r="B82" s="679"/>
      <c r="C82" s="4"/>
      <c r="D82" s="4"/>
      <c r="E82" s="679"/>
      <c r="F82" s="679"/>
      <c r="G82" s="679"/>
      <c r="H82" s="680"/>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1" t="s">
        <v>1410</v>
      </c>
      <c r="B83" s="3622"/>
      <c r="C83" s="3622"/>
      <c r="D83" s="3622"/>
      <c r="E83" s="3622"/>
      <c r="F83" s="3622"/>
      <c r="G83" s="3622"/>
      <c r="H83" s="36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0" t="s">
        <v>1375</v>
      </c>
      <c r="B84" s="3601"/>
      <c r="C84" s="3460"/>
      <c r="D84" s="3460"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2">
        <f ca="1">ROUND(D45/(1+'数据-取费表'!C42),0)</f>
        <v>471</v>
      </c>
      <c r="D85" s="170" t="s">
        <v>26</v>
      </c>
      <c r="E85" s="3462"/>
      <c r="F85" s="3461"/>
      <c r="G85" s="3461"/>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2">
        <f ca="1">IF(H88="仅含出让金",C87+C90+C91+C92+C93+C94,C87+C91+C92+C93+C94)</f>
        <v>3</v>
      </c>
      <c r="D86" s="2575"/>
      <c r="E86" s="3462"/>
      <c r="F86" s="3461"/>
      <c r="G86" s="3461"/>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70">
        <f>C88+C89</f>
        <v>0</v>
      </c>
      <c r="D87" s="2571"/>
      <c r="E87" s="3457"/>
      <c r="F87" s="3458"/>
      <c r="G87" s="3458"/>
      <c r="H87" s="34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6"/>
      <c r="D88" s="2571"/>
      <c r="E88" s="193" t="s">
        <v>1413</v>
      </c>
      <c r="F88" s="3458"/>
      <c r="G88" s="194" t="s">
        <v>1414</v>
      </c>
      <c r="H88" s="1818"/>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70">
        <f>ROUND(C88*D89,0)</f>
        <v>0</v>
      </c>
      <c r="D89" s="2571">
        <f>'数据-取费表'!B48+'数据-取费表'!B49</f>
        <v>3.0499999999999999E-2</v>
      </c>
      <c r="E89" s="193" t="s">
        <v>1415</v>
      </c>
      <c r="F89" s="3458"/>
      <c r="G89" s="3458"/>
      <c r="H89" s="34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6"/>
      <c r="D90" s="2571"/>
      <c r="E90" s="193" t="str">
        <f>IF(H88="-","土地取得成本中已包含该笔费用"," ")</f>
        <v xml:space="preserve"> </v>
      </c>
      <c r="F90" s="3458"/>
      <c r="G90" s="3661" t="s">
        <v>2128</v>
      </c>
      <c r="H90" s="3662"/>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70">
        <f>IF(H91="——",成本法!C33,I91)</f>
        <v>0</v>
      </c>
      <c r="D91" s="2571"/>
      <c r="E91" s="3579" t="s">
        <v>1419</v>
      </c>
      <c r="F91" s="3580"/>
      <c r="G91" s="3580"/>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70">
        <f>ROUND((C87+C90+C91)*D92,0)</f>
        <v>0</v>
      </c>
      <c r="D92" s="2577"/>
      <c r="E92" s="3579" t="s">
        <v>1422</v>
      </c>
      <c r="F92" s="3580"/>
      <c r="G92" s="3580"/>
      <c r="H92" s="3589"/>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70">
        <f ca="1">ROUND(D45*D93/(1+'数据-取费表'!C42),0)</f>
        <v>3</v>
      </c>
      <c r="D93" s="2571">
        <f>'数据-取费表'!B43</f>
        <v>6.000000000000001E-3</v>
      </c>
      <c r="E93" s="3579" t="s">
        <v>1406</v>
      </c>
      <c r="F93" s="3580"/>
      <c r="G93" s="3580"/>
      <c r="H93" s="3589"/>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6">
        <f>ROUND((C87+C90+C91)*D94,0)</f>
        <v>0</v>
      </c>
      <c r="D94" s="2571">
        <v>0.2</v>
      </c>
      <c r="E94" s="3590" t="s">
        <v>1426</v>
      </c>
      <c r="F94" s="3591"/>
      <c r="G94" s="3591"/>
      <c r="H94" s="359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2">
        <f ca="1">ROUND(C85-C86,0)</f>
        <v>468</v>
      </c>
      <c r="D95" s="170" t="s">
        <v>26</v>
      </c>
      <c r="E95" s="3462"/>
      <c r="F95" s="3461"/>
      <c r="G95" s="3461"/>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2">
        <f ca="1">IF(C95&lt;=0,0,C95/C86)</f>
        <v>156</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3">
        <f ca="1">ROUND(IF(C95&lt;=0,0,IF(C96&gt;=200%,C95*60%-C86*35%,IF(C96&gt;=100%,C95*50%-C86*15%,IF(C96&gt;=50%,C95*40%-C86*5%,IF(C96&lt;50%,C95*30%,0))))),0)</f>
        <v>280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79" t="str">
        <f>C4</f>
        <v>比较法-办公-1806</v>
      </c>
      <c r="D101" s="2580" t="str">
        <f>D4</f>
        <v>收益法-1806</v>
      </c>
      <c r="E101" s="3656" t="s">
        <v>1431</v>
      </c>
      <c r="F101" s="3613"/>
      <c r="G101" s="1821" t="s">
        <v>1432</v>
      </c>
      <c r="H101" s="2589">
        <f ca="1">H118</f>
        <v>495</v>
      </c>
      <c r="I101" s="129"/>
    </row>
    <row r="102" spans="1:35" ht="18.75" customHeight="1">
      <c r="A102" s="3615" t="s">
        <v>1433</v>
      </c>
      <c r="B102" s="2578" t="s">
        <v>1432</v>
      </c>
      <c r="C102" s="2579">
        <f ca="1">IF(D32="楼面单价",ROUND(C19,0),C19)</f>
        <v>551</v>
      </c>
      <c r="D102" s="2580">
        <f ca="1">IF(D32="楼面单价",ROUND(D19,0),D19)</f>
        <v>363</v>
      </c>
      <c r="E102" s="3656"/>
      <c r="F102" s="3613"/>
      <c r="G102" s="1821" t="s">
        <v>1434</v>
      </c>
      <c r="H102" s="2549">
        <f ca="1">I118</f>
        <v>26774</v>
      </c>
      <c r="I102" s="129"/>
    </row>
    <row r="103" spans="1:35" ht="42.75" customHeight="1">
      <c r="A103" s="3615"/>
      <c r="B103" s="2578" t="s">
        <v>1434</v>
      </c>
      <c r="C103" s="2581">
        <f ca="1">C20</f>
        <v>29824</v>
      </c>
      <c r="D103" s="2582">
        <f ca="1">D20</f>
        <v>19656</v>
      </c>
      <c r="E103" s="3650" t="s">
        <v>1435</v>
      </c>
      <c r="F103" s="3651"/>
      <c r="G103" s="1822" t="s">
        <v>1436</v>
      </c>
      <c r="H103" s="2589">
        <f>IF(D36="正常操作",H104+H105+H106,H105+H106)</f>
        <v>0</v>
      </c>
      <c r="I103" s="129"/>
    </row>
    <row r="104" spans="1:35" ht="18.75" customHeight="1">
      <c r="A104" s="3615" t="s">
        <v>1437</v>
      </c>
      <c r="B104" s="2583" t="s">
        <v>1432</v>
      </c>
      <c r="C104" s="2584">
        <f ca="1">H118</f>
        <v>495</v>
      </c>
      <c r="D104" s="2585"/>
      <c r="E104" s="1668" t="s">
        <v>1438</v>
      </c>
      <c r="F104" s="1660"/>
      <c r="G104" s="1822" t="s">
        <v>1436</v>
      </c>
      <c r="H104" s="2590">
        <f>IF(D36="同一抵押权人同一抵押物续贷",C36&amp;"（续贷，未扣减，详见特别提示）",C36)</f>
        <v>0</v>
      </c>
      <c r="I104" s="129"/>
    </row>
    <row r="105" spans="1:35" ht="18.75" customHeight="1" thickBot="1">
      <c r="A105" s="3616"/>
      <c r="B105" s="2586" t="s">
        <v>1434</v>
      </c>
      <c r="C105" s="2587">
        <f ca="1">I118</f>
        <v>26774</v>
      </c>
      <c r="D105" s="2588"/>
      <c r="E105" s="1668" t="s">
        <v>1439</v>
      </c>
      <c r="F105" s="1660"/>
      <c r="G105" s="1822" t="s">
        <v>1436</v>
      </c>
      <c r="H105" s="2591">
        <f>C37</f>
        <v>0</v>
      </c>
      <c r="I105" s="129"/>
    </row>
    <row r="106" spans="1:35" ht="18.75" customHeight="1">
      <c r="A106" s="1741" t="s">
        <v>1440</v>
      </c>
      <c r="B106" s="1741"/>
      <c r="C106" s="1741"/>
      <c r="D106" s="1741"/>
      <c r="E106" s="1823" t="s">
        <v>1441</v>
      </c>
      <c r="F106" s="1660"/>
      <c r="G106" s="1822" t="s">
        <v>1436</v>
      </c>
      <c r="H106" s="2591">
        <f>C38</f>
        <v>0</v>
      </c>
      <c r="I106" s="129"/>
    </row>
    <row r="107" spans="1:35" ht="18.75" customHeight="1">
      <c r="A107" s="129"/>
      <c r="B107" s="129"/>
      <c r="C107" s="129"/>
      <c r="D107" s="129"/>
      <c r="E107" s="3612" t="str">
        <f>IF(项目基本情况!E8="已注销","——","3.房地产抵押价值")</f>
        <v>3.房地产抵押价值</v>
      </c>
      <c r="F107" s="3613"/>
      <c r="G107" s="1821" t="s">
        <v>1432</v>
      </c>
      <c r="H107" s="2589">
        <f ca="1">IF(E107="——","——",H101-H103)</f>
        <v>495</v>
      </c>
      <c r="I107" s="129"/>
    </row>
    <row r="108" spans="1:35" ht="18.75" customHeight="1">
      <c r="A108" s="129"/>
      <c r="B108" s="129"/>
      <c r="C108" s="129"/>
      <c r="D108" s="129"/>
      <c r="E108" s="3612"/>
      <c r="F108" s="3613"/>
      <c r="G108" s="1821" t="s">
        <v>1434</v>
      </c>
      <c r="H108" s="2549">
        <f ca="1">IF(H107=H101,H102,ROUND(H107*10000/'数据-汇总表'!E3,0))</f>
        <v>26774</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1" t="s">
        <v>1432</v>
      </c>
      <c r="H109" s="2592" t="str">
        <f>IF(E109="——","——",H101-H105-H106)</f>
        <v>——</v>
      </c>
      <c r="I109" s="129"/>
    </row>
    <row r="110" spans="1:35" ht="18.75" customHeight="1">
      <c r="A110" s="129"/>
      <c r="B110" s="129"/>
      <c r="C110" s="129"/>
      <c r="D110" s="129"/>
      <c r="E110" s="3612"/>
      <c r="F110" s="3613"/>
      <c r="G110" s="1821" t="s">
        <v>1434</v>
      </c>
      <c r="H110" s="2549"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14"/>
      <c r="G111" s="1821" t="s">
        <v>1432</v>
      </c>
      <c r="H111" s="2589">
        <f ca="1">IF(E111="——","——",N59)</f>
        <v>495</v>
      </c>
      <c r="I111" s="129"/>
    </row>
    <row r="112" spans="1:35" ht="18.75" customHeight="1" thickBot="1">
      <c r="A112" s="129"/>
      <c r="B112" s="129"/>
      <c r="C112" s="129"/>
      <c r="D112" s="129"/>
      <c r="E112" s="3645"/>
      <c r="F112" s="3646"/>
      <c r="G112" s="1824" t="s">
        <v>1434</v>
      </c>
      <c r="H112" s="2593">
        <f ca="1">IF(E111="——","——",N61)</f>
        <v>7199</v>
      </c>
      <c r="I112" s="129"/>
    </row>
    <row r="113" spans="1:27" ht="18.75" customHeight="1">
      <c r="A113" s="129"/>
      <c r="B113" s="129"/>
      <c r="C113" s="129"/>
      <c r="D113" s="129"/>
      <c r="E113" s="3617" t="s">
        <v>1440</v>
      </c>
      <c r="F113" s="3617"/>
      <c r="G113" s="3617"/>
      <c r="H113" s="3617"/>
      <c r="I113" s="129"/>
    </row>
    <row r="114" spans="1:27" ht="3.75" customHeight="1">
      <c r="A114" s="1741"/>
      <c r="B114" s="1741"/>
      <c r="C114" s="1741"/>
      <c r="D114" s="1741"/>
      <c r="E114" s="1803"/>
      <c r="F114" s="1803"/>
      <c r="G114" s="1803"/>
      <c r="H114" s="1803"/>
      <c r="I114" s="1741"/>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3453" t="s">
        <v>1449</v>
      </c>
      <c r="E117" s="3453" t="s">
        <v>1450</v>
      </c>
      <c r="F117" s="3453" t="s">
        <v>1449</v>
      </c>
      <c r="G117" s="3453" t="s">
        <v>1451</v>
      </c>
      <c r="H117" s="3453" t="s">
        <v>1449</v>
      </c>
      <c r="I117" s="3453" t="s">
        <v>1451</v>
      </c>
    </row>
    <row r="118" spans="1:27" ht="24.75" customHeight="1">
      <c r="A118" s="2594" t="str">
        <f>项目基本情况!S2</f>
        <v>房地产</v>
      </c>
      <c r="B118" s="3453">
        <f>M18</f>
        <v>184.82</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495</v>
      </c>
      <c r="I118" s="3453">
        <f ca="1">ROUND(IF(D32="楼面单价",C32,H118*10000/B118),0)</f>
        <v>26774</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肆佰玖拾伍万元整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3" t="s">
        <v>1452</v>
      </c>
      <c r="B121" s="3624"/>
      <c r="C121" s="3625"/>
      <c r="D121" s="3623" t="str">
        <f>IF(D120=0,"零元整",NUMBERSTRING(INT(D120*10000),2)&amp;"元整")</f>
        <v>零元整</v>
      </c>
      <c r="E121" s="3624"/>
      <c r="F121" s="3624"/>
      <c r="G121" s="3624"/>
      <c r="H121" s="3624"/>
      <c r="I121" s="3625"/>
      <c r="AA121" s="723"/>
    </row>
    <row r="122" spans="1:27" ht="18.75" customHeight="1">
      <c r="A122" s="3614" t="str">
        <f>IF(项目基本情况!B9="房地产市场价值","",MID(E107,3,LEN(E107)-2))</f>
        <v>房地产抵押价值</v>
      </c>
      <c r="B122" s="3614"/>
      <c r="C122" s="3614"/>
      <c r="D122" s="3647">
        <f ca="1">H107</f>
        <v>495</v>
      </c>
      <c r="E122" s="3648"/>
      <c r="F122" s="3648"/>
      <c r="G122" s="3648"/>
      <c r="H122" s="3648"/>
      <c r="I122" s="3649"/>
      <c r="AA122" s="723"/>
    </row>
    <row r="123" spans="1:27" ht="18.75" customHeight="1">
      <c r="A123" s="3583" t="s">
        <v>1452</v>
      </c>
      <c r="B123" s="3583"/>
      <c r="C123" s="3583"/>
      <c r="D123" s="3623" t="str">
        <f ca="1">NUMBERSTRING(INT(D122*10000),2)&amp;"元整"</f>
        <v>肆佰玖拾伍万元整</v>
      </c>
      <c r="E123" s="3624"/>
      <c r="F123" s="3624"/>
      <c r="G123" s="3624"/>
      <c r="H123" s="3624"/>
      <c r="I123" s="3625"/>
      <c r="AA123" s="723"/>
    </row>
    <row r="124" spans="1:27" ht="18.75" customHeight="1">
      <c r="A124" s="3614" t="str">
        <f>IF(项目基本情况!B9="房地产市场价值","",MID(E109,3,LEN(E109)-2))</f>
        <v/>
      </c>
      <c r="B124" s="3614"/>
      <c r="C124" s="3614"/>
      <c r="D124" s="3647" t="str">
        <f>H109</f>
        <v>——</v>
      </c>
      <c r="E124" s="3648"/>
      <c r="F124" s="3648"/>
      <c r="G124" s="3648"/>
      <c r="H124" s="3648"/>
      <c r="I124" s="3649"/>
      <c r="AA124" s="723"/>
    </row>
    <row r="125" spans="1:27" ht="18.75" customHeight="1">
      <c r="A125" s="3583" t="s">
        <v>1452</v>
      </c>
      <c r="B125" s="3583"/>
      <c r="C125" s="3583"/>
      <c r="D125" s="3623" t="e">
        <f>NUMBERSTRING(INT(D124*10000),2)&amp;"元整"</f>
        <v>#VALUE!</v>
      </c>
      <c r="E125" s="3624"/>
      <c r="F125" s="3624"/>
      <c r="G125" s="3624"/>
      <c r="H125" s="3624"/>
      <c r="I125" s="3625"/>
      <c r="AA125" s="723"/>
    </row>
    <row r="126" spans="1:27" ht="18.75" customHeight="1">
      <c r="A126" s="3614" t="str">
        <f>IF(项目基本情况!B9="房地产市场价值","",MID(E111,3,LEN(E111)-2))</f>
        <v>抵押净值</v>
      </c>
      <c r="B126" s="3614"/>
      <c r="C126" s="3614"/>
      <c r="D126" s="3647">
        <f ca="1">H111</f>
        <v>495</v>
      </c>
      <c r="E126" s="3648"/>
      <c r="F126" s="3648"/>
      <c r="G126" s="3648"/>
      <c r="H126" s="3648"/>
      <c r="I126" s="3649"/>
      <c r="AA126" s="723"/>
    </row>
    <row r="127" spans="1:27" ht="18.75" customHeight="1">
      <c r="A127" s="3583" t="s">
        <v>1452</v>
      </c>
      <c r="B127" s="3583"/>
      <c r="C127" s="3583"/>
      <c r="D127" s="3623" t="str">
        <f ca="1">NUMBERSTRING(INT(D126*10000),2)&amp;"元整"</f>
        <v>肆佰玖拾伍万元整</v>
      </c>
      <c r="E127" s="3624"/>
      <c r="F127" s="3624"/>
      <c r="G127" s="3624"/>
      <c r="H127" s="3624"/>
      <c r="I127" s="3625"/>
      <c r="AA127" s="723"/>
    </row>
    <row r="128" spans="1:27" ht="21.75" customHeight="1">
      <c r="A128" s="3630" t="s">
        <v>1453</v>
      </c>
      <c r="B128" s="3630"/>
      <c r="C128" s="3630"/>
      <c r="D128" s="3630"/>
      <c r="E128" s="3630"/>
      <c r="F128" s="3630"/>
      <c r="G128" s="3630"/>
      <c r="H128" s="3630"/>
      <c r="I128" s="3630"/>
      <c r="AA128" s="723"/>
    </row>
    <row r="129" spans="1:35" ht="21.75" customHeight="1">
      <c r="A129" s="1825" t="s">
        <v>1454</v>
      </c>
      <c r="B129" s="1826"/>
      <c r="C129" s="1827" t="s">
        <v>1455</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1456</v>
      </c>
      <c r="G135" s="1842"/>
      <c r="H135" s="1842"/>
      <c r="I135" s="1843" t="s">
        <v>1457</v>
      </c>
    </row>
    <row r="136" spans="1:35" ht="21.75" customHeight="1">
      <c r="A136" s="723"/>
      <c r="B136" s="1844"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1459</v>
      </c>
    </row>
    <row r="139" spans="1:35" ht="21.75" customHeight="1">
      <c r="A139" s="723"/>
      <c r="B139" s="1844" t="s">
        <v>1460</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1459</v>
      </c>
    </row>
    <row r="142" spans="1:35" ht="21.75" customHeight="1">
      <c r="A142" s="723"/>
      <c r="B142" s="1844"/>
      <c r="C142" s="1845"/>
      <c r="D142" s="1846"/>
      <c r="E142" s="1846"/>
      <c r="F142" s="1735"/>
      <c r="G142" s="723"/>
      <c r="H142" s="723"/>
      <c r="I142" s="723"/>
    </row>
    <row r="143" spans="1:35" s="130" customFormat="1" ht="21.75" customHeight="1">
      <c r="A143" s="723"/>
      <c r="B143" s="1844"/>
      <c r="C143" s="1845"/>
      <c r="D143" s="1846"/>
      <c r="E143" s="1846"/>
      <c r="F143" s="1735"/>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6"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6"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6"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6"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6"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6"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6"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6"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6"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6"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6"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6"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6"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6"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6"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6"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6"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6"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6"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6"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6"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6"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6"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6"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6"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6"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6"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6"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6"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6"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6"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6"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6"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6"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6"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6"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6"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6"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6"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6"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6"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6"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6"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6"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6"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6"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6"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6"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6"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6"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6"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6"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6"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6"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6"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6"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6"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6"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6"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6"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6"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6"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6"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6"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6"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6"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6"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6"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6"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6"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6"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6"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6"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6"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6"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6"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6"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6"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6"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6"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6"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6"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6"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6"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6"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6"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6"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6"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6"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6"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6"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6"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6"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6"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6"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6"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6"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6"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6"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6"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6"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6"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6"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6"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1810</v>
      </c>
      <c r="C1" s="1218" t="s">
        <v>1662</v>
      </c>
      <c r="D1" s="1219">
        <v>1806</v>
      </c>
      <c r="E1" s="3426" t="s">
        <v>3397</v>
      </c>
      <c r="F1" s="1873" t="s">
        <v>3398</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f>IF(E1="项目模式",IF(C2="——",ROUND(C50*D3/10000,0),ROUND(C50*D3/10000,0)-D2),IF(E1="单套模式",IF(C2="——",ROUND(C50*D3/10000,4),ROUND(C50*D3/10000,4)-D2)))</f>
        <v>551.20719999999994</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29824</v>
      </c>
      <c r="C3" s="354" t="s">
        <v>1768</v>
      </c>
      <c r="D3" s="353">
        <f>IF(D1="",'数据-汇总表'!E3,SUMIF('数据-汇总表'!$C19:$C33,D1,'数据-汇总表'!$E19:$E33))</f>
        <v>184.82</v>
      </c>
      <c r="E3" s="1948"/>
      <c r="F3" s="903"/>
      <c r="G3" s="902"/>
      <c r="H3" s="902"/>
      <c r="I3" s="902"/>
      <c r="J3" s="902"/>
      <c r="K3" s="904"/>
      <c r="L3" s="2728"/>
      <c r="M3" s="2729"/>
      <c r="N3" s="2729"/>
      <c r="O3" s="2729"/>
      <c r="P3" s="697"/>
      <c r="Q3" s="697"/>
      <c r="R3" s="697"/>
      <c r="S3" s="697"/>
      <c r="T3" s="697"/>
      <c r="U3" s="697"/>
      <c r="V3" s="697"/>
      <c r="W3" s="697"/>
      <c r="X3" s="697"/>
      <c r="Y3" s="697"/>
      <c r="Z3" s="697"/>
      <c r="AA3" s="697"/>
      <c r="AB3" s="697"/>
      <c r="AC3" s="698"/>
    </row>
    <row r="4" spans="1:29" ht="15">
      <c r="A4" s="355" t="s">
        <v>1769</v>
      </c>
      <c r="B4" s="356"/>
      <c r="C4" s="3710" t="s">
        <v>1770</v>
      </c>
      <c r="D4" s="3711"/>
      <c r="E4" s="3712" t="s">
        <v>1771</v>
      </c>
      <c r="F4" s="3713"/>
      <c r="G4" s="3710" t="s">
        <v>1772</v>
      </c>
      <c r="H4" s="3711"/>
      <c r="I4" s="3710" t="s">
        <v>1773</v>
      </c>
      <c r="J4" s="3711"/>
      <c r="K4" s="559" t="s">
        <v>1774</v>
      </c>
      <c r="L4" s="2709"/>
      <c r="M4" s="2710"/>
      <c r="N4" s="2710"/>
      <c r="O4" s="2710"/>
      <c r="P4" s="3742" t="s">
        <v>1775</v>
      </c>
      <c r="Q4" s="3743"/>
      <c r="R4" s="3746" t="s">
        <v>1771</v>
      </c>
      <c r="S4" s="3747"/>
      <c r="T4" s="3746" t="s">
        <v>1772</v>
      </c>
      <c r="U4" s="3747"/>
      <c r="V4" s="3750" t="s">
        <v>1773</v>
      </c>
      <c r="W4" s="3750"/>
      <c r="X4" s="1952"/>
      <c r="Y4" s="3746" t="s">
        <v>1775</v>
      </c>
      <c r="Z4" s="3747"/>
      <c r="AA4" s="3738" t="s">
        <v>1771</v>
      </c>
      <c r="AB4" s="3738" t="s">
        <v>1772</v>
      </c>
      <c r="AC4" s="3739" t="s">
        <v>1773</v>
      </c>
    </row>
    <row r="5" spans="1:29" ht="15">
      <c r="A5" s="358"/>
      <c r="B5" s="359"/>
      <c r="C5" s="3729" t="s">
        <v>1673</v>
      </c>
      <c r="D5" s="3730"/>
      <c r="E5" s="3748" t="s">
        <v>3438</v>
      </c>
      <c r="F5" s="3737"/>
      <c r="G5" s="3729" t="s">
        <v>1675</v>
      </c>
      <c r="H5" s="3730"/>
      <c r="I5" s="3749" t="s">
        <v>3439</v>
      </c>
      <c r="J5" s="3730"/>
      <c r="K5" s="559"/>
      <c r="L5" s="2709"/>
      <c r="M5" s="2710"/>
      <c r="N5" s="2710"/>
      <c r="O5" s="2710"/>
      <c r="P5" s="3744"/>
      <c r="Q5" s="3717"/>
      <c r="R5" s="3722"/>
      <c r="S5" s="3723"/>
      <c r="T5" s="3722"/>
      <c r="U5" s="3723"/>
      <c r="V5" s="3726"/>
      <c r="W5" s="3726"/>
      <c r="X5" s="1349"/>
      <c r="Y5" s="3722"/>
      <c r="Z5" s="3723"/>
      <c r="AA5" s="3708"/>
      <c r="AB5" s="3708"/>
      <c r="AC5" s="3740"/>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45"/>
      <c r="Q6" s="3719"/>
      <c r="R6" s="3722"/>
      <c r="S6" s="3723"/>
      <c r="T6" s="3724"/>
      <c r="U6" s="3725"/>
      <c r="V6" s="3726"/>
      <c r="W6" s="3726"/>
      <c r="X6" s="1349"/>
      <c r="Y6" s="3724"/>
      <c r="Z6" s="3725"/>
      <c r="AA6" s="3709"/>
      <c r="AB6" s="3709"/>
      <c r="AC6" s="3741"/>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1"/>
      <c r="M7" s="2712"/>
      <c r="N7" s="2712"/>
      <c r="O7" s="2712"/>
      <c r="P7" s="3751" t="s">
        <v>1680</v>
      </c>
      <c r="Q7" s="3733"/>
      <c r="R7" s="699" t="s">
        <v>14</v>
      </c>
      <c r="S7" s="700">
        <f t="shared" ref="S7:S15" si="0">F7</f>
        <v>100</v>
      </c>
      <c r="T7" s="699" t="s">
        <v>14</v>
      </c>
      <c r="U7" s="700">
        <f t="shared" ref="U7:U15" si="1">H7</f>
        <v>100</v>
      </c>
      <c r="V7" s="699" t="s">
        <v>14</v>
      </c>
      <c r="W7" s="700">
        <f t="shared" ref="W7:W15" si="2">J7</f>
        <v>100</v>
      </c>
      <c r="X7" s="701"/>
      <c r="Y7" s="3731" t="s">
        <v>1680</v>
      </c>
      <c r="Z7" s="3732"/>
      <c r="AA7" s="702">
        <f>D7/F7</f>
        <v>1</v>
      </c>
      <c r="AB7" s="702">
        <f>D7/H7</f>
        <v>1</v>
      </c>
      <c r="AC7" s="1953">
        <f>D7/J7</f>
        <v>1</v>
      </c>
    </row>
    <row r="8" spans="1:29" s="108" customFormat="1" ht="15.75" thickBot="1">
      <c r="A8" s="362" t="s">
        <v>1681</v>
      </c>
      <c r="B8" s="363"/>
      <c r="C8" s="368" t="s">
        <v>3400</v>
      </c>
      <c r="D8" s="365">
        <v>100</v>
      </c>
      <c r="E8" s="368" t="s">
        <v>3408</v>
      </c>
      <c r="F8" s="367">
        <f>SUMIF(62:62,E8,63:63)-SUMIF(62:62,C8,63:63)+100</f>
        <v>102</v>
      </c>
      <c r="G8" s="368" t="s">
        <v>3408</v>
      </c>
      <c r="H8" s="365">
        <f>SUMIF(62:62,G8,63:63)-SUMIF(62:62,C8,63:63)+100</f>
        <v>102</v>
      </c>
      <c r="I8" s="368" t="s">
        <v>3408</v>
      </c>
      <c r="J8" s="365">
        <f>SUMIF(62:62,I8,63:63)-SUMIF(62:62,C8,63:63)+100</f>
        <v>102</v>
      </c>
      <c r="K8" s="560"/>
      <c r="L8" s="2711"/>
      <c r="M8" s="2712"/>
      <c r="N8" s="2712"/>
      <c r="O8" s="2712"/>
      <c r="P8" s="3751" t="s">
        <v>1683</v>
      </c>
      <c r="Q8" s="3732"/>
      <c r="R8" s="699" t="s">
        <v>14</v>
      </c>
      <c r="S8" s="700">
        <f t="shared" si="0"/>
        <v>102</v>
      </c>
      <c r="T8" s="699" t="s">
        <v>14</v>
      </c>
      <c r="U8" s="700">
        <f t="shared" si="1"/>
        <v>102</v>
      </c>
      <c r="V8" s="699" t="s">
        <v>14</v>
      </c>
      <c r="W8" s="700">
        <f t="shared" si="2"/>
        <v>102</v>
      </c>
      <c r="X8" s="701"/>
      <c r="Y8" s="3731" t="s">
        <v>1683</v>
      </c>
      <c r="Z8" s="3732"/>
      <c r="AA8" s="702">
        <f t="shared" ref="AA8:AA47" si="3">D8/F8</f>
        <v>0.98039215686274506</v>
      </c>
      <c r="AB8" s="702">
        <f t="shared" ref="AB8:AB47" si="4">D8/H8</f>
        <v>0.98039215686274506</v>
      </c>
      <c r="AC8" s="1953">
        <f t="shared" ref="AC8:AC47" si="5">D8/J8</f>
        <v>0.98039215686274506</v>
      </c>
    </row>
    <row r="9" spans="1:29" s="108" customFormat="1">
      <c r="A9" s="369" t="s">
        <v>1684</v>
      </c>
      <c r="B9" s="63" t="s">
        <v>1685</v>
      </c>
      <c r="C9" s="3444" t="s">
        <v>3407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06"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1953">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06"/>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1953">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06"/>
      <c r="Q11" s="1337" t="str">
        <f t="shared" si="6"/>
        <v>容积率</v>
      </c>
      <c r="R11" s="699" t="s">
        <v>14</v>
      </c>
      <c r="S11" s="700">
        <f t="shared" si="0"/>
        <v>100</v>
      </c>
      <c r="T11" s="699" t="s">
        <v>14</v>
      </c>
      <c r="U11" s="700">
        <f t="shared" si="1"/>
        <v>100</v>
      </c>
      <c r="V11" s="699" t="s">
        <v>14</v>
      </c>
      <c r="W11" s="700">
        <f t="shared" si="2"/>
        <v>100</v>
      </c>
      <c r="X11" s="701"/>
      <c r="Y11" s="3570"/>
      <c r="Z11" s="52"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06"/>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06"/>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06"/>
      <c r="Q14" s="1337">
        <f t="shared" si="6"/>
        <v>111</v>
      </c>
      <c r="R14" s="699" t="s">
        <v>14</v>
      </c>
      <c r="S14" s="700">
        <f t="shared" si="0"/>
        <v>100</v>
      </c>
      <c r="T14" s="699" t="s">
        <v>14</v>
      </c>
      <c r="U14" s="700">
        <f t="shared" si="1"/>
        <v>100</v>
      </c>
      <c r="V14" s="699" t="s">
        <v>14</v>
      </c>
      <c r="W14" s="700">
        <f t="shared" si="2"/>
        <v>100</v>
      </c>
      <c r="X14" s="701"/>
      <c r="Y14" s="3570"/>
      <c r="Z14" s="52">
        <f t="shared" si="7"/>
        <v>111</v>
      </c>
      <c r="AA14" s="702">
        <f t="shared" si="3"/>
        <v>1</v>
      </c>
      <c r="AB14" s="702">
        <f t="shared" si="4"/>
        <v>1</v>
      </c>
      <c r="AC14" s="1953">
        <f t="shared" si="5"/>
        <v>1</v>
      </c>
    </row>
    <row r="15" spans="1:29" ht="71.25">
      <c r="A15" s="391" t="s">
        <v>1690</v>
      </c>
      <c r="B15" s="577" t="s">
        <v>1811</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04" t="s">
        <v>1691</v>
      </c>
      <c r="Q15" s="1346" t="str">
        <f t="shared" si="6"/>
        <v>办公集聚程度</v>
      </c>
      <c r="R15" s="703" t="s">
        <v>14</v>
      </c>
      <c r="S15" s="704">
        <f t="shared" si="0"/>
        <v>100</v>
      </c>
      <c r="T15" s="703" t="s">
        <v>14</v>
      </c>
      <c r="U15" s="704">
        <f t="shared" si="1"/>
        <v>100</v>
      </c>
      <c r="V15" s="703" t="s">
        <v>14</v>
      </c>
      <c r="W15" s="704">
        <f t="shared" si="2"/>
        <v>100</v>
      </c>
      <c r="X15" s="1349"/>
      <c r="Y15" s="3697" t="s">
        <v>1691</v>
      </c>
      <c r="Z15" s="1350" t="str">
        <f t="shared" si="7"/>
        <v>办公集聚程度</v>
      </c>
      <c r="AA15" s="1347">
        <f t="shared" si="3"/>
        <v>1</v>
      </c>
      <c r="AB15" s="1347">
        <f t="shared" si="4"/>
        <v>1</v>
      </c>
      <c r="AC15" s="1956">
        <f t="shared" si="5"/>
        <v>1</v>
      </c>
    </row>
    <row r="16" spans="1:29" ht="15">
      <c r="A16" s="379"/>
      <c r="B16" s="578"/>
      <c r="C16" s="1898" t="s">
        <v>3401</v>
      </c>
      <c r="D16" s="399"/>
      <c r="E16" s="1898" t="s">
        <v>3401</v>
      </c>
      <c r="F16" s="399"/>
      <c r="G16" s="1898" t="s">
        <v>3401</v>
      </c>
      <c r="H16" s="401"/>
      <c r="I16" s="1898" t="s">
        <v>3401</v>
      </c>
      <c r="J16" s="399"/>
      <c r="K16" s="564"/>
      <c r="L16" s="2716"/>
      <c r="M16" s="2710"/>
      <c r="N16" s="2710"/>
      <c r="O16" s="2710"/>
      <c r="P16" s="3705"/>
      <c r="Q16" s="1346"/>
      <c r="R16" s="703"/>
      <c r="S16" s="704"/>
      <c r="T16" s="703"/>
      <c r="U16" s="704"/>
      <c r="V16" s="703"/>
      <c r="W16" s="704"/>
      <c r="X16" s="1349"/>
      <c r="Y16" s="3698"/>
      <c r="Z16" s="1350"/>
      <c r="AA16" s="1347">
        <v>1</v>
      </c>
      <c r="AB16" s="1347">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5"/>
      <c r="Q17" s="1346" t="str">
        <f>B17</f>
        <v>交通便捷度</v>
      </c>
      <c r="R17" s="703" t="s">
        <v>14</v>
      </c>
      <c r="S17" s="704">
        <f>F17</f>
        <v>100</v>
      </c>
      <c r="T17" s="703" t="s">
        <v>14</v>
      </c>
      <c r="U17" s="704">
        <f>H17</f>
        <v>100</v>
      </c>
      <c r="V17" s="703" t="s">
        <v>14</v>
      </c>
      <c r="W17" s="704">
        <f>J17</f>
        <v>100</v>
      </c>
      <c r="X17" s="1349"/>
      <c r="Y17" s="3698"/>
      <c r="Z17" s="1350" t="str">
        <f>Q17</f>
        <v>交通便捷度</v>
      </c>
      <c r="AA17" s="1347">
        <f t="shared" si="3"/>
        <v>1</v>
      </c>
      <c r="AB17" s="1347">
        <f t="shared" si="4"/>
        <v>1</v>
      </c>
      <c r="AC17" s="1956">
        <f t="shared" si="5"/>
        <v>1</v>
      </c>
    </row>
    <row r="18" spans="1:29" ht="15">
      <c r="A18" s="379"/>
      <c r="B18" s="580"/>
      <c r="C18" s="1898" t="s">
        <v>3401</v>
      </c>
      <c r="D18" s="401"/>
      <c r="E18" s="1898" t="s">
        <v>3401</v>
      </c>
      <c r="F18" s="401"/>
      <c r="G18" s="1898" t="s">
        <v>3401</v>
      </c>
      <c r="H18" s="399"/>
      <c r="I18" s="1898" t="s">
        <v>3401</v>
      </c>
      <c r="J18" s="399"/>
      <c r="K18" s="564"/>
      <c r="L18" s="2716"/>
      <c r="M18" s="2710"/>
      <c r="N18" s="2710"/>
      <c r="O18" s="2710"/>
      <c r="P18" s="3705"/>
      <c r="Q18" s="1346"/>
      <c r="R18" s="703"/>
      <c r="S18" s="704"/>
      <c r="T18" s="703"/>
      <c r="U18" s="704"/>
      <c r="V18" s="703"/>
      <c r="W18" s="704"/>
      <c r="X18" s="1349"/>
      <c r="Y18" s="3698"/>
      <c r="Z18" s="1350"/>
      <c r="AA18" s="1347">
        <v>1</v>
      </c>
      <c r="AB18" s="1347">
        <v>1</v>
      </c>
      <c r="AC18" s="1956">
        <v>1</v>
      </c>
    </row>
    <row r="19" spans="1:29" ht="42.75">
      <c r="A19" s="379"/>
      <c r="B19" s="579" t="s">
        <v>1812</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5"/>
      <c r="Q19" s="1346" t="str">
        <f>B19</f>
        <v>公共配套设施</v>
      </c>
      <c r="R19" s="703" t="s">
        <v>14</v>
      </c>
      <c r="S19" s="704">
        <f>F19</f>
        <v>100</v>
      </c>
      <c r="T19" s="703" t="s">
        <v>14</v>
      </c>
      <c r="U19" s="704">
        <f>H19</f>
        <v>100</v>
      </c>
      <c r="V19" s="703" t="s">
        <v>14</v>
      </c>
      <c r="W19" s="704">
        <f>J19</f>
        <v>100</v>
      </c>
      <c r="X19" s="1349"/>
      <c r="Y19" s="3698"/>
      <c r="Z19" s="1350" t="str">
        <f>Q19</f>
        <v>公共配套设施</v>
      </c>
      <c r="AA19" s="1347">
        <f t="shared" si="3"/>
        <v>1</v>
      </c>
      <c r="AB19" s="1347">
        <f t="shared" si="4"/>
        <v>1</v>
      </c>
      <c r="AC19" s="1956">
        <f t="shared" si="5"/>
        <v>1</v>
      </c>
    </row>
    <row r="20" spans="1:29" ht="15">
      <c r="A20" s="379"/>
      <c r="B20" s="580"/>
      <c r="C20" s="1898" t="s">
        <v>3401</v>
      </c>
      <c r="D20" s="399"/>
      <c r="E20" s="1898" t="s">
        <v>3401</v>
      </c>
      <c r="F20" s="399"/>
      <c r="G20" s="1898" t="s">
        <v>3401</v>
      </c>
      <c r="H20" s="399"/>
      <c r="I20" s="1898" t="s">
        <v>3401</v>
      </c>
      <c r="J20" s="399"/>
      <c r="K20" s="564"/>
      <c r="L20" s="2716"/>
      <c r="M20" s="2710"/>
      <c r="N20" s="2710"/>
      <c r="O20" s="2710"/>
      <c r="P20" s="3705"/>
      <c r="Q20" s="1346"/>
      <c r="R20" s="703"/>
      <c r="S20" s="704"/>
      <c r="T20" s="703"/>
      <c r="U20" s="704"/>
      <c r="V20" s="703"/>
      <c r="W20" s="704"/>
      <c r="X20" s="1349"/>
      <c r="Y20" s="3698"/>
      <c r="Z20" s="1350"/>
      <c r="AA20" s="1347">
        <v>1</v>
      </c>
      <c r="AB20" s="1347">
        <v>1</v>
      </c>
      <c r="AC20" s="1956">
        <v>1</v>
      </c>
    </row>
    <row r="21" spans="1:29" ht="28.5">
      <c r="A21" s="379"/>
      <c r="B21" s="581" t="s">
        <v>1813</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5"/>
      <c r="Q21" s="1346" t="str">
        <f>B21</f>
        <v>基础设施水平</v>
      </c>
      <c r="R21" s="703" t="s">
        <v>14</v>
      </c>
      <c r="S21" s="704">
        <f>F21</f>
        <v>100</v>
      </c>
      <c r="T21" s="703" t="s">
        <v>14</v>
      </c>
      <c r="U21" s="704">
        <f>H21</f>
        <v>100</v>
      </c>
      <c r="V21" s="703" t="s">
        <v>14</v>
      </c>
      <c r="W21" s="704">
        <f>J21</f>
        <v>100</v>
      </c>
      <c r="X21" s="1349"/>
      <c r="Y21" s="3698"/>
      <c r="Z21" s="1350" t="str">
        <f>Q21</f>
        <v>基础设施水平</v>
      </c>
      <c r="AA21" s="1347">
        <f t="shared" ref="AA21" si="8">D21/F21</f>
        <v>1</v>
      </c>
      <c r="AB21" s="1347">
        <f t="shared" ref="AB21" si="9">D21/H21</f>
        <v>1</v>
      </c>
      <c r="AC21" s="1956">
        <f t="shared" ref="AC21" si="10">D21/J21</f>
        <v>1</v>
      </c>
    </row>
    <row r="22" spans="1:29" ht="15">
      <c r="A22" s="379"/>
      <c r="B22" s="581"/>
      <c r="C22" s="1958" t="s">
        <v>3402</v>
      </c>
      <c r="D22" s="399"/>
      <c r="E22" s="1958" t="s">
        <v>3402</v>
      </c>
      <c r="F22" s="399"/>
      <c r="G22" s="1958" t="s">
        <v>3402</v>
      </c>
      <c r="H22" s="399"/>
      <c r="I22" s="1958" t="s">
        <v>3402</v>
      </c>
      <c r="J22" s="399"/>
      <c r="K22" s="1124"/>
      <c r="L22" s="2716"/>
      <c r="M22" s="2710"/>
      <c r="N22" s="2710"/>
      <c r="O22" s="2710"/>
      <c r="P22" s="3705"/>
      <c r="Q22" s="1346"/>
      <c r="R22" s="703"/>
      <c r="S22" s="704"/>
      <c r="T22" s="703"/>
      <c r="U22" s="704"/>
      <c r="V22" s="703"/>
      <c r="W22" s="704"/>
      <c r="X22" s="1349"/>
      <c r="Y22" s="3698"/>
      <c r="Z22" s="1350"/>
      <c r="AA22" s="1347">
        <v>1</v>
      </c>
      <c r="AB22" s="1347">
        <v>1</v>
      </c>
      <c r="AC22" s="1956">
        <v>1</v>
      </c>
    </row>
    <row r="23" spans="1:29" ht="42.75">
      <c r="A23" s="379"/>
      <c r="B23" s="579" t="s">
        <v>1814</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5"/>
      <c r="Q23" s="1346" t="str">
        <f>B23</f>
        <v>环境质量</v>
      </c>
      <c r="R23" s="703" t="s">
        <v>14</v>
      </c>
      <c r="S23" s="704">
        <f>F23</f>
        <v>100</v>
      </c>
      <c r="T23" s="703" t="s">
        <v>14</v>
      </c>
      <c r="U23" s="704">
        <f>H23</f>
        <v>100</v>
      </c>
      <c r="V23" s="703" t="s">
        <v>14</v>
      </c>
      <c r="W23" s="704">
        <f>J23</f>
        <v>100</v>
      </c>
      <c r="X23" s="1349"/>
      <c r="Y23" s="3698"/>
      <c r="Z23" s="1350" t="str">
        <f>Q23</f>
        <v>环境质量</v>
      </c>
      <c r="AA23" s="1347">
        <f t="shared" si="3"/>
        <v>1</v>
      </c>
      <c r="AB23" s="1347">
        <f t="shared" si="4"/>
        <v>1</v>
      </c>
      <c r="AC23" s="1956">
        <f t="shared" si="5"/>
        <v>1</v>
      </c>
    </row>
    <row r="24" spans="1:29" ht="15">
      <c r="A24" s="379"/>
      <c r="B24" s="581"/>
      <c r="C24" s="1898" t="s">
        <v>3401</v>
      </c>
      <c r="D24" s="399"/>
      <c r="E24" s="1898" t="s">
        <v>3401</v>
      </c>
      <c r="F24" s="399"/>
      <c r="G24" s="1898" t="s">
        <v>3401</v>
      </c>
      <c r="H24" s="399"/>
      <c r="I24" s="1898" t="s">
        <v>3401</v>
      </c>
      <c r="J24" s="399"/>
      <c r="K24" s="564"/>
      <c r="L24" s="2716"/>
      <c r="M24" s="2710"/>
      <c r="N24" s="2710"/>
      <c r="O24" s="2710"/>
      <c r="P24" s="3705"/>
      <c r="Q24" s="1346"/>
      <c r="R24" s="703"/>
      <c r="S24" s="704"/>
      <c r="T24" s="703"/>
      <c r="U24" s="704"/>
      <c r="V24" s="703"/>
      <c r="W24" s="704"/>
      <c r="X24" s="1349"/>
      <c r="Y24" s="3698"/>
      <c r="Z24" s="1350"/>
      <c r="AA24" s="1347">
        <v>1</v>
      </c>
      <c r="AB24" s="1347">
        <v>1</v>
      </c>
      <c r="AC24" s="1956">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16"/>
      <c r="M25" s="2710"/>
      <c r="N25" s="2710"/>
      <c r="O25" s="2710"/>
      <c r="P25" s="3705"/>
      <c r="Q25" s="1346" t="str">
        <f>B25</f>
        <v>毗邻道路的类型与等级</v>
      </c>
      <c r="R25" s="703" t="s">
        <v>14</v>
      </c>
      <c r="S25" s="704">
        <f>F25</f>
        <v>100</v>
      </c>
      <c r="T25" s="703" t="s">
        <v>14</v>
      </c>
      <c r="U25" s="704">
        <f>H25</f>
        <v>100</v>
      </c>
      <c r="V25" s="703" t="s">
        <v>14</v>
      </c>
      <c r="W25" s="704">
        <f>J25</f>
        <v>100</v>
      </c>
      <c r="X25" s="1349"/>
      <c r="Y25" s="3698"/>
      <c r="Z25" s="1350" t="str">
        <f>Q25</f>
        <v>毗邻道路的类型与等级</v>
      </c>
      <c r="AA25" s="1347">
        <f t="shared" si="3"/>
        <v>1</v>
      </c>
      <c r="AB25" s="1347">
        <f t="shared" si="4"/>
        <v>1</v>
      </c>
      <c r="AC25" s="1956">
        <f t="shared" si="5"/>
        <v>1</v>
      </c>
    </row>
    <row r="26" spans="1:29" ht="15">
      <c r="A26" s="358"/>
      <c r="B26" s="580"/>
      <c r="C26" s="582" t="s">
        <v>3414</v>
      </c>
      <c r="D26" s="386"/>
      <c r="E26" s="582" t="s">
        <v>3414</v>
      </c>
      <c r="F26" s="386"/>
      <c r="G26" s="582" t="s">
        <v>3414</v>
      </c>
      <c r="H26" s="386"/>
      <c r="I26" s="582" t="s">
        <v>3414</v>
      </c>
      <c r="J26" s="386"/>
      <c r="K26" s="564"/>
      <c r="L26" s="2716"/>
      <c r="M26" s="2710"/>
      <c r="N26" s="2710"/>
      <c r="O26" s="2710"/>
      <c r="P26" s="3705"/>
      <c r="Q26" s="1346"/>
      <c r="R26" s="703"/>
      <c r="S26" s="704"/>
      <c r="T26" s="703"/>
      <c r="U26" s="704"/>
      <c r="V26" s="703"/>
      <c r="W26" s="704"/>
      <c r="X26" s="1349"/>
      <c r="Y26" s="3698"/>
      <c r="Z26" s="1350"/>
      <c r="AA26" s="1347">
        <v>1</v>
      </c>
      <c r="AB26" s="1347">
        <v>1</v>
      </c>
      <c r="AC26" s="1956">
        <v>1</v>
      </c>
    </row>
    <row r="27" spans="1:29" ht="15">
      <c r="A27" s="379"/>
      <c r="B27" s="580" t="s">
        <v>1783</v>
      </c>
      <c r="C27" s="582" t="s">
        <v>3416</v>
      </c>
      <c r="D27" s="386">
        <v>100</v>
      </c>
      <c r="E27" s="565" t="s">
        <v>3418</v>
      </c>
      <c r="F27" s="386">
        <f>SUMIF(89:89,E27,90:90)-SUMIF(89:89,C27,90:90)+100</f>
        <v>97</v>
      </c>
      <c r="G27" s="565" t="s">
        <v>3418</v>
      </c>
      <c r="H27" s="386">
        <f>SUMIF(89:89,G27,90:90)-SUMIF(89:89,C27,90:90)+100</f>
        <v>97</v>
      </c>
      <c r="I27" s="565" t="s">
        <v>3420</v>
      </c>
      <c r="J27" s="386">
        <f>SUMIF(89:89,I27,90:90)-SUMIF(89:89,C27,90:90)+100</f>
        <v>94</v>
      </c>
      <c r="K27" s="561">
        <v>3</v>
      </c>
      <c r="L27" s="2716"/>
      <c r="M27" s="2710"/>
      <c r="N27" s="2710"/>
      <c r="O27" s="2710"/>
      <c r="P27" s="3705"/>
      <c r="Q27" s="1346" t="str">
        <f t="shared" ref="Q27:Q47" si="11">B27</f>
        <v>楼层</v>
      </c>
      <c r="R27" s="703" t="s">
        <v>14</v>
      </c>
      <c r="S27" s="704">
        <f>F27</f>
        <v>97</v>
      </c>
      <c r="T27" s="703" t="s">
        <v>14</v>
      </c>
      <c r="U27" s="704">
        <f>H27</f>
        <v>97</v>
      </c>
      <c r="V27" s="703" t="s">
        <v>14</v>
      </c>
      <c r="W27" s="704">
        <f>J27</f>
        <v>94</v>
      </c>
      <c r="X27" s="1349"/>
      <c r="Y27" s="3698"/>
      <c r="Z27" s="1350" t="str">
        <f>Q27</f>
        <v>楼层</v>
      </c>
      <c r="AA27" s="1347">
        <f t="shared" si="3"/>
        <v>1.0309278350515463</v>
      </c>
      <c r="AB27" s="1347">
        <f t="shared" si="4"/>
        <v>1.0309278350515463</v>
      </c>
      <c r="AC27" s="1956">
        <f t="shared" si="5"/>
        <v>1.0638297872340425</v>
      </c>
    </row>
    <row r="28" spans="1:29" s="108" customFormat="1" ht="15">
      <c r="A28" s="382"/>
      <c r="B28" s="579"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05"/>
      <c r="Q28" s="1337" t="str">
        <f t="shared" si="11"/>
        <v>朝向</v>
      </c>
      <c r="R28" s="699" t="s">
        <v>14</v>
      </c>
      <c r="S28" s="700">
        <f>F28</f>
        <v>100</v>
      </c>
      <c r="T28" s="699" t="s">
        <v>14</v>
      </c>
      <c r="U28" s="700">
        <f>H28</f>
        <v>100</v>
      </c>
      <c r="V28" s="699" t="s">
        <v>14</v>
      </c>
      <c r="W28" s="700">
        <f>J28</f>
        <v>100</v>
      </c>
      <c r="X28" s="701"/>
      <c r="Y28" s="3698"/>
      <c r="Z28" s="52" t="str">
        <f>Q28</f>
        <v>朝向</v>
      </c>
      <c r="AA28" s="1347">
        <f>D28/F28</f>
        <v>1</v>
      </c>
      <c r="AB28" s="1347">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05"/>
      <c r="Q29" s="1346">
        <f t="shared" si="11"/>
        <v>111</v>
      </c>
      <c r="R29" s="703" t="s">
        <v>14</v>
      </c>
      <c r="S29" s="704">
        <f t="shared" ref="S29:S47" si="12">F29</f>
        <v>100</v>
      </c>
      <c r="T29" s="703" t="s">
        <v>14</v>
      </c>
      <c r="U29" s="704">
        <f t="shared" ref="U29:U47" si="13">H29</f>
        <v>100</v>
      </c>
      <c r="V29" s="703" t="s">
        <v>14</v>
      </c>
      <c r="W29" s="704">
        <f t="shared" ref="W29:W47" si="14">J29</f>
        <v>100</v>
      </c>
      <c r="X29" s="1349"/>
      <c r="Y29" s="3698"/>
      <c r="Z29" s="1350">
        <f t="shared" ref="Z29:Z47" si="15">Q29</f>
        <v>111</v>
      </c>
      <c r="AA29" s="1347">
        <f t="shared" si="3"/>
        <v>1</v>
      </c>
      <c r="AB29" s="1347">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05"/>
      <c r="Q30" s="1346">
        <f t="shared" si="11"/>
        <v>111</v>
      </c>
      <c r="R30" s="703" t="s">
        <v>14</v>
      </c>
      <c r="S30" s="704">
        <f t="shared" si="12"/>
        <v>100</v>
      </c>
      <c r="T30" s="703" t="s">
        <v>14</v>
      </c>
      <c r="U30" s="704">
        <f t="shared" si="13"/>
        <v>100</v>
      </c>
      <c r="V30" s="703" t="s">
        <v>14</v>
      </c>
      <c r="W30" s="704">
        <f t="shared" si="14"/>
        <v>100</v>
      </c>
      <c r="X30" s="1349"/>
      <c r="Y30" s="3698"/>
      <c r="Z30" s="1350">
        <f t="shared" si="15"/>
        <v>111</v>
      </c>
      <c r="AA30" s="1347">
        <f t="shared" si="3"/>
        <v>1</v>
      </c>
      <c r="AB30" s="1347">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05"/>
      <c r="Q31" s="1346">
        <f t="shared" si="11"/>
        <v>111</v>
      </c>
      <c r="R31" s="703" t="s">
        <v>14</v>
      </c>
      <c r="S31" s="704">
        <f t="shared" si="12"/>
        <v>100</v>
      </c>
      <c r="T31" s="703" t="s">
        <v>14</v>
      </c>
      <c r="U31" s="704">
        <f t="shared" si="13"/>
        <v>100</v>
      </c>
      <c r="V31" s="703" t="s">
        <v>14</v>
      </c>
      <c r="W31" s="704">
        <f t="shared" si="14"/>
        <v>100</v>
      </c>
      <c r="X31" s="1349"/>
      <c r="Y31" s="3698"/>
      <c r="Z31" s="1350">
        <f t="shared" si="15"/>
        <v>111</v>
      </c>
      <c r="AA31" s="1347">
        <f t="shared" si="3"/>
        <v>1</v>
      </c>
      <c r="AB31" s="1347">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05"/>
      <c r="Q32" s="1346">
        <f t="shared" si="11"/>
        <v>111</v>
      </c>
      <c r="R32" s="703" t="s">
        <v>14</v>
      </c>
      <c r="S32" s="704">
        <f t="shared" si="12"/>
        <v>100</v>
      </c>
      <c r="T32" s="703" t="s">
        <v>14</v>
      </c>
      <c r="U32" s="704">
        <f t="shared" si="13"/>
        <v>100</v>
      </c>
      <c r="V32" s="703" t="s">
        <v>14</v>
      </c>
      <c r="W32" s="704">
        <f t="shared" si="14"/>
        <v>100</v>
      </c>
      <c r="X32" s="1349"/>
      <c r="Y32" s="3698"/>
      <c r="Z32" s="1350">
        <f t="shared" si="15"/>
        <v>111</v>
      </c>
      <c r="AA32" s="1347">
        <f t="shared" si="3"/>
        <v>1</v>
      </c>
      <c r="AB32" s="1347">
        <f t="shared" si="4"/>
        <v>1</v>
      </c>
      <c r="AC32" s="1956">
        <f t="shared" si="5"/>
        <v>1</v>
      </c>
    </row>
    <row r="33" spans="1:29" ht="15">
      <c r="A33" s="391" t="s">
        <v>1694</v>
      </c>
      <c r="B33" s="63" t="s">
        <v>1817</v>
      </c>
      <c r="C33" s="1961" t="s">
        <v>3422</v>
      </c>
      <c r="D33" s="418">
        <v>100</v>
      </c>
      <c r="E33" s="1961" t="s">
        <v>3422</v>
      </c>
      <c r="F33" s="412">
        <f>SUMIF(101:101,E33,102:102)-SUMIF(101:101,C33,102:102)+100</f>
        <v>100</v>
      </c>
      <c r="G33" s="1961" t="s">
        <v>3422</v>
      </c>
      <c r="H33" s="386">
        <f>SUMIF(101:101,G33,102:102)-SUMIF(101:101,C33,102:102)+100</f>
        <v>100</v>
      </c>
      <c r="I33" s="1961" t="s">
        <v>3422</v>
      </c>
      <c r="J33" s="418">
        <f>SUMIF(101:101,I33,102:102)-SUMIF(101:101,C33,102:102)+100</f>
        <v>100</v>
      </c>
      <c r="K33" s="561"/>
      <c r="L33" s="2716"/>
      <c r="M33" s="2710"/>
      <c r="N33" s="2710"/>
      <c r="O33" s="2710"/>
      <c r="P33" s="3699" t="s">
        <v>1696</v>
      </c>
      <c r="Q33" s="1346" t="str">
        <f t="shared" si="11"/>
        <v>建筑类型</v>
      </c>
      <c r="R33" s="703" t="s">
        <v>14</v>
      </c>
      <c r="S33" s="704">
        <f t="shared" si="12"/>
        <v>100</v>
      </c>
      <c r="T33" s="703" t="s">
        <v>14</v>
      </c>
      <c r="U33" s="704">
        <f t="shared" si="13"/>
        <v>100</v>
      </c>
      <c r="V33" s="703" t="s">
        <v>14</v>
      </c>
      <c r="W33" s="704">
        <f t="shared" si="14"/>
        <v>100</v>
      </c>
      <c r="X33" s="1349"/>
      <c r="Y33" s="3702" t="s">
        <v>1696</v>
      </c>
      <c r="Z33" s="1350" t="str">
        <f t="shared" si="15"/>
        <v>建筑类型</v>
      </c>
      <c r="AA33" s="1347">
        <f t="shared" si="3"/>
        <v>1</v>
      </c>
      <c r="AB33" s="1347">
        <f t="shared" si="4"/>
        <v>1</v>
      </c>
      <c r="AC33" s="1956">
        <f t="shared" si="5"/>
        <v>1</v>
      </c>
    </row>
    <row r="34" spans="1:29" s="422" customFormat="1" ht="15">
      <c r="A34" s="419"/>
      <c r="B34" s="375" t="s">
        <v>1697</v>
      </c>
      <c r="C34" s="420">
        <f>典型户型修正!B27</f>
        <v>184.82</v>
      </c>
      <c r="D34" s="127">
        <v>100</v>
      </c>
      <c r="E34" s="420">
        <v>132.41999999999999</v>
      </c>
      <c r="F34" s="376">
        <f>LOOKUP(E34,104:104,105:105)-LOOKUP(C34,104:104,105:105)+100</f>
        <v>100</v>
      </c>
      <c r="G34" s="420">
        <v>127.09</v>
      </c>
      <c r="H34" s="127">
        <f>LOOKUP(G34,104:104,105:105)-LOOKUP(C34,104:104,105:105)+100</f>
        <v>100</v>
      </c>
      <c r="I34" s="420">
        <f>'比较法-办公-1805'!I34</f>
        <v>707.83</v>
      </c>
      <c r="J34" s="127">
        <f>LOOKUP(I34,104:104,105:105)-LOOKUP(C34,104:104,105:105)+100</f>
        <v>100</v>
      </c>
      <c r="K34" s="562"/>
      <c r="L34" s="2715"/>
      <c r="M34" s="2717"/>
      <c r="N34" s="2717"/>
      <c r="O34" s="2717"/>
      <c r="P34" s="3700"/>
      <c r="Q34" s="705" t="str">
        <f t="shared" si="11"/>
        <v>项目建筑规模</v>
      </c>
      <c r="R34" s="706" t="s">
        <v>14</v>
      </c>
      <c r="S34" s="707">
        <f t="shared" si="12"/>
        <v>100</v>
      </c>
      <c r="T34" s="706" t="s">
        <v>14</v>
      </c>
      <c r="U34" s="707">
        <f t="shared" si="13"/>
        <v>100</v>
      </c>
      <c r="V34" s="706" t="s">
        <v>14</v>
      </c>
      <c r="W34" s="707">
        <f t="shared" si="14"/>
        <v>100</v>
      </c>
      <c r="X34" s="708"/>
      <c r="Y34" s="3702"/>
      <c r="Z34" s="709" t="str">
        <f t="shared" si="15"/>
        <v>项目建筑规模</v>
      </c>
      <c r="AA34" s="1347">
        <f t="shared" si="3"/>
        <v>1</v>
      </c>
      <c r="AB34" s="1347">
        <f t="shared" si="4"/>
        <v>1</v>
      </c>
      <c r="AC34" s="1956">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700"/>
      <c r="Q35" s="1346" t="str">
        <f t="shared" si="11"/>
        <v>建筑结构</v>
      </c>
      <c r="R35" s="703" t="s">
        <v>14</v>
      </c>
      <c r="S35" s="704">
        <f t="shared" si="12"/>
        <v>100</v>
      </c>
      <c r="T35" s="703" t="s">
        <v>14</v>
      </c>
      <c r="U35" s="704">
        <f t="shared" si="13"/>
        <v>100</v>
      </c>
      <c r="V35" s="703" t="s">
        <v>14</v>
      </c>
      <c r="W35" s="704">
        <f t="shared" si="14"/>
        <v>100</v>
      </c>
      <c r="X35" s="1349"/>
      <c r="Y35" s="3702"/>
      <c r="Z35" s="1350" t="str">
        <f t="shared" si="15"/>
        <v>建筑结构</v>
      </c>
      <c r="AA35" s="1347">
        <f t="shared" si="3"/>
        <v>1</v>
      </c>
      <c r="AB35" s="1347">
        <f t="shared" si="4"/>
        <v>1</v>
      </c>
      <c r="AC35" s="1956">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2</v>
      </c>
      <c r="L36" s="2716"/>
      <c r="M36" s="2710"/>
      <c r="N36" s="2710"/>
      <c r="O36" s="2710"/>
      <c r="P36" s="3700"/>
      <c r="Q36" s="1346" t="str">
        <f t="shared" si="11"/>
        <v>公共部分装修</v>
      </c>
      <c r="R36" s="703" t="s">
        <v>14</v>
      </c>
      <c r="S36" s="704">
        <f t="shared" si="12"/>
        <v>100</v>
      </c>
      <c r="T36" s="703" t="s">
        <v>14</v>
      </c>
      <c r="U36" s="704">
        <f t="shared" si="13"/>
        <v>100</v>
      </c>
      <c r="V36" s="703" t="s">
        <v>14</v>
      </c>
      <c r="W36" s="704">
        <f t="shared" si="14"/>
        <v>100</v>
      </c>
      <c r="X36" s="1349"/>
      <c r="Y36" s="3702"/>
      <c r="Z36" s="1350" t="str">
        <f t="shared" si="15"/>
        <v>公共部分装修</v>
      </c>
      <c r="AA36" s="1347">
        <f t="shared" si="3"/>
        <v>1</v>
      </c>
      <c r="AB36" s="1347">
        <f t="shared" si="4"/>
        <v>1</v>
      </c>
      <c r="AC36" s="1956">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0.98</v>
      </c>
      <c r="J37" s="386">
        <f>LOOKUP(I37,111:111,112:112)-LOOKUP(C37,111:111,112:112)+100</f>
        <v>101</v>
      </c>
      <c r="K37" s="561">
        <v>1</v>
      </c>
      <c r="L37" s="2716"/>
      <c r="M37" s="2710"/>
      <c r="N37" s="2710"/>
      <c r="O37" s="2710"/>
      <c r="P37" s="3700"/>
      <c r="Q37" s="1346" t="str">
        <f t="shared" si="11"/>
        <v>成新度</v>
      </c>
      <c r="R37" s="703" t="s">
        <v>14</v>
      </c>
      <c r="S37" s="704">
        <f t="shared" si="12"/>
        <v>100</v>
      </c>
      <c r="T37" s="703" t="s">
        <v>14</v>
      </c>
      <c r="U37" s="704">
        <f t="shared" si="13"/>
        <v>100</v>
      </c>
      <c r="V37" s="703" t="s">
        <v>14</v>
      </c>
      <c r="W37" s="704">
        <f t="shared" si="14"/>
        <v>101</v>
      </c>
      <c r="X37" s="1349"/>
      <c r="Y37" s="3702"/>
      <c r="Z37" s="1350" t="str">
        <f t="shared" si="15"/>
        <v>成新度</v>
      </c>
      <c r="AA37" s="1347">
        <f t="shared" si="3"/>
        <v>1</v>
      </c>
      <c r="AB37" s="1347">
        <f t="shared" si="4"/>
        <v>1</v>
      </c>
      <c r="AC37" s="1956">
        <f t="shared" si="5"/>
        <v>0.99009900990099009</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2</v>
      </c>
      <c r="L38" s="2711"/>
      <c r="M38" s="2712"/>
      <c r="N38" s="2712"/>
      <c r="O38" s="2712"/>
      <c r="P38" s="3700"/>
      <c r="Q38" s="1337" t="str">
        <f t="shared" si="11"/>
        <v>写字楼等级</v>
      </c>
      <c r="R38" s="699" t="s">
        <v>14</v>
      </c>
      <c r="S38" s="700">
        <f t="shared" si="12"/>
        <v>100</v>
      </c>
      <c r="T38" s="699" t="s">
        <v>14</v>
      </c>
      <c r="U38" s="700">
        <f t="shared" si="13"/>
        <v>100</v>
      </c>
      <c r="V38" s="699" t="s">
        <v>14</v>
      </c>
      <c r="W38" s="700">
        <f t="shared" si="14"/>
        <v>100</v>
      </c>
      <c r="X38" s="701"/>
      <c r="Y38" s="3702"/>
      <c r="Z38" s="52" t="str">
        <f t="shared" si="15"/>
        <v>写字楼等级</v>
      </c>
      <c r="AA38" s="702">
        <f t="shared" si="3"/>
        <v>1</v>
      </c>
      <c r="AB38" s="702">
        <f t="shared" si="4"/>
        <v>1</v>
      </c>
      <c r="AC38" s="1953">
        <f t="shared" si="5"/>
        <v>1</v>
      </c>
    </row>
    <row r="39" spans="1:29" ht="15">
      <c r="A39" s="423"/>
      <c r="B39" s="375" t="s">
        <v>1819</v>
      </c>
      <c r="C39" s="411" t="s">
        <v>3429</v>
      </c>
      <c r="D39" s="386">
        <v>100</v>
      </c>
      <c r="E39" s="411" t="s">
        <v>3429</v>
      </c>
      <c r="F39" s="412">
        <f>SUMIF(115:115,E39,116:116)-SUMIF(115:115,C39,116:116)+100</f>
        <v>100</v>
      </c>
      <c r="G39" s="411" t="s">
        <v>3429</v>
      </c>
      <c r="H39" s="386">
        <f>SUMIF(115:115,G39,116:116)-SUMIF(115:115,C39,116:116)+100</f>
        <v>100</v>
      </c>
      <c r="I39" s="411" t="s">
        <v>3429</v>
      </c>
      <c r="J39" s="386">
        <f>SUMIF(115:115,I39,116:116)-SUMIF(115:115,C39,116:116)+100</f>
        <v>100</v>
      </c>
      <c r="K39" s="561">
        <v>2</v>
      </c>
      <c r="L39" s="2716"/>
      <c r="M39" s="2710"/>
      <c r="N39" s="2710"/>
      <c r="O39" s="2710"/>
      <c r="P39" s="3700" t="s">
        <v>1696</v>
      </c>
      <c r="Q39" s="1346" t="str">
        <f t="shared" si="11"/>
        <v>物业管理</v>
      </c>
      <c r="R39" s="703" t="s">
        <v>14</v>
      </c>
      <c r="S39" s="704">
        <f t="shared" si="12"/>
        <v>100</v>
      </c>
      <c r="T39" s="703" t="s">
        <v>14</v>
      </c>
      <c r="U39" s="704">
        <f t="shared" si="13"/>
        <v>100</v>
      </c>
      <c r="V39" s="703" t="s">
        <v>14</v>
      </c>
      <c r="W39" s="704">
        <f t="shared" si="14"/>
        <v>100</v>
      </c>
      <c r="X39" s="1349"/>
      <c r="Y39" s="3702" t="s">
        <v>1696</v>
      </c>
      <c r="Z39" s="1350" t="str">
        <f t="shared" si="15"/>
        <v>物业管理</v>
      </c>
      <c r="AA39" s="1347">
        <f t="shared" si="3"/>
        <v>1</v>
      </c>
      <c r="AB39" s="1347">
        <f t="shared" si="4"/>
        <v>1</v>
      </c>
      <c r="AC39" s="1956">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0"/>
      <c r="Q40" s="1346" t="str">
        <f t="shared" si="11"/>
        <v>市政基础设施</v>
      </c>
      <c r="R40" s="703" t="s">
        <v>14</v>
      </c>
      <c r="S40" s="704">
        <f t="shared" si="12"/>
        <v>100</v>
      </c>
      <c r="T40" s="703" t="s">
        <v>14</v>
      </c>
      <c r="U40" s="704">
        <f t="shared" si="13"/>
        <v>100</v>
      </c>
      <c r="V40" s="703" t="s">
        <v>14</v>
      </c>
      <c r="W40" s="704">
        <f t="shared" si="14"/>
        <v>100</v>
      </c>
      <c r="X40" s="1349"/>
      <c r="Y40" s="3702"/>
      <c r="Z40" s="1350" t="str">
        <f t="shared" si="15"/>
        <v>市政基础设施</v>
      </c>
      <c r="AA40" s="1347">
        <f t="shared" si="3"/>
        <v>1</v>
      </c>
      <c r="AB40" s="1347">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0"/>
      <c r="Q41" s="1346" t="str">
        <f t="shared" si="11"/>
        <v>层高</v>
      </c>
      <c r="R41" s="703" t="s">
        <v>14</v>
      </c>
      <c r="S41" s="704">
        <f t="shared" si="12"/>
        <v>100</v>
      </c>
      <c r="T41" s="703" t="s">
        <v>14</v>
      </c>
      <c r="U41" s="704">
        <f t="shared" si="13"/>
        <v>100</v>
      </c>
      <c r="V41" s="703" t="s">
        <v>14</v>
      </c>
      <c r="W41" s="704">
        <f t="shared" si="14"/>
        <v>100</v>
      </c>
      <c r="X41" s="1349"/>
      <c r="Y41" s="3702"/>
      <c r="Z41" s="1350" t="str">
        <f t="shared" si="15"/>
        <v>层高</v>
      </c>
      <c r="AA41" s="1347">
        <f t="shared" si="3"/>
        <v>1</v>
      </c>
      <c r="AB41" s="1347">
        <f t="shared" si="4"/>
        <v>1</v>
      </c>
      <c r="AC41" s="1956">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0"/>
      <c r="Q42" s="705" t="str">
        <f t="shared" si="11"/>
        <v>单套建筑面积</v>
      </c>
      <c r="R42" s="706" t="s">
        <v>14</v>
      </c>
      <c r="S42" s="707">
        <f t="shared" si="12"/>
        <v>100</v>
      </c>
      <c r="T42" s="706" t="s">
        <v>14</v>
      </c>
      <c r="U42" s="707">
        <f t="shared" si="13"/>
        <v>100</v>
      </c>
      <c r="V42" s="706" t="s">
        <v>14</v>
      </c>
      <c r="W42" s="707">
        <f t="shared" si="14"/>
        <v>100</v>
      </c>
      <c r="X42" s="708"/>
      <c r="Y42" s="3702"/>
      <c r="Z42" s="709" t="str">
        <f t="shared" si="15"/>
        <v>单套建筑面积</v>
      </c>
      <c r="AA42" s="1347">
        <f t="shared" si="3"/>
        <v>1</v>
      </c>
      <c r="AB42" s="1347">
        <f t="shared" si="4"/>
        <v>1</v>
      </c>
      <c r="AC42" s="1956">
        <f t="shared" si="5"/>
        <v>1</v>
      </c>
    </row>
    <row r="43" spans="1:29" ht="15">
      <c r="A43" s="423"/>
      <c r="B43" s="375" t="s">
        <v>1792</v>
      </c>
      <c r="C43" s="411" t="s">
        <v>3425</v>
      </c>
      <c r="D43" s="386">
        <v>100</v>
      </c>
      <c r="E43" s="411" t="s">
        <v>3425</v>
      </c>
      <c r="F43" s="412">
        <f>SUMIF(123:123,E43,124:124)-SUMIF(123:123,C43,124:124)+100</f>
        <v>100</v>
      </c>
      <c r="G43" s="411" t="s">
        <v>3425</v>
      </c>
      <c r="H43" s="386">
        <f>SUMIF(123:123,G43,124:124)-SUMIF(123:123,C43,124:124)+100</f>
        <v>100</v>
      </c>
      <c r="I43" s="411" t="s">
        <v>3435</v>
      </c>
      <c r="J43" s="386">
        <f>SUMIF(123:123,I43,124:124)-SUMIF(123:123,C43,124:124)+100</f>
        <v>99</v>
      </c>
      <c r="K43" s="561">
        <v>1</v>
      </c>
      <c r="L43" s="2716"/>
      <c r="M43" s="2710"/>
      <c r="N43" s="2710"/>
      <c r="O43" s="2710"/>
      <c r="P43" s="3700"/>
      <c r="Q43" s="1346" t="str">
        <f t="shared" si="11"/>
        <v>内部装修</v>
      </c>
      <c r="R43" s="703" t="s">
        <v>14</v>
      </c>
      <c r="S43" s="704">
        <f t="shared" si="12"/>
        <v>100</v>
      </c>
      <c r="T43" s="703" t="s">
        <v>14</v>
      </c>
      <c r="U43" s="704">
        <f t="shared" si="13"/>
        <v>100</v>
      </c>
      <c r="V43" s="703" t="s">
        <v>14</v>
      </c>
      <c r="W43" s="704">
        <f t="shared" si="14"/>
        <v>99</v>
      </c>
      <c r="X43" s="1349"/>
      <c r="Y43" s="3702"/>
      <c r="Z43" s="1350" t="str">
        <f t="shared" si="15"/>
        <v>内部装修</v>
      </c>
      <c r="AA43" s="1347">
        <f t="shared" si="3"/>
        <v>1</v>
      </c>
      <c r="AB43" s="1347">
        <f t="shared" si="4"/>
        <v>1</v>
      </c>
      <c r="AC43" s="1956">
        <f t="shared" si="5"/>
        <v>1.0101010101010102</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16"/>
      <c r="M44" s="2710"/>
      <c r="N44" s="2710"/>
      <c r="O44" s="2710"/>
      <c r="P44" s="3700"/>
      <c r="Q44" s="1346" t="str">
        <f t="shared" si="11"/>
        <v>内部装修维护情况</v>
      </c>
      <c r="R44" s="703" t="s">
        <v>14</v>
      </c>
      <c r="S44" s="704">
        <f t="shared" si="12"/>
        <v>100</v>
      </c>
      <c r="T44" s="703" t="s">
        <v>14</v>
      </c>
      <c r="U44" s="704">
        <f t="shared" si="13"/>
        <v>100</v>
      </c>
      <c r="V44" s="703" t="s">
        <v>14</v>
      </c>
      <c r="W44" s="704">
        <f t="shared" si="14"/>
        <v>100</v>
      </c>
      <c r="X44" s="1349"/>
      <c r="Y44" s="3702"/>
      <c r="Z44" s="1350" t="str">
        <f t="shared" si="15"/>
        <v>内部装修维护情况</v>
      </c>
      <c r="AA44" s="1347">
        <f t="shared" si="3"/>
        <v>1</v>
      </c>
      <c r="AB44" s="1347">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0"/>
      <c r="Q45" s="1337">
        <f t="shared" si="11"/>
        <v>111</v>
      </c>
      <c r="R45" s="699" t="s">
        <v>14</v>
      </c>
      <c r="S45" s="700">
        <f t="shared" si="12"/>
        <v>100</v>
      </c>
      <c r="T45" s="699" t="s">
        <v>14</v>
      </c>
      <c r="U45" s="700">
        <f t="shared" si="13"/>
        <v>100</v>
      </c>
      <c r="V45" s="699" t="s">
        <v>14</v>
      </c>
      <c r="W45" s="700">
        <f t="shared" si="14"/>
        <v>100</v>
      </c>
      <c r="X45" s="701"/>
      <c r="Y45" s="3702"/>
      <c r="Z45" s="52">
        <f t="shared" si="15"/>
        <v>111</v>
      </c>
      <c r="AA45" s="702">
        <f t="shared" si="3"/>
        <v>1</v>
      </c>
      <c r="AB45" s="702">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0"/>
      <c r="Q46" s="1346">
        <f t="shared" si="11"/>
        <v>111</v>
      </c>
      <c r="R46" s="703" t="s">
        <v>14</v>
      </c>
      <c r="S46" s="704">
        <f t="shared" si="12"/>
        <v>100</v>
      </c>
      <c r="T46" s="703" t="s">
        <v>14</v>
      </c>
      <c r="U46" s="704">
        <f t="shared" si="13"/>
        <v>100</v>
      </c>
      <c r="V46" s="703" t="s">
        <v>14</v>
      </c>
      <c r="W46" s="704">
        <f t="shared" si="14"/>
        <v>100</v>
      </c>
      <c r="X46" s="1349"/>
      <c r="Y46" s="3702"/>
      <c r="Z46" s="1350">
        <f t="shared" si="15"/>
        <v>111</v>
      </c>
      <c r="AA46" s="1347">
        <f t="shared" si="3"/>
        <v>1</v>
      </c>
      <c r="AB46" s="1347">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1"/>
      <c r="Q47" s="1346">
        <f t="shared" si="11"/>
        <v>111</v>
      </c>
      <c r="R47" s="703" t="s">
        <v>14</v>
      </c>
      <c r="S47" s="704">
        <f t="shared" si="12"/>
        <v>100</v>
      </c>
      <c r="T47" s="703" t="s">
        <v>14</v>
      </c>
      <c r="U47" s="704">
        <f t="shared" si="13"/>
        <v>100</v>
      </c>
      <c r="V47" s="703" t="s">
        <v>14</v>
      </c>
      <c r="W47" s="704">
        <f t="shared" si="14"/>
        <v>100</v>
      </c>
      <c r="X47" s="1349"/>
      <c r="Y47" s="3703"/>
      <c r="Z47" s="1350">
        <f t="shared" si="15"/>
        <v>111</v>
      </c>
      <c r="AA47" s="1347">
        <f t="shared" si="3"/>
        <v>1</v>
      </c>
      <c r="AB47" s="1347">
        <f t="shared" si="4"/>
        <v>1</v>
      </c>
      <c r="AC47" s="1956">
        <f t="shared" si="5"/>
        <v>1</v>
      </c>
    </row>
    <row r="48" spans="1:29" ht="15">
      <c r="A48" s="430" t="s">
        <v>1708</v>
      </c>
      <c r="B48" s="431"/>
      <c r="C48" s="1148" t="s">
        <v>0</v>
      </c>
      <c r="D48" s="1149"/>
      <c r="E48" s="1150">
        <v>28772</v>
      </c>
      <c r="F48" s="1151"/>
      <c r="G48" s="1152">
        <v>28798</v>
      </c>
      <c r="H48" s="1153"/>
      <c r="I48" s="1150">
        <v>29993</v>
      </c>
      <c r="J48" s="436"/>
      <c r="K48" s="712"/>
      <c r="L48" s="2718"/>
      <c r="M48" s="2710"/>
      <c r="N48" s="2710"/>
      <c r="O48" s="2710"/>
      <c r="P48" s="3706" t="str">
        <f>A48</f>
        <v>成交单价（元/平方米）</v>
      </c>
      <c r="Q48" s="3695"/>
      <c r="R48" s="3696">
        <f>E48</f>
        <v>28772</v>
      </c>
      <c r="S48" s="3696"/>
      <c r="T48" s="3696">
        <f>G48</f>
        <v>28798</v>
      </c>
      <c r="U48" s="3696"/>
      <c r="V48" s="3696">
        <f>I48</f>
        <v>29993</v>
      </c>
      <c r="W48" s="3696"/>
      <c r="X48" s="397"/>
      <c r="Y48" s="710"/>
      <c r="Z48" s="397"/>
      <c r="AA48" s="397"/>
      <c r="AB48" s="397"/>
      <c r="AC48" s="578"/>
    </row>
    <row r="49" spans="1:29" ht="15.75" thickBot="1">
      <c r="A49" s="437" t="s">
        <v>1793</v>
      </c>
      <c r="B49" s="438"/>
      <c r="C49" s="1154">
        <f>R50</f>
        <v>29824</v>
      </c>
      <c r="D49" s="2311" t="s">
        <v>2137</v>
      </c>
      <c r="E49" s="1155">
        <f>R49</f>
        <v>29080</v>
      </c>
      <c r="F49" s="2312"/>
      <c r="G49" s="1154">
        <f>T49</f>
        <v>29107</v>
      </c>
      <c r="H49" s="2312"/>
      <c r="I49" s="1155">
        <f>V49</f>
        <v>31285</v>
      </c>
      <c r="J49" s="2312"/>
      <c r="K49" s="2314">
        <f>F49+H49+J49</f>
        <v>0</v>
      </c>
      <c r="L49" s="2718"/>
      <c r="M49" s="2710"/>
      <c r="N49" s="2710"/>
      <c r="O49" s="2710"/>
      <c r="P49" s="3706" t="str">
        <f>A49</f>
        <v>比较价值（元/平方米）</v>
      </c>
      <c r="Q49" s="3695"/>
      <c r="R49" s="3696">
        <f>IF(F1="售价",ROUND(PRODUCT(R48,AA7:AA47),0),ROUND(PRODUCT(R48,AA7:AA47),1))</f>
        <v>29080</v>
      </c>
      <c r="S49" s="3696"/>
      <c r="T49" s="3696">
        <f>IF(F1="售价",ROUND(PRODUCT(T48,AB7:AB47),0),ROUND(PRODUCT(T48,AB7:AB47),1))</f>
        <v>29107</v>
      </c>
      <c r="U49" s="3696"/>
      <c r="V49" s="3696">
        <f>IF(F1="售价",ROUND(PRODUCT(V48,AC7:AC47),0),ROUND(PRODUCT(V48,AC7:AC47),1))</f>
        <v>31285</v>
      </c>
      <c r="W49" s="3696"/>
      <c r="X49" s="397"/>
      <c r="Y49" s="397"/>
      <c r="Z49" s="397"/>
      <c r="AA49" s="397"/>
      <c r="AB49" s="397"/>
      <c r="AC49" s="578"/>
    </row>
    <row r="50" spans="1:29" ht="15.75" thickBot="1">
      <c r="A50" s="441" t="s">
        <v>1794</v>
      </c>
      <c r="B50" s="442"/>
      <c r="C50" s="1157">
        <f>R50</f>
        <v>29824</v>
      </c>
      <c r="D50" s="1157"/>
      <c r="E50" s="1157"/>
      <c r="F50" s="1157"/>
      <c r="G50" s="1157"/>
      <c r="H50" s="1157"/>
      <c r="I50" s="1157"/>
      <c r="J50" s="443"/>
      <c r="K50" s="713"/>
      <c r="L50" s="2718"/>
      <c r="M50" s="2710"/>
      <c r="N50" s="2710"/>
      <c r="O50" s="2710"/>
      <c r="P50" s="3752" t="str">
        <f>A50</f>
        <v>估价对象XX用房的比较价值（楼面单价，元/平方米）</v>
      </c>
      <c r="Q50" s="3753"/>
      <c r="R50" s="3754">
        <f>IF(F1="售价",ROUND(IF(D49="简单平均",AVERAGE(R49:V49),R49*F49+T49*H49+V49*J49),0),ROUND(IF(D49="简单平均",AVERAGE(R49:V49),R49*F49+T49*H49+V49*J49),1))</f>
        <v>29824</v>
      </c>
      <c r="S50" s="3754"/>
      <c r="T50" s="3754"/>
      <c r="U50" s="3754"/>
      <c r="V50" s="3754"/>
      <c r="W50" s="375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1.0704851939385529E-2</v>
      </c>
      <c r="F53" s="449" t="str">
        <f>IF(OR(E53&gt;=0.3,E53&lt;=-0.3),"超过30%","")</f>
        <v/>
      </c>
      <c r="G53" s="448">
        <f>IF(G48&lt;G49,G49/G48-1,G48/G49-1)</f>
        <v>1.0729911799430614E-2</v>
      </c>
      <c r="H53" s="449" t="str">
        <f>IF(OR(G53&gt;=0.3,G53&lt;=-0.3),"超过30%","")</f>
        <v/>
      </c>
      <c r="I53" s="448">
        <f>IF(I48&lt;I49,I49/I48-1,I48/I49-1)</f>
        <v>4.3076717900843553E-2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9.2847317744149116E-4</v>
      </c>
      <c r="F54" s="449" t="str">
        <f>IF(OR(E54&gt;=0.2,E54&lt;=-0.2),"超过20%","")</f>
        <v/>
      </c>
      <c r="G54" s="448">
        <f>IF(G49&lt;I49,I49/G49-1,G49/I49-1)</f>
        <v>7.4827361115882729E-2</v>
      </c>
      <c r="H54" s="449" t="str">
        <f>IF(OR(G54&gt;=0.2,G54&lt;=-0.2),"超过20%","")</f>
        <v/>
      </c>
      <c r="I54" s="448">
        <f>IF(I49&lt;E49,E49/I49-1,I49/E49-1)</f>
        <v>7.5825309491059256E-2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9.0365633254552158E-4</v>
      </c>
      <c r="F55" s="449" t="str">
        <f>IF(OR(E55&gt;=0.3,E55&lt;=-0.3),"超过30%","")</f>
        <v/>
      </c>
      <c r="G55" s="448">
        <f>IF(G48&lt;I48,I48/G48-1,G48/I48-1)</f>
        <v>4.1495937217862267E-2</v>
      </c>
      <c r="H55" s="449" t="str">
        <f>IF(OR(G55&gt;=0.3,G55&lt;=-0.3),"超过30%","")</f>
        <v/>
      </c>
      <c r="I55" s="448">
        <f>IF(I48&lt;E48,E48/I48-1,I48/E48-1)</f>
        <v>4.243709161684972E-2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36"/>
      <c r="M58" s="934"/>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77">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43" t="s">
        <v>3409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3"/>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77" t="s">
        <v>3410</v>
      </c>
      <c r="D87" s="3477" t="s">
        <v>3411</v>
      </c>
      <c r="E87" s="3477" t="s">
        <v>3412</v>
      </c>
      <c r="F87" s="3477" t="s">
        <v>3413</v>
      </c>
      <c r="G87" s="3477" t="s">
        <v>3415</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77" t="s">
        <v>3417</v>
      </c>
      <c r="D89" s="3477" t="s">
        <v>3419</v>
      </c>
      <c r="E89" s="3477" t="s">
        <v>3421</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78" t="s">
        <v>3423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1100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100</v>
      </c>
      <c r="E105" s="485">
        <v>98</v>
      </c>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77" t="s">
        <v>3424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77" t="s">
        <v>3426</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77" t="s">
        <v>3428</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77" t="s">
        <v>3430</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
        <v>3402</v>
      </c>
      <c r="D117" s="503" t="s">
        <v>3431</v>
      </c>
      <c r="E117" s="503" t="s">
        <v>3432</v>
      </c>
      <c r="F117" s="503" t="s">
        <v>3433</v>
      </c>
      <c r="G117" s="503" t="s">
        <v>3434</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77" t="s">
        <v>3426</v>
      </c>
      <c r="D123" s="3477" t="s">
        <v>3436</v>
      </c>
      <c r="E123" s="3477" t="s">
        <v>3437</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51" t="s">
        <v>1826</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687.62999999999988</v>
      </c>
      <c r="E3" s="902"/>
      <c r="F3" s="903"/>
      <c r="G3" s="902"/>
      <c r="H3" s="902"/>
      <c r="I3" s="902"/>
      <c r="J3" s="902"/>
      <c r="K3" s="904"/>
      <c r="L3" s="905"/>
      <c r="M3" s="906"/>
      <c r="N3" s="906"/>
      <c r="O3" s="906"/>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907"/>
      <c r="M4" s="908"/>
      <c r="N4" s="908"/>
      <c r="O4" s="908"/>
      <c r="P4" s="3714" t="s">
        <v>1775</v>
      </c>
      <c r="Q4" s="3715"/>
      <c r="R4" s="3720" t="s">
        <v>1771</v>
      </c>
      <c r="S4" s="3721"/>
      <c r="T4" s="3720" t="s">
        <v>1772</v>
      </c>
      <c r="U4" s="3721"/>
      <c r="V4" s="3726" t="s">
        <v>1773</v>
      </c>
      <c r="W4" s="3726"/>
      <c r="X4" s="1349"/>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07"/>
      <c r="M5" s="908"/>
      <c r="N5" s="908"/>
      <c r="O5" s="908"/>
      <c r="P5" s="3716"/>
      <c r="Q5" s="3717"/>
      <c r="R5" s="3722"/>
      <c r="S5" s="3723"/>
      <c r="T5" s="3722"/>
      <c r="U5" s="3723"/>
      <c r="V5" s="3726"/>
      <c r="W5" s="3726"/>
      <c r="X5" s="1349"/>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07"/>
      <c r="M6" s="908"/>
      <c r="N6" s="908"/>
      <c r="O6" s="908"/>
      <c r="P6" s="3718"/>
      <c r="Q6" s="3719"/>
      <c r="R6" s="3722"/>
      <c r="S6" s="3723"/>
      <c r="T6" s="3724"/>
      <c r="U6" s="3725"/>
      <c r="V6" s="3726"/>
      <c r="W6" s="3726"/>
      <c r="X6" s="1349"/>
      <c r="Y6" s="3724"/>
      <c r="Z6" s="3725"/>
      <c r="AA6" s="3709"/>
      <c r="AB6" s="3709"/>
      <c r="AC6" s="3709"/>
    </row>
    <row r="7" spans="1:29" s="108" customFormat="1" ht="15.75" thickBot="1">
      <c r="A7" s="362" t="s">
        <v>1679</v>
      </c>
      <c r="B7" s="363"/>
      <c r="C7" s="364">
        <f>'数据-取费表'!B2</f>
        <v>45506</v>
      </c>
      <c r="D7" s="365">
        <v>100</v>
      </c>
      <c r="E7" s="366"/>
      <c r="F7" s="367">
        <f>SUMIF(52:52,YEAR(E7)&amp;"-"&amp;MONTH(E7),53:53)</f>
        <v>0</v>
      </c>
      <c r="G7" s="366"/>
      <c r="H7" s="365">
        <f>SUMIF(52:52,YEAR(G7)&amp;"-"&amp;MONTH(G7),53:53)</f>
        <v>0</v>
      </c>
      <c r="I7" s="366"/>
      <c r="J7" s="365">
        <f>SUMIF(52:52,YEAR(I7)&amp;"-"&amp;MONTH(I7),53:53)</f>
        <v>0</v>
      </c>
      <c r="K7" s="560"/>
      <c r="L7" s="909"/>
      <c r="M7" s="910"/>
      <c r="N7" s="910"/>
      <c r="O7" s="910"/>
      <c r="P7" s="3731" t="s">
        <v>1680</v>
      </c>
      <c r="Q7" s="3733"/>
      <c r="R7" s="699" t="s">
        <v>14</v>
      </c>
      <c r="S7" s="700">
        <f t="shared" ref="S7:S15" si="0">F7</f>
        <v>0</v>
      </c>
      <c r="T7" s="699" t="s">
        <v>14</v>
      </c>
      <c r="U7" s="700">
        <f t="shared" ref="U7:U15" si="1">H7</f>
        <v>0</v>
      </c>
      <c r="V7" s="699" t="s">
        <v>14</v>
      </c>
      <c r="W7" s="700">
        <f t="shared" ref="W7:W15" si="2">J7</f>
        <v>0</v>
      </c>
      <c r="X7" s="701"/>
      <c r="Y7" s="3731" t="s">
        <v>1680</v>
      </c>
      <c r="Z7" s="373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31" t="s">
        <v>1683</v>
      </c>
      <c r="Q8" s="3732"/>
      <c r="R8" s="699" t="s">
        <v>14</v>
      </c>
      <c r="S8" s="700">
        <f t="shared" si="0"/>
        <v>100</v>
      </c>
      <c r="T8" s="699" t="s">
        <v>14</v>
      </c>
      <c r="U8" s="700">
        <f t="shared" si="1"/>
        <v>100</v>
      </c>
      <c r="V8" s="699" t="s">
        <v>14</v>
      </c>
      <c r="W8" s="700">
        <f t="shared" si="2"/>
        <v>100</v>
      </c>
      <c r="X8" s="701"/>
      <c r="Y8" s="3731" t="s">
        <v>1683</v>
      </c>
      <c r="Z8" s="373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695"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702">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2"/>
      <c r="M10" s="913"/>
      <c r="N10" s="913"/>
      <c r="O10" s="914"/>
      <c r="P10" s="3695"/>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695"/>
      <c r="Q11" s="1337" t="str">
        <f t="shared" si="6"/>
        <v>容积率</v>
      </c>
      <c r="R11" s="699" t="s">
        <v>14</v>
      </c>
      <c r="S11" s="700">
        <f t="shared" si="0"/>
        <v>100</v>
      </c>
      <c r="T11" s="699" t="s">
        <v>14</v>
      </c>
      <c r="U11" s="700">
        <f t="shared" si="1"/>
        <v>100</v>
      </c>
      <c r="V11" s="699" t="s">
        <v>14</v>
      </c>
      <c r="W11" s="700">
        <f t="shared" si="2"/>
        <v>100</v>
      </c>
      <c r="X11" s="701"/>
      <c r="Y11" s="3570"/>
      <c r="Z11" s="52" t="str">
        <f t="shared" si="7"/>
        <v>容积率</v>
      </c>
      <c r="AA11" s="702">
        <f t="shared" si="3"/>
        <v>1</v>
      </c>
      <c r="AB11" s="702">
        <f t="shared" si="4"/>
        <v>1</v>
      </c>
      <c r="AC11" s="702">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09"/>
      <c r="M12" s="910"/>
      <c r="N12" s="910"/>
      <c r="O12" s="911"/>
      <c r="P12" s="3695"/>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702">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7"/>
      <c r="M13" s="908"/>
      <c r="N13" s="908"/>
      <c r="O13" s="916"/>
      <c r="P13" s="3695"/>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702">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7"/>
      <c r="M14" s="908"/>
      <c r="N14" s="908"/>
      <c r="O14" s="916"/>
      <c r="P14" s="3695"/>
      <c r="Q14" s="1337">
        <f t="shared" si="6"/>
        <v>111</v>
      </c>
      <c r="R14" s="699" t="s">
        <v>14</v>
      </c>
      <c r="S14" s="700">
        <f t="shared" si="0"/>
        <v>100</v>
      </c>
      <c r="T14" s="699" t="s">
        <v>14</v>
      </c>
      <c r="U14" s="700">
        <f t="shared" si="1"/>
        <v>100</v>
      </c>
      <c r="V14" s="699" t="s">
        <v>14</v>
      </c>
      <c r="W14" s="700">
        <f t="shared" si="2"/>
        <v>100</v>
      </c>
      <c r="X14" s="701"/>
      <c r="Y14" s="3570"/>
      <c r="Z14" s="52">
        <f t="shared" si="7"/>
        <v>111</v>
      </c>
      <c r="AA14" s="702">
        <f t="shared" si="3"/>
        <v>1</v>
      </c>
      <c r="AB14" s="702">
        <f t="shared" si="4"/>
        <v>1</v>
      </c>
      <c r="AC14" s="702">
        <f t="shared" si="5"/>
        <v>1</v>
      </c>
    </row>
    <row r="15" spans="1:29" ht="57">
      <c r="A15" s="391" t="s">
        <v>1690</v>
      </c>
      <c r="B15" s="61" t="s">
        <v>1827</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697" t="s">
        <v>1691</v>
      </c>
      <c r="Q15" s="1346" t="str">
        <f t="shared" si="6"/>
        <v>产业集聚程度</v>
      </c>
      <c r="R15" s="703" t="s">
        <v>14</v>
      </c>
      <c r="S15" s="704">
        <f t="shared" si="0"/>
        <v>100</v>
      </c>
      <c r="T15" s="703" t="s">
        <v>14</v>
      </c>
      <c r="U15" s="704">
        <f t="shared" si="1"/>
        <v>100</v>
      </c>
      <c r="V15" s="703" t="s">
        <v>14</v>
      </c>
      <c r="W15" s="704">
        <f t="shared" si="2"/>
        <v>100</v>
      </c>
      <c r="X15" s="1349"/>
      <c r="Y15" s="3697"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698"/>
      <c r="Q16" s="1346"/>
      <c r="R16" s="703"/>
      <c r="S16" s="704"/>
      <c r="T16" s="703"/>
      <c r="U16" s="704"/>
      <c r="V16" s="703"/>
      <c r="W16" s="704"/>
      <c r="X16" s="1349"/>
      <c r="Y16" s="3698"/>
      <c r="Z16" s="1350"/>
      <c r="AA16" s="1347">
        <v>1</v>
      </c>
      <c r="AB16" s="1347">
        <v>1</v>
      </c>
      <c r="AC16" s="1347">
        <v>1</v>
      </c>
    </row>
    <row r="17" spans="1:29" ht="85.5">
      <c r="A17" s="379"/>
      <c r="B17" s="402" t="s">
        <v>1259</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698"/>
      <c r="Q17" s="1346" t="str">
        <f>B17</f>
        <v>交通便捷度</v>
      </c>
      <c r="R17" s="703" t="s">
        <v>14</v>
      </c>
      <c r="S17" s="704">
        <f>F17</f>
        <v>100</v>
      </c>
      <c r="T17" s="703" t="s">
        <v>14</v>
      </c>
      <c r="U17" s="704">
        <f>H17</f>
        <v>100</v>
      </c>
      <c r="V17" s="703" t="s">
        <v>14</v>
      </c>
      <c r="W17" s="704">
        <f>J17</f>
        <v>100</v>
      </c>
      <c r="X17" s="1349"/>
      <c r="Y17" s="3698"/>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7"/>
      <c r="M18" s="908"/>
      <c r="N18" s="908"/>
      <c r="O18" s="916"/>
      <c r="P18" s="3698"/>
      <c r="Q18" s="1346"/>
      <c r="R18" s="703"/>
      <c r="S18" s="704"/>
      <c r="T18" s="703"/>
      <c r="U18" s="704"/>
      <c r="V18" s="703"/>
      <c r="W18" s="704"/>
      <c r="X18" s="1349"/>
      <c r="Y18" s="3698"/>
      <c r="Z18" s="1350"/>
      <c r="AA18" s="1347">
        <v>1</v>
      </c>
      <c r="AB18" s="1347">
        <v>1</v>
      </c>
      <c r="AC18" s="1347">
        <v>1</v>
      </c>
    </row>
    <row r="19" spans="1:29" ht="42.75">
      <c r="A19" s="379"/>
      <c r="B19" s="402" t="s">
        <v>1812</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698"/>
      <c r="Q19" s="1346" t="str">
        <f>B19</f>
        <v>公共配套设施</v>
      </c>
      <c r="R19" s="703" t="s">
        <v>14</v>
      </c>
      <c r="S19" s="704">
        <f>F19</f>
        <v>100</v>
      </c>
      <c r="T19" s="703" t="s">
        <v>14</v>
      </c>
      <c r="U19" s="704">
        <f>H19</f>
        <v>100</v>
      </c>
      <c r="V19" s="703" t="s">
        <v>14</v>
      </c>
      <c r="W19" s="704">
        <f>J19</f>
        <v>100</v>
      </c>
      <c r="X19" s="1349"/>
      <c r="Y19" s="3698"/>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7"/>
      <c r="M20" s="908"/>
      <c r="N20" s="908"/>
      <c r="O20" s="916"/>
      <c r="P20" s="3698"/>
      <c r="Q20" s="1346"/>
      <c r="R20" s="703"/>
      <c r="S20" s="704"/>
      <c r="T20" s="703"/>
      <c r="U20" s="704"/>
      <c r="V20" s="703"/>
      <c r="W20" s="704"/>
      <c r="X20" s="1349"/>
      <c r="Y20" s="3698"/>
      <c r="Z20" s="1350"/>
      <c r="AA20" s="1347">
        <v>1</v>
      </c>
      <c r="AB20" s="1347">
        <v>1</v>
      </c>
      <c r="AC20" s="1347">
        <v>1</v>
      </c>
    </row>
    <row r="21" spans="1:29" ht="28.5">
      <c r="A21" s="379"/>
      <c r="B21" s="1125" t="s">
        <v>1813</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698"/>
      <c r="Q21" s="1346" t="str">
        <f>B21</f>
        <v>基础设施水平</v>
      </c>
      <c r="R21" s="703" t="s">
        <v>14</v>
      </c>
      <c r="S21" s="704">
        <f>F21</f>
        <v>100</v>
      </c>
      <c r="T21" s="703" t="s">
        <v>14</v>
      </c>
      <c r="U21" s="704">
        <f>H21</f>
        <v>100</v>
      </c>
      <c r="V21" s="703" t="s">
        <v>14</v>
      </c>
      <c r="W21" s="704">
        <f>J21</f>
        <v>100</v>
      </c>
      <c r="X21" s="1349"/>
      <c r="Y21" s="3698"/>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917"/>
      <c r="M22" s="908"/>
      <c r="N22" s="908"/>
      <c r="O22" s="916"/>
      <c r="P22" s="3698"/>
      <c r="Q22" s="1346"/>
      <c r="R22" s="703"/>
      <c r="S22" s="704"/>
      <c r="T22" s="703"/>
      <c r="U22" s="704"/>
      <c r="V22" s="703"/>
      <c r="W22" s="704"/>
      <c r="X22" s="1349"/>
      <c r="Y22" s="3698"/>
      <c r="Z22" s="1350"/>
      <c r="AA22" s="1347">
        <v>1</v>
      </c>
      <c r="AB22" s="1347">
        <v>1</v>
      </c>
      <c r="AC22" s="1347">
        <v>1</v>
      </c>
    </row>
    <row r="23" spans="1:29" ht="71.25">
      <c r="A23" s="379"/>
      <c r="B23" s="402" t="s">
        <v>1814</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698"/>
      <c r="Q23" s="1346" t="str">
        <f>B23</f>
        <v>环境质量</v>
      </c>
      <c r="R23" s="703" t="s">
        <v>14</v>
      </c>
      <c r="S23" s="704">
        <f>F23</f>
        <v>100</v>
      </c>
      <c r="T23" s="703" t="s">
        <v>14</v>
      </c>
      <c r="U23" s="704">
        <f>H23</f>
        <v>100</v>
      </c>
      <c r="V23" s="703" t="s">
        <v>14</v>
      </c>
      <c r="W23" s="704">
        <f>J23</f>
        <v>100</v>
      </c>
      <c r="X23" s="1349"/>
      <c r="Y23" s="3698"/>
      <c r="Z23" s="1350" t="str">
        <f>Q23</f>
        <v>环境质量</v>
      </c>
      <c r="AA23" s="1347">
        <f t="shared" si="3"/>
        <v>1</v>
      </c>
      <c r="AB23" s="1347">
        <f t="shared" si="4"/>
        <v>1</v>
      </c>
      <c r="AC23" s="1347">
        <f t="shared" si="5"/>
        <v>1</v>
      </c>
    </row>
    <row r="24" spans="1:29" ht="15">
      <c r="A24" s="379"/>
      <c r="B24" s="1125"/>
      <c r="C24" s="398"/>
      <c r="D24" s="399"/>
      <c r="E24" s="1892"/>
      <c r="F24" s="400"/>
      <c r="G24" s="1891"/>
      <c r="H24" s="399"/>
      <c r="I24" s="1892"/>
      <c r="J24" s="399"/>
      <c r="K24" s="564"/>
      <c r="L24" s="917"/>
      <c r="M24" s="908"/>
      <c r="N24" s="908"/>
      <c r="O24" s="916"/>
      <c r="P24" s="3698"/>
      <c r="Q24" s="1346"/>
      <c r="R24" s="703"/>
      <c r="S24" s="704"/>
      <c r="T24" s="703"/>
      <c r="U24" s="704"/>
      <c r="V24" s="703"/>
      <c r="W24" s="704"/>
      <c r="X24" s="1349"/>
      <c r="Y24" s="3698"/>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698"/>
      <c r="Q25" s="1346">
        <f>B25</f>
        <v>111</v>
      </c>
      <c r="R25" s="703" t="s">
        <v>14</v>
      </c>
      <c r="S25" s="704">
        <f>F25</f>
        <v>100</v>
      </c>
      <c r="T25" s="703" t="s">
        <v>14</v>
      </c>
      <c r="U25" s="704">
        <f>H25</f>
        <v>100</v>
      </c>
      <c r="V25" s="703" t="s">
        <v>14</v>
      </c>
      <c r="W25" s="704">
        <f>J25</f>
        <v>100</v>
      </c>
      <c r="X25" s="1349"/>
      <c r="Y25" s="3698"/>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698"/>
      <c r="Q26" s="1346">
        <f t="shared" ref="Q26:Q40" si="11">B26</f>
        <v>111</v>
      </c>
      <c r="R26" s="703" t="s">
        <v>14</v>
      </c>
      <c r="S26" s="704">
        <f>F26</f>
        <v>100</v>
      </c>
      <c r="T26" s="703" t="s">
        <v>14</v>
      </c>
      <c r="U26" s="704">
        <f>H26</f>
        <v>100</v>
      </c>
      <c r="V26" s="703" t="s">
        <v>14</v>
      </c>
      <c r="W26" s="704">
        <f>J26</f>
        <v>100</v>
      </c>
      <c r="X26" s="1349"/>
      <c r="Y26" s="3698"/>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698"/>
      <c r="Q27" s="1337">
        <f t="shared" si="11"/>
        <v>111</v>
      </c>
      <c r="R27" s="699" t="s">
        <v>14</v>
      </c>
      <c r="S27" s="700">
        <f>F27</f>
        <v>100</v>
      </c>
      <c r="T27" s="699" t="s">
        <v>14</v>
      </c>
      <c r="U27" s="700">
        <f>H27</f>
        <v>100</v>
      </c>
      <c r="V27" s="699" t="s">
        <v>14</v>
      </c>
      <c r="W27" s="700">
        <f>J27</f>
        <v>100</v>
      </c>
      <c r="X27" s="701"/>
      <c r="Y27" s="3698"/>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698"/>
      <c r="Q28" s="1346">
        <f t="shared" si="11"/>
        <v>111</v>
      </c>
      <c r="R28" s="703" t="s">
        <v>14</v>
      </c>
      <c r="S28" s="704">
        <f t="shared" ref="S28:S40" si="12">F28</f>
        <v>100</v>
      </c>
      <c r="T28" s="703" t="s">
        <v>14</v>
      </c>
      <c r="U28" s="704">
        <f t="shared" ref="U28:U40" si="13">H28</f>
        <v>100</v>
      </c>
      <c r="V28" s="703" t="s">
        <v>14</v>
      </c>
      <c r="W28" s="704">
        <f t="shared" ref="W28:W40" si="14">J28</f>
        <v>100</v>
      </c>
      <c r="X28" s="1349"/>
      <c r="Y28" s="3698"/>
      <c r="Z28" s="1350">
        <f t="shared" ref="Z28:Z40" si="15">Q28</f>
        <v>111</v>
      </c>
      <c r="AA28" s="1347">
        <f t="shared" si="3"/>
        <v>1</v>
      </c>
      <c r="AB28" s="1347">
        <f t="shared" si="4"/>
        <v>1</v>
      </c>
      <c r="AC28" s="1347">
        <f t="shared" si="5"/>
        <v>1</v>
      </c>
    </row>
    <row r="29" spans="1:29" ht="28.5">
      <c r="A29" s="417" t="s">
        <v>1694</v>
      </c>
      <c r="B29" s="63" t="s">
        <v>1817</v>
      </c>
      <c r="C29" s="1961"/>
      <c r="D29" s="418">
        <v>100</v>
      </c>
      <c r="E29" s="1961"/>
      <c r="F29" s="412">
        <f>SUMIF(88:88,E29,89:89)-SUMIF(88:88,C29,89:89)+100</f>
        <v>100</v>
      </c>
      <c r="G29" s="1961"/>
      <c r="H29" s="386">
        <f>SUMIF(88:88,G29,89:89)-SUMIF(88:88,C29,89:89)+100</f>
        <v>100</v>
      </c>
      <c r="I29" s="1961"/>
      <c r="J29" s="418">
        <f>SUMIF(88:88,I29,89:89)-SUMIF(88:88,C29,89:89)+100</f>
        <v>100</v>
      </c>
      <c r="K29" s="561"/>
      <c r="L29" s="917"/>
      <c r="M29" s="908"/>
      <c r="N29" s="908"/>
      <c r="O29" s="916"/>
      <c r="P29" s="3755" t="s">
        <v>1696</v>
      </c>
      <c r="Q29" s="1346" t="str">
        <f t="shared" si="11"/>
        <v>建筑类型</v>
      </c>
      <c r="R29" s="703" t="s">
        <v>14</v>
      </c>
      <c r="S29" s="704">
        <f t="shared" si="12"/>
        <v>100</v>
      </c>
      <c r="T29" s="703" t="s">
        <v>14</v>
      </c>
      <c r="U29" s="704">
        <f t="shared" si="13"/>
        <v>100</v>
      </c>
      <c r="V29" s="703" t="s">
        <v>14</v>
      </c>
      <c r="W29" s="704">
        <f t="shared" si="14"/>
        <v>100</v>
      </c>
      <c r="X29" s="1349"/>
      <c r="Y29" s="3702"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02"/>
      <c r="Q30" s="705" t="str">
        <f t="shared" si="11"/>
        <v>项目建筑规模</v>
      </c>
      <c r="R30" s="706" t="s">
        <v>14</v>
      </c>
      <c r="S30" s="707" t="e">
        <f t="shared" si="12"/>
        <v>#N/A</v>
      </c>
      <c r="T30" s="706" t="s">
        <v>14</v>
      </c>
      <c r="U30" s="707" t="e">
        <f t="shared" si="13"/>
        <v>#N/A</v>
      </c>
      <c r="V30" s="706" t="s">
        <v>14</v>
      </c>
      <c r="W30" s="707" t="e">
        <f t="shared" si="14"/>
        <v>#N/A</v>
      </c>
      <c r="X30" s="708"/>
      <c r="Y30" s="3702"/>
      <c r="Z30" s="709"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02"/>
      <c r="Q31" s="1346" t="str">
        <f t="shared" si="11"/>
        <v>建筑结构</v>
      </c>
      <c r="R31" s="703" t="s">
        <v>14</v>
      </c>
      <c r="S31" s="704">
        <f t="shared" si="12"/>
        <v>100</v>
      </c>
      <c r="T31" s="703" t="s">
        <v>14</v>
      </c>
      <c r="U31" s="704">
        <f t="shared" si="13"/>
        <v>100</v>
      </c>
      <c r="V31" s="703" t="s">
        <v>14</v>
      </c>
      <c r="W31" s="704">
        <f t="shared" si="14"/>
        <v>100</v>
      </c>
      <c r="X31" s="1349"/>
      <c r="Y31" s="3702"/>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02"/>
      <c r="Q32" s="1346" t="str">
        <f t="shared" si="11"/>
        <v>公共部分装修</v>
      </c>
      <c r="R32" s="703" t="s">
        <v>14</v>
      </c>
      <c r="S32" s="704">
        <f t="shared" si="12"/>
        <v>100</v>
      </c>
      <c r="T32" s="703" t="s">
        <v>14</v>
      </c>
      <c r="U32" s="704">
        <f t="shared" si="13"/>
        <v>100</v>
      </c>
      <c r="V32" s="703" t="s">
        <v>14</v>
      </c>
      <c r="W32" s="704">
        <f t="shared" si="14"/>
        <v>100</v>
      </c>
      <c r="X32" s="1349"/>
      <c r="Y32" s="3702"/>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02"/>
      <c r="Q33" s="1346" t="str">
        <f t="shared" si="11"/>
        <v>成新度</v>
      </c>
      <c r="R33" s="703" t="s">
        <v>14</v>
      </c>
      <c r="S33" s="704" t="e">
        <f t="shared" si="12"/>
        <v>#N/A</v>
      </c>
      <c r="T33" s="703" t="s">
        <v>14</v>
      </c>
      <c r="U33" s="704" t="e">
        <f t="shared" si="13"/>
        <v>#N/A</v>
      </c>
      <c r="V33" s="703" t="s">
        <v>14</v>
      </c>
      <c r="W33" s="704" t="e">
        <f t="shared" si="14"/>
        <v>#N/A</v>
      </c>
      <c r="X33" s="1349"/>
      <c r="Y33" s="3702"/>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02"/>
      <c r="Q34" s="1337" t="str">
        <f t="shared" si="11"/>
        <v>物业管理</v>
      </c>
      <c r="R34" s="699" t="s">
        <v>14</v>
      </c>
      <c r="S34" s="700">
        <f t="shared" si="12"/>
        <v>100</v>
      </c>
      <c r="T34" s="699" t="s">
        <v>14</v>
      </c>
      <c r="U34" s="700">
        <f t="shared" si="13"/>
        <v>100</v>
      </c>
      <c r="V34" s="699" t="s">
        <v>14</v>
      </c>
      <c r="W34" s="700">
        <f t="shared" si="14"/>
        <v>100</v>
      </c>
      <c r="X34" s="701"/>
      <c r="Y34" s="370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02" t="s">
        <v>1696</v>
      </c>
      <c r="Q35" s="1346" t="str">
        <f t="shared" si="11"/>
        <v>市政基础设施</v>
      </c>
      <c r="R35" s="703" t="s">
        <v>14</v>
      </c>
      <c r="S35" s="704">
        <f t="shared" si="12"/>
        <v>100</v>
      </c>
      <c r="T35" s="703" t="s">
        <v>14</v>
      </c>
      <c r="U35" s="704">
        <f t="shared" si="13"/>
        <v>100</v>
      </c>
      <c r="V35" s="703" t="s">
        <v>14</v>
      </c>
      <c r="W35" s="704">
        <f t="shared" si="14"/>
        <v>100</v>
      </c>
      <c r="X35" s="1349"/>
      <c r="Y35" s="3702"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02"/>
      <c r="Q36" s="1346" t="str">
        <f t="shared" si="11"/>
        <v>内部装修</v>
      </c>
      <c r="R36" s="703" t="s">
        <v>14</v>
      </c>
      <c r="S36" s="704">
        <f t="shared" si="12"/>
        <v>100</v>
      </c>
      <c r="T36" s="703" t="s">
        <v>14</v>
      </c>
      <c r="U36" s="704">
        <f t="shared" si="13"/>
        <v>100</v>
      </c>
      <c r="V36" s="703" t="s">
        <v>14</v>
      </c>
      <c r="W36" s="704">
        <f t="shared" si="14"/>
        <v>100</v>
      </c>
      <c r="X36" s="1349"/>
      <c r="Y36" s="3702"/>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02"/>
      <c r="Q37" s="1346" t="str">
        <f t="shared" si="11"/>
        <v>内部装修状况</v>
      </c>
      <c r="R37" s="703" t="s">
        <v>14</v>
      </c>
      <c r="S37" s="704">
        <f t="shared" si="12"/>
        <v>100</v>
      </c>
      <c r="T37" s="703" t="s">
        <v>14</v>
      </c>
      <c r="U37" s="704">
        <f t="shared" si="13"/>
        <v>100</v>
      </c>
      <c r="V37" s="703" t="s">
        <v>14</v>
      </c>
      <c r="W37" s="704">
        <f t="shared" si="14"/>
        <v>100</v>
      </c>
      <c r="X37" s="1349"/>
      <c r="Y37" s="3702"/>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02"/>
      <c r="Q38" s="705">
        <f t="shared" si="11"/>
        <v>111</v>
      </c>
      <c r="R38" s="706" t="s">
        <v>14</v>
      </c>
      <c r="S38" s="707">
        <f t="shared" si="12"/>
        <v>100</v>
      </c>
      <c r="T38" s="706" t="s">
        <v>14</v>
      </c>
      <c r="U38" s="707">
        <f t="shared" si="13"/>
        <v>100</v>
      </c>
      <c r="V38" s="706" t="s">
        <v>14</v>
      </c>
      <c r="W38" s="707">
        <f t="shared" si="14"/>
        <v>100</v>
      </c>
      <c r="X38" s="708"/>
      <c r="Y38" s="3702"/>
      <c r="Z38" s="709">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02"/>
      <c r="Q39" s="1346">
        <f t="shared" si="11"/>
        <v>111</v>
      </c>
      <c r="R39" s="703" t="s">
        <v>14</v>
      </c>
      <c r="S39" s="704">
        <f t="shared" si="12"/>
        <v>100</v>
      </c>
      <c r="T39" s="703" t="s">
        <v>14</v>
      </c>
      <c r="U39" s="704">
        <f t="shared" si="13"/>
        <v>100</v>
      </c>
      <c r="V39" s="703" t="s">
        <v>14</v>
      </c>
      <c r="W39" s="704">
        <f t="shared" si="14"/>
        <v>100</v>
      </c>
      <c r="X39" s="1349"/>
      <c r="Y39" s="3702"/>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03"/>
      <c r="Q40" s="1346">
        <f t="shared" si="11"/>
        <v>111</v>
      </c>
      <c r="R40" s="703" t="s">
        <v>14</v>
      </c>
      <c r="S40" s="704">
        <f t="shared" si="12"/>
        <v>100</v>
      </c>
      <c r="T40" s="703" t="s">
        <v>14</v>
      </c>
      <c r="U40" s="704">
        <f t="shared" si="13"/>
        <v>100</v>
      </c>
      <c r="V40" s="703" t="s">
        <v>14</v>
      </c>
      <c r="W40" s="704">
        <f t="shared" si="14"/>
        <v>100</v>
      </c>
      <c r="X40" s="1349"/>
      <c r="Y40" s="3703"/>
      <c r="Z40" s="1350">
        <f t="shared" si="15"/>
        <v>111</v>
      </c>
      <c r="AA40" s="1347">
        <f t="shared" si="3"/>
        <v>1</v>
      </c>
      <c r="AB40" s="1347">
        <f t="shared" si="4"/>
        <v>1</v>
      </c>
      <c r="AC40" s="1347">
        <f t="shared" si="5"/>
        <v>1</v>
      </c>
    </row>
    <row r="41" spans="1:29" ht="15">
      <c r="A41" s="430" t="s">
        <v>1708</v>
      </c>
      <c r="B41" s="431"/>
      <c r="C41" s="1148" t="s">
        <v>0</v>
      </c>
      <c r="D41" s="1149"/>
      <c r="E41" s="1150"/>
      <c r="F41" s="1151"/>
      <c r="G41" s="1152"/>
      <c r="H41" s="1153"/>
      <c r="I41" s="1150"/>
      <c r="J41" s="1153"/>
      <c r="K41" s="712"/>
      <c r="L41" s="920"/>
      <c r="M41" s="921"/>
      <c r="N41" s="908"/>
      <c r="O41" s="921"/>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4" t="e">
        <f>R43</f>
        <v>#DIV/0!</v>
      </c>
      <c r="D42" s="2311" t="s">
        <v>2137</v>
      </c>
      <c r="E42" s="1155" t="e">
        <f>R42</f>
        <v>#DIV/0!</v>
      </c>
      <c r="F42" s="2312"/>
      <c r="G42" s="1154" t="e">
        <f>T42</f>
        <v>#DIV/0!</v>
      </c>
      <c r="H42" s="2312"/>
      <c r="I42" s="1155" t="e">
        <f>V42</f>
        <v>#DIV/0!</v>
      </c>
      <c r="J42" s="2312"/>
      <c r="K42" s="2314">
        <f>F42+H42+J42</f>
        <v>0</v>
      </c>
      <c r="L42" s="920"/>
      <c r="M42" s="921"/>
      <c r="N42" s="908"/>
      <c r="O42" s="921"/>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57" t="e">
        <f>R43</f>
        <v>#DIV/0!</v>
      </c>
      <c r="D43" s="1157"/>
      <c r="E43" s="1157"/>
      <c r="F43" s="1157"/>
      <c r="G43" s="1157"/>
      <c r="H43" s="1157"/>
      <c r="I43" s="1157"/>
      <c r="J43" s="1157"/>
      <c r="K43" s="713"/>
      <c r="L43" s="920"/>
      <c r="M43" s="921"/>
      <c r="N43" s="921"/>
      <c r="O43" s="921"/>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8"/>
      <c r="Y43" s="688"/>
      <c r="Z43" s="688"/>
      <c r="AA43" s="688"/>
      <c r="AB43" s="688"/>
      <c r="AC43" s="688"/>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3"/>
      <c r="M46" s="921"/>
      <c r="N46" s="921"/>
      <c r="O46" s="921"/>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3"/>
      <c r="M47" s="921"/>
      <c r="N47" s="921"/>
      <c r="O47" s="921"/>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4"/>
      <c r="M48" s="922"/>
      <c r="N48" s="922"/>
      <c r="O48" s="922"/>
    </row>
    <row r="49" spans="1:17" s="451"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2" t="s">
        <v>1798</v>
      </c>
      <c r="B51" s="688"/>
      <c r="C51" s="693"/>
      <c r="D51" s="693"/>
      <c r="E51" s="693"/>
      <c r="F51" s="694"/>
      <c r="G51" s="694"/>
      <c r="H51" s="693"/>
      <c r="I51" s="693"/>
      <c r="J51" s="693"/>
      <c r="K51" s="935"/>
      <c r="L51" s="936"/>
      <c r="M51" s="934"/>
      <c r="N51" s="934"/>
      <c r="O51" s="934"/>
      <c r="P51" s="452"/>
      <c r="Q51" s="453"/>
    </row>
    <row r="52" spans="1:17" s="457" customFormat="1" ht="15">
      <c r="A52" s="454" t="s">
        <v>1679</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1719</v>
      </c>
      <c r="B57" s="477" t="s">
        <v>1685</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1688</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2"/>
      <c r="B87" s="518"/>
      <c r="C87" s="519"/>
      <c r="D87" s="519"/>
      <c r="E87" s="519"/>
      <c r="F87" s="519"/>
      <c r="G87" s="540"/>
      <c r="H87" s="540"/>
      <c r="I87" s="540"/>
      <c r="J87" s="540"/>
      <c r="K87" s="540"/>
      <c r="L87" s="540"/>
      <c r="M87" s="541"/>
      <c r="N87" s="928"/>
      <c r="O87" s="928"/>
      <c r="P87" s="42"/>
      <c r="Q87" s="453"/>
    </row>
    <row r="88" spans="1:17">
      <c r="A88" s="476" t="s">
        <v>1694</v>
      </c>
      <c r="B88" s="477" t="s">
        <v>1736</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1738</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1740</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1741</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1742</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1744</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2"/>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3334</v>
      </c>
      <c r="C1" s="1218" t="s">
        <v>1662</v>
      </c>
      <c r="D1" s="1219"/>
      <c r="E1" s="3426"/>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09"/>
      <c r="M4" s="2710"/>
      <c r="N4" s="2710"/>
      <c r="O4" s="2710"/>
      <c r="P4" s="3714" t="s">
        <v>1775</v>
      </c>
      <c r="Q4" s="3715"/>
      <c r="R4" s="3720" t="s">
        <v>1771</v>
      </c>
      <c r="S4" s="3721"/>
      <c r="T4" s="3720" t="s">
        <v>1772</v>
      </c>
      <c r="U4" s="3721"/>
      <c r="V4" s="3726" t="s">
        <v>1773</v>
      </c>
      <c r="W4" s="3726"/>
      <c r="X4" s="1349"/>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09"/>
      <c r="M5" s="2710"/>
      <c r="N5" s="2710"/>
      <c r="O5" s="2710"/>
      <c r="P5" s="3716"/>
      <c r="Q5" s="3717"/>
      <c r="R5" s="3722"/>
      <c r="S5" s="3723"/>
      <c r="T5" s="3722"/>
      <c r="U5" s="3723"/>
      <c r="V5" s="3726"/>
      <c r="W5" s="3726"/>
      <c r="X5" s="1349"/>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18"/>
      <c r="Q6" s="3719"/>
      <c r="R6" s="3722"/>
      <c r="S6" s="3723"/>
      <c r="T6" s="3724"/>
      <c r="U6" s="3725"/>
      <c r="V6" s="3726"/>
      <c r="W6" s="3726"/>
      <c r="X6" s="1349"/>
      <c r="Y6" s="3724"/>
      <c r="Z6" s="3725"/>
      <c r="AA6" s="3709"/>
      <c r="AB6" s="3709"/>
      <c r="AC6" s="3709"/>
    </row>
    <row r="7" spans="1:29" s="108" customFormat="1" ht="15.75" thickBot="1">
      <c r="A7" s="362" t="s">
        <v>1679</v>
      </c>
      <c r="B7" s="363"/>
      <c r="C7" s="364">
        <f>'数据-取费表'!B2</f>
        <v>45506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31" t="s">
        <v>1680</v>
      </c>
      <c r="Q7" s="3733"/>
      <c r="R7" s="699" t="s">
        <v>14</v>
      </c>
      <c r="S7" s="700">
        <f t="shared" ref="S7:S14" si="0">F7</f>
        <v>0</v>
      </c>
      <c r="T7" s="699" t="s">
        <v>14</v>
      </c>
      <c r="U7" s="700">
        <f t="shared" ref="U7:U14" si="1">H7</f>
        <v>0</v>
      </c>
      <c r="V7" s="699" t="s">
        <v>14</v>
      </c>
      <c r="W7" s="700">
        <f t="shared" ref="W7:W14" si="2">J7</f>
        <v>0</v>
      </c>
      <c r="X7" s="701"/>
      <c r="Y7" s="3731" t="s">
        <v>1680</v>
      </c>
      <c r="Z7" s="373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31" t="s">
        <v>1683</v>
      </c>
      <c r="Q8" s="3732"/>
      <c r="R8" s="699" t="s">
        <v>14</v>
      </c>
      <c r="S8" s="700">
        <f t="shared" si="0"/>
        <v>100</v>
      </c>
      <c r="T8" s="699" t="s">
        <v>14</v>
      </c>
      <c r="U8" s="700">
        <f t="shared" si="1"/>
        <v>100</v>
      </c>
      <c r="V8" s="699" t="s">
        <v>14</v>
      </c>
      <c r="W8" s="700">
        <f t="shared" si="2"/>
        <v>100</v>
      </c>
      <c r="X8" s="701"/>
      <c r="Y8" s="3731" t="s">
        <v>1683</v>
      </c>
      <c r="Z8" s="373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5" t="s">
        <v>1686</v>
      </c>
      <c r="Q9" s="1337" t="str">
        <f t="shared" ref="Q9:Q14" si="6">B9</f>
        <v>用途</v>
      </c>
      <c r="R9" s="699" t="s">
        <v>14</v>
      </c>
      <c r="S9" s="700">
        <f t="shared" si="0"/>
        <v>100</v>
      </c>
      <c r="T9" s="699" t="s">
        <v>14</v>
      </c>
      <c r="U9" s="700">
        <f t="shared" si="1"/>
        <v>100</v>
      </c>
      <c r="V9" s="699" t="s">
        <v>14</v>
      </c>
      <c r="W9" s="700">
        <f t="shared" si="2"/>
        <v>100</v>
      </c>
      <c r="X9" s="701"/>
      <c r="Y9" s="3570" t="s">
        <v>1687</v>
      </c>
      <c r="Z9" s="52" t="str">
        <f t="shared" ref="Z9:Z14" si="7">Q9</f>
        <v>用途</v>
      </c>
      <c r="AA9" s="702">
        <f t="shared" si="3"/>
        <v>1</v>
      </c>
      <c r="AB9" s="702">
        <f t="shared" si="4"/>
        <v>1</v>
      </c>
      <c r="AC9" s="702">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695"/>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5"/>
      <c r="Q11" s="1337">
        <f t="shared" si="6"/>
        <v>111</v>
      </c>
      <c r="R11" s="699" t="s">
        <v>14</v>
      </c>
      <c r="S11" s="700">
        <f t="shared" si="0"/>
        <v>100</v>
      </c>
      <c r="T11" s="699" t="s">
        <v>14</v>
      </c>
      <c r="U11" s="700">
        <f t="shared" si="1"/>
        <v>100</v>
      </c>
      <c r="V11" s="699" t="s">
        <v>14</v>
      </c>
      <c r="W11" s="700">
        <f t="shared" si="2"/>
        <v>100</v>
      </c>
      <c r="X11" s="701"/>
      <c r="Y11" s="357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5"/>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5"/>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702">
        <f t="shared" si="5"/>
        <v>1</v>
      </c>
    </row>
    <row r="14" spans="1:29" ht="85.5">
      <c r="A14" s="355" t="s">
        <v>1690</v>
      </c>
      <c r="B14" s="577" t="s">
        <v>1833</v>
      </c>
      <c r="C14" s="1965"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7" t="s">
        <v>1691</v>
      </c>
      <c r="Q14" s="1346" t="str">
        <f t="shared" si="6"/>
        <v>交通便捷度</v>
      </c>
      <c r="R14" s="703" t="s">
        <v>14</v>
      </c>
      <c r="S14" s="704">
        <f t="shared" si="0"/>
        <v>100</v>
      </c>
      <c r="T14" s="703" t="s">
        <v>14</v>
      </c>
      <c r="U14" s="704">
        <f t="shared" si="1"/>
        <v>100</v>
      </c>
      <c r="V14" s="703" t="s">
        <v>14</v>
      </c>
      <c r="W14" s="704">
        <f t="shared" si="2"/>
        <v>100</v>
      </c>
      <c r="X14" s="1349"/>
      <c r="Y14" s="3697"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6"/>
      <c r="M15" s="2710"/>
      <c r="N15" s="2710"/>
      <c r="O15" s="2710"/>
      <c r="P15" s="3698"/>
      <c r="Q15" s="1346"/>
      <c r="R15" s="703"/>
      <c r="S15" s="704"/>
      <c r="T15" s="703"/>
      <c r="U15" s="704"/>
      <c r="V15" s="703"/>
      <c r="W15" s="704"/>
      <c r="X15" s="1349"/>
      <c r="Y15" s="3698"/>
      <c r="Z15" s="1350"/>
      <c r="AA15" s="1347">
        <v>1</v>
      </c>
      <c r="AB15" s="1347">
        <v>1</v>
      </c>
      <c r="AC15" s="1347">
        <v>1</v>
      </c>
    </row>
    <row r="16" spans="1:29" ht="42.75">
      <c r="A16" s="358"/>
      <c r="B16" s="579" t="s">
        <v>1812</v>
      </c>
      <c r="C16" s="1894"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8"/>
      <c r="Q16" s="1346" t="str">
        <f>B16</f>
        <v>公共配套设施</v>
      </c>
      <c r="R16" s="703" t="s">
        <v>14</v>
      </c>
      <c r="S16" s="704">
        <f>F16</f>
        <v>100</v>
      </c>
      <c r="T16" s="703" t="s">
        <v>14</v>
      </c>
      <c r="U16" s="704">
        <f>H16</f>
        <v>100</v>
      </c>
      <c r="V16" s="703" t="s">
        <v>14</v>
      </c>
      <c r="W16" s="704">
        <f>J16</f>
        <v>100</v>
      </c>
      <c r="X16" s="1349"/>
      <c r="Y16" s="3698"/>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16"/>
      <c r="M17" s="2710"/>
      <c r="N17" s="2710"/>
      <c r="O17" s="2710"/>
      <c r="P17" s="3698"/>
      <c r="Q17" s="1346"/>
      <c r="R17" s="703"/>
      <c r="S17" s="704"/>
      <c r="T17" s="703"/>
      <c r="U17" s="704"/>
      <c r="V17" s="703"/>
      <c r="W17" s="704"/>
      <c r="X17" s="1349"/>
      <c r="Y17" s="3698"/>
      <c r="Z17" s="1350"/>
      <c r="AA17" s="1347">
        <v>1</v>
      </c>
      <c r="AB17" s="1347">
        <v>1</v>
      </c>
      <c r="AC17" s="1347">
        <v>1</v>
      </c>
    </row>
    <row r="18" spans="1:29" ht="28.5">
      <c r="A18" s="358"/>
      <c r="B18" s="581" t="s">
        <v>1813</v>
      </c>
      <c r="C18" s="1894"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8"/>
      <c r="Q18" s="1346" t="str">
        <f>B18</f>
        <v>基础设施水平</v>
      </c>
      <c r="R18" s="703" t="s">
        <v>14</v>
      </c>
      <c r="S18" s="704">
        <f>F18</f>
        <v>100</v>
      </c>
      <c r="T18" s="703" t="s">
        <v>14</v>
      </c>
      <c r="U18" s="704">
        <f>H18</f>
        <v>100</v>
      </c>
      <c r="V18" s="703" t="s">
        <v>14</v>
      </c>
      <c r="W18" s="704">
        <f>J18</f>
        <v>100</v>
      </c>
      <c r="X18" s="1349"/>
      <c r="Y18" s="3698"/>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4"/>
      <c r="L19" s="2716"/>
      <c r="M19" s="2710"/>
      <c r="N19" s="2710"/>
      <c r="O19" s="2710"/>
      <c r="P19" s="3698"/>
      <c r="Q19" s="1346"/>
      <c r="R19" s="703"/>
      <c r="S19" s="704"/>
      <c r="T19" s="703"/>
      <c r="U19" s="704"/>
      <c r="V19" s="703"/>
      <c r="W19" s="704"/>
      <c r="X19" s="1349"/>
      <c r="Y19" s="3698"/>
      <c r="Z19" s="1350"/>
      <c r="AA19" s="1347">
        <v>1</v>
      </c>
      <c r="AB19" s="1347">
        <v>1</v>
      </c>
      <c r="AC19" s="1347">
        <v>1</v>
      </c>
    </row>
    <row r="20" spans="1:29" ht="57">
      <c r="A20" s="358"/>
      <c r="B20" s="579" t="s">
        <v>1834</v>
      </c>
      <c r="C20" s="1894"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8"/>
      <c r="Q20" s="1346" t="str">
        <f>B20</f>
        <v>自然及人文环境</v>
      </c>
      <c r="R20" s="703" t="s">
        <v>14</v>
      </c>
      <c r="S20" s="704">
        <f>F20</f>
        <v>100</v>
      </c>
      <c r="T20" s="703" t="s">
        <v>14</v>
      </c>
      <c r="U20" s="704">
        <f>H20</f>
        <v>100</v>
      </c>
      <c r="V20" s="703" t="s">
        <v>14</v>
      </c>
      <c r="W20" s="704">
        <f>J20</f>
        <v>100</v>
      </c>
      <c r="X20" s="1349"/>
      <c r="Y20" s="3698"/>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6"/>
      <c r="M21" s="2710"/>
      <c r="N21" s="2710"/>
      <c r="O21" s="2710"/>
      <c r="P21" s="3698"/>
      <c r="Q21" s="1346"/>
      <c r="R21" s="703"/>
      <c r="S21" s="704"/>
      <c r="T21" s="703"/>
      <c r="U21" s="704"/>
      <c r="V21" s="703"/>
      <c r="W21" s="704"/>
      <c r="X21" s="1349"/>
      <c r="Y21" s="3698"/>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8"/>
      <c r="Q22" s="1346" t="str">
        <f>B22</f>
        <v>楼层</v>
      </c>
      <c r="R22" s="703" t="s">
        <v>14</v>
      </c>
      <c r="S22" s="704">
        <f>F22</f>
        <v>100</v>
      </c>
      <c r="T22" s="703" t="s">
        <v>14</v>
      </c>
      <c r="U22" s="704">
        <f>H22</f>
        <v>100</v>
      </c>
      <c r="V22" s="703" t="s">
        <v>14</v>
      </c>
      <c r="W22" s="704">
        <f>J22</f>
        <v>100</v>
      </c>
      <c r="X22" s="1349"/>
      <c r="Y22" s="3698"/>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8"/>
      <c r="Q23" s="1346">
        <f>B23</f>
        <v>111</v>
      </c>
      <c r="R23" s="703" t="s">
        <v>14</v>
      </c>
      <c r="S23" s="704">
        <f>F23</f>
        <v>100</v>
      </c>
      <c r="T23" s="703" t="s">
        <v>14</v>
      </c>
      <c r="U23" s="704">
        <f>H23</f>
        <v>100</v>
      </c>
      <c r="V23" s="703" t="s">
        <v>14</v>
      </c>
      <c r="W23" s="704">
        <f>J23</f>
        <v>100</v>
      </c>
      <c r="X23" s="1349"/>
      <c r="Y23" s="3698"/>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8"/>
      <c r="Q24" s="1346">
        <f t="shared" ref="Q24:Q36" si="11">B24</f>
        <v>111</v>
      </c>
      <c r="R24" s="703" t="s">
        <v>14</v>
      </c>
      <c r="S24" s="704">
        <f>F24</f>
        <v>100</v>
      </c>
      <c r="T24" s="703" t="s">
        <v>14</v>
      </c>
      <c r="U24" s="704">
        <f>H24</f>
        <v>100</v>
      </c>
      <c r="V24" s="703" t="s">
        <v>14</v>
      </c>
      <c r="W24" s="704">
        <f>J24</f>
        <v>100</v>
      </c>
      <c r="X24" s="1349"/>
      <c r="Y24" s="3698"/>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8"/>
      <c r="Q25" s="1337">
        <f t="shared" si="11"/>
        <v>111</v>
      </c>
      <c r="R25" s="699" t="s">
        <v>14</v>
      </c>
      <c r="S25" s="700">
        <f>F25</f>
        <v>100</v>
      </c>
      <c r="T25" s="699" t="s">
        <v>14</v>
      </c>
      <c r="U25" s="700">
        <f>H25</f>
        <v>100</v>
      </c>
      <c r="V25" s="699" t="s">
        <v>14</v>
      </c>
      <c r="W25" s="700">
        <f>J25</f>
        <v>100</v>
      </c>
      <c r="X25" s="701"/>
      <c r="Y25" s="3698"/>
      <c r="Z25" s="52">
        <f>Q25</f>
        <v>111</v>
      </c>
      <c r="AA25" s="1347">
        <f>D25/F25</f>
        <v>1</v>
      </c>
      <c r="AB25" s="1347">
        <f>D25/H25</f>
        <v>1</v>
      </c>
      <c r="AC25" s="1347">
        <f>D25/J25</f>
        <v>1</v>
      </c>
    </row>
    <row r="26" spans="1:29" ht="28.5">
      <c r="A26" s="600" t="s">
        <v>1694</v>
      </c>
      <c r="B26" s="62" t="s">
        <v>1836</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5" t="s">
        <v>1696</v>
      </c>
      <c r="Q26" s="1346" t="str">
        <f t="shared" si="11"/>
        <v>配套类型</v>
      </c>
      <c r="R26" s="703" t="s">
        <v>14</v>
      </c>
      <c r="S26" s="704">
        <f t="shared" ref="S26:S36" si="12">F26</f>
        <v>0</v>
      </c>
      <c r="T26" s="703" t="s">
        <v>14</v>
      </c>
      <c r="U26" s="704">
        <f t="shared" ref="U26:U36" si="13">H26</f>
        <v>0</v>
      </c>
      <c r="V26" s="703" t="s">
        <v>14</v>
      </c>
      <c r="W26" s="704">
        <f t="shared" ref="W26:W36" si="14">J26</f>
        <v>0</v>
      </c>
      <c r="X26" s="1349"/>
      <c r="Y26" s="3702"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2"/>
      <c r="Q27" s="705" t="str">
        <f t="shared" si="11"/>
        <v>项目停车位配比</v>
      </c>
      <c r="R27" s="706" t="s">
        <v>14</v>
      </c>
      <c r="S27" s="707">
        <f t="shared" si="12"/>
        <v>100</v>
      </c>
      <c r="T27" s="706" t="s">
        <v>14</v>
      </c>
      <c r="U27" s="707">
        <f t="shared" si="13"/>
        <v>100</v>
      </c>
      <c r="V27" s="706" t="s">
        <v>14</v>
      </c>
      <c r="W27" s="707">
        <f t="shared" si="14"/>
        <v>100</v>
      </c>
      <c r="X27" s="708"/>
      <c r="Y27" s="3702"/>
      <c r="Z27" s="709"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2"/>
      <c r="Q28" s="1346" t="str">
        <f t="shared" si="11"/>
        <v>公共部分装修</v>
      </c>
      <c r="R28" s="703" t="s">
        <v>14</v>
      </c>
      <c r="S28" s="704">
        <f t="shared" si="12"/>
        <v>100</v>
      </c>
      <c r="T28" s="703" t="s">
        <v>14</v>
      </c>
      <c r="U28" s="704">
        <f t="shared" si="13"/>
        <v>100</v>
      </c>
      <c r="V28" s="703" t="s">
        <v>14</v>
      </c>
      <c r="W28" s="704">
        <f t="shared" si="14"/>
        <v>100</v>
      </c>
      <c r="X28" s="1349"/>
      <c r="Y28" s="3702"/>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2"/>
      <c r="Q29" s="1346" t="str">
        <f t="shared" si="11"/>
        <v>成新率</v>
      </c>
      <c r="R29" s="703" t="s">
        <v>14</v>
      </c>
      <c r="S29" s="704" t="e">
        <f t="shared" si="12"/>
        <v>#N/A</v>
      </c>
      <c r="T29" s="703" t="s">
        <v>14</v>
      </c>
      <c r="U29" s="704" t="e">
        <f t="shared" si="13"/>
        <v>#N/A</v>
      </c>
      <c r="V29" s="703" t="s">
        <v>14</v>
      </c>
      <c r="W29" s="704" t="e">
        <f t="shared" si="14"/>
        <v>#N/A</v>
      </c>
      <c r="X29" s="1349"/>
      <c r="Y29" s="3702"/>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2"/>
      <c r="Q30" s="1346" t="str">
        <f t="shared" si="11"/>
        <v>物业等级</v>
      </c>
      <c r="R30" s="703" t="s">
        <v>14</v>
      </c>
      <c r="S30" s="704">
        <f t="shared" si="12"/>
        <v>100</v>
      </c>
      <c r="T30" s="703" t="s">
        <v>14</v>
      </c>
      <c r="U30" s="704">
        <f t="shared" si="13"/>
        <v>100</v>
      </c>
      <c r="V30" s="703" t="s">
        <v>14</v>
      </c>
      <c r="W30" s="704">
        <f t="shared" si="14"/>
        <v>100</v>
      </c>
      <c r="X30" s="1349"/>
      <c r="Y30" s="3702"/>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2"/>
      <c r="Q31" s="1337" t="str">
        <f t="shared" si="11"/>
        <v>停车位面积</v>
      </c>
      <c r="R31" s="699" t="s">
        <v>14</v>
      </c>
      <c r="S31" s="700" t="e">
        <f t="shared" si="12"/>
        <v>#N/A</v>
      </c>
      <c r="T31" s="699" t="s">
        <v>14</v>
      </c>
      <c r="U31" s="700" t="e">
        <f t="shared" si="13"/>
        <v>#N/A</v>
      </c>
      <c r="V31" s="699" t="s">
        <v>14</v>
      </c>
      <c r="W31" s="700" t="e">
        <f t="shared" si="14"/>
        <v>#N/A</v>
      </c>
      <c r="X31" s="701"/>
      <c r="Y31" s="370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2" t="s">
        <v>1696</v>
      </c>
      <c r="Q32" s="1346" t="str">
        <f t="shared" si="11"/>
        <v>车位类型</v>
      </c>
      <c r="R32" s="703" t="s">
        <v>14</v>
      </c>
      <c r="S32" s="704">
        <f t="shared" si="12"/>
        <v>100</v>
      </c>
      <c r="T32" s="703" t="s">
        <v>14</v>
      </c>
      <c r="U32" s="704">
        <f t="shared" si="13"/>
        <v>100</v>
      </c>
      <c r="V32" s="703" t="s">
        <v>14</v>
      </c>
      <c r="W32" s="704">
        <f t="shared" si="14"/>
        <v>100</v>
      </c>
      <c r="X32" s="1349"/>
      <c r="Y32" s="3702"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2"/>
      <c r="Q33" s="1346" t="str">
        <f t="shared" si="11"/>
        <v>是否直接入户</v>
      </c>
      <c r="R33" s="703" t="s">
        <v>14</v>
      </c>
      <c r="S33" s="704">
        <f t="shared" si="12"/>
        <v>100</v>
      </c>
      <c r="T33" s="703" t="s">
        <v>14</v>
      </c>
      <c r="U33" s="704">
        <f t="shared" si="13"/>
        <v>100</v>
      </c>
      <c r="V33" s="703" t="s">
        <v>14</v>
      </c>
      <c r="W33" s="704">
        <f t="shared" si="14"/>
        <v>100</v>
      </c>
      <c r="X33" s="1349"/>
      <c r="Y33" s="3702"/>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2"/>
      <c r="Q34" s="1346">
        <f t="shared" si="11"/>
        <v>111</v>
      </c>
      <c r="R34" s="703" t="s">
        <v>14</v>
      </c>
      <c r="S34" s="704">
        <f t="shared" si="12"/>
        <v>100</v>
      </c>
      <c r="T34" s="703" t="s">
        <v>14</v>
      </c>
      <c r="U34" s="704">
        <f t="shared" si="13"/>
        <v>100</v>
      </c>
      <c r="V34" s="703" t="s">
        <v>14</v>
      </c>
      <c r="W34" s="704">
        <f t="shared" si="14"/>
        <v>100</v>
      </c>
      <c r="X34" s="1349"/>
      <c r="Y34" s="3702"/>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2"/>
      <c r="Q35" s="705">
        <f t="shared" si="11"/>
        <v>111</v>
      </c>
      <c r="R35" s="706" t="s">
        <v>14</v>
      </c>
      <c r="S35" s="707">
        <f t="shared" si="12"/>
        <v>100</v>
      </c>
      <c r="T35" s="706" t="s">
        <v>14</v>
      </c>
      <c r="U35" s="707">
        <f t="shared" si="13"/>
        <v>100</v>
      </c>
      <c r="V35" s="706" t="s">
        <v>14</v>
      </c>
      <c r="W35" s="707">
        <f t="shared" si="14"/>
        <v>100</v>
      </c>
      <c r="X35" s="708"/>
      <c r="Y35" s="3702"/>
      <c r="Z35" s="709">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2"/>
      <c r="Q36" s="1346">
        <f t="shared" si="11"/>
        <v>111</v>
      </c>
      <c r="R36" s="703" t="s">
        <v>14</v>
      </c>
      <c r="S36" s="704">
        <f t="shared" si="12"/>
        <v>100</v>
      </c>
      <c r="T36" s="703" t="s">
        <v>14</v>
      </c>
      <c r="U36" s="704">
        <f t="shared" si="13"/>
        <v>100</v>
      </c>
      <c r="V36" s="703" t="s">
        <v>14</v>
      </c>
      <c r="W36" s="704">
        <f t="shared" si="14"/>
        <v>100</v>
      </c>
      <c r="X36" s="1349"/>
      <c r="Y36" s="3702"/>
      <c r="Z36" s="1350">
        <f t="shared" si="15"/>
        <v>111</v>
      </c>
      <c r="AA36" s="1347">
        <f t="shared" si="3"/>
        <v>1</v>
      </c>
      <c r="AB36" s="1347">
        <f t="shared" si="4"/>
        <v>1</v>
      </c>
      <c r="AC36" s="1347">
        <f t="shared" si="5"/>
        <v>1</v>
      </c>
    </row>
    <row r="37" spans="1:29" ht="15">
      <c r="A37" s="430" t="s">
        <v>1844</v>
      </c>
      <c r="B37" s="1967" t="s">
        <v>3355</v>
      </c>
      <c r="C37" s="1148" t="s">
        <v>0</v>
      </c>
      <c r="D37" s="1149"/>
      <c r="E37" s="1150"/>
      <c r="F37" s="1151"/>
      <c r="G37" s="1152"/>
      <c r="H37" s="1153"/>
      <c r="I37" s="1150"/>
      <c r="J37" s="1153"/>
      <c r="K37" s="568"/>
      <c r="L37" s="2718"/>
      <c r="M37" s="2719"/>
      <c r="N37" s="2710"/>
      <c r="O37" s="2719"/>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57" t="e">
        <f>R39</f>
        <v>#DIV/0!</v>
      </c>
      <c r="D39" s="1157"/>
      <c r="E39" s="1157"/>
      <c r="F39" s="1157"/>
      <c r="G39" s="1157"/>
      <c r="H39" s="1157"/>
      <c r="I39" s="1157"/>
      <c r="J39" s="1157"/>
      <c r="K39" s="569"/>
      <c r="L39" s="2718"/>
      <c r="M39" s="2719"/>
      <c r="N39" s="2719"/>
      <c r="O39" s="2719"/>
      <c r="P39" s="3692" t="str">
        <f>A39</f>
        <v>估价对象XX用房的比较价值（楼面单价，元/平方米）</v>
      </c>
      <c r="Q39" s="3693"/>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1">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3"/>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87"/>
      <c r="B4" s="3484" t="s">
        <v>917</v>
      </c>
      <c r="C4" s="3484"/>
      <c r="D4" s="3484"/>
      <c r="E4" s="1487"/>
    </row>
    <row r="5" spans="1:5" ht="16.5" thickTop="1">
      <c r="A5" s="1485"/>
      <c r="B5" s="3482" t="s">
        <v>909</v>
      </c>
      <c r="C5" s="1488" t="s">
        <v>910</v>
      </c>
      <c r="D5" s="844">
        <f ca="1">'结果表-1803'!H101</f>
        <v>395</v>
      </c>
      <c r="E5" s="1485"/>
    </row>
    <row r="6" spans="1:5" ht="15.75">
      <c r="A6" s="1485"/>
      <c r="B6" s="3482"/>
      <c r="C6" s="1488" t="s">
        <v>911</v>
      </c>
      <c r="D6" s="844" t="str">
        <f ca="1">NUMBERSTRING(INT(D5*10000),2)&amp;"元整"</f>
        <v>叁佰玖拾伍万元整</v>
      </c>
      <c r="E6" s="1485"/>
    </row>
    <row r="7" spans="1:5" ht="15.75">
      <c r="A7" s="1485"/>
      <c r="B7" s="3487"/>
      <c r="C7" s="1489" t="s">
        <v>912</v>
      </c>
      <c r="D7" s="845">
        <f ca="1">'结果表-1803'!H102</f>
        <v>26774</v>
      </c>
      <c r="E7" s="1485"/>
    </row>
    <row r="8" spans="1:5" ht="15.75">
      <c r="A8" s="1485"/>
      <c r="B8" s="3488" t="str">
        <f>'结果表-1803'!E103</f>
        <v>2.估价师知悉的法定优先受偿款</v>
      </c>
      <c r="C8" s="1490" t="s">
        <v>913</v>
      </c>
      <c r="D8" s="845">
        <f>'结果表-1803'!H103</f>
        <v>0</v>
      </c>
      <c r="E8" s="1485"/>
    </row>
    <row r="9" spans="1:5" ht="15.75">
      <c r="A9" s="1485"/>
      <c r="B9" s="3490"/>
      <c r="C9" s="1488" t="s">
        <v>911</v>
      </c>
      <c r="D9" s="844" t="str">
        <f>NUMBERSTRING(INT(D8*10000),2)&amp;"元整"</f>
        <v>零元整</v>
      </c>
      <c r="E9" s="1485"/>
    </row>
    <row r="10" spans="1:5" ht="15">
      <c r="A10" s="1485"/>
      <c r="B10" s="1491" t="s">
        <v>916</v>
      </c>
      <c r="C10" s="1492" t="s">
        <v>914</v>
      </c>
      <c r="D10" s="846">
        <f>'结果表-1803'!H104</f>
        <v>0</v>
      </c>
      <c r="E10" s="1485"/>
    </row>
    <row r="11" spans="1:5" ht="15">
      <c r="A11" s="1485"/>
      <c r="B11" s="1491" t="s">
        <v>918</v>
      </c>
      <c r="C11" s="1492" t="s">
        <v>919</v>
      </c>
      <c r="D11" s="846">
        <f>'结果表-1803'!H105</f>
        <v>0</v>
      </c>
      <c r="E11" s="1485"/>
    </row>
    <row r="12" spans="1:5" ht="15">
      <c r="A12" s="1485"/>
      <c r="B12" s="1491" t="s">
        <v>920</v>
      </c>
      <c r="C12" s="1492" t="s">
        <v>919</v>
      </c>
      <c r="D12" s="846">
        <f>'结果表-1803'!H106</f>
        <v>0</v>
      </c>
      <c r="E12" s="1485"/>
    </row>
    <row r="13" spans="1:5" ht="15.75">
      <c r="A13" s="1485"/>
      <c r="B13" s="3481" t="str">
        <f>'结果表-1803'!E107</f>
        <v>3.房地产抵押价值</v>
      </c>
      <c r="C13" s="1493" t="s">
        <v>910</v>
      </c>
      <c r="D13" s="847">
        <f ca="1">'结果表-1803'!H107</f>
        <v>395</v>
      </c>
      <c r="E13" s="1485"/>
    </row>
    <row r="14" spans="1:5" ht="15.75">
      <c r="A14" s="1485"/>
      <c r="B14" s="3482"/>
      <c r="C14" s="1488" t="s">
        <v>911</v>
      </c>
      <c r="D14" s="844" t="str">
        <f ca="1">NUMBERSTRING(INT(D13*10000),2)&amp;"元整"</f>
        <v>叁佰玖拾伍万元整</v>
      </c>
      <c r="E14" s="1485"/>
    </row>
    <row r="15" spans="1:5" ht="15">
      <c r="A15" s="1485"/>
      <c r="B15" s="3487"/>
      <c r="C15" s="1489" t="s">
        <v>921</v>
      </c>
      <c r="D15" s="853">
        <f ca="1">'结果表-1803'!H108</f>
        <v>26774</v>
      </c>
      <c r="E15" s="1485"/>
    </row>
    <row r="16" spans="1:5" ht="15">
      <c r="A16" s="1485"/>
      <c r="B16" s="3488" t="str">
        <f>'结果表-1803'!E109</f>
        <v>——</v>
      </c>
      <c r="C16" s="1493" t="s">
        <v>922</v>
      </c>
      <c r="D16" s="1494" t="str">
        <f>'结果表-1803'!H109</f>
        <v>——</v>
      </c>
      <c r="E16" s="1485"/>
    </row>
    <row r="17" spans="1:5" ht="15.75">
      <c r="A17" s="1485"/>
      <c r="B17" s="3489"/>
      <c r="C17" s="1488" t="s">
        <v>923</v>
      </c>
      <c r="D17" s="844" t="e">
        <f>NUMBERSTRING(INT(D16*10000),2)&amp;"元整"</f>
        <v>#VALUE!</v>
      </c>
      <c r="E17" s="1485"/>
    </row>
    <row r="18" spans="1:5" ht="15">
      <c r="A18" s="1485"/>
      <c r="B18" s="3490"/>
      <c r="C18" s="1489" t="s">
        <v>912</v>
      </c>
      <c r="D18" s="853" t="str">
        <f>'结果表-1803'!H110</f>
        <v>——</v>
      </c>
      <c r="E18" s="1485"/>
    </row>
    <row r="19" spans="1:5" ht="15.75">
      <c r="A19" s="1485"/>
      <c r="B19" s="3481" t="str">
        <f>'结果表-1803'!E111</f>
        <v>4.抵押净值</v>
      </c>
      <c r="C19" s="1493" t="s">
        <v>910</v>
      </c>
      <c r="D19" s="845">
        <f ca="1">'结果表-1803'!H111</f>
        <v>395</v>
      </c>
      <c r="E19" s="1485"/>
    </row>
    <row r="20" spans="1:5" ht="15.75">
      <c r="A20" s="1485"/>
      <c r="B20" s="3482"/>
      <c r="C20" s="1488" t="s">
        <v>923</v>
      </c>
      <c r="D20" s="844" t="str">
        <f ca="1">NUMBERSTRING(INT(D19*10000),2)&amp;"元整"</f>
        <v>叁佰玖拾伍万元整</v>
      </c>
      <c r="E20" s="1485"/>
    </row>
    <row r="21" spans="1:5" ht="15.75" thickBot="1">
      <c r="A21" s="1485"/>
      <c r="B21" s="3483"/>
      <c r="C21" s="1495" t="s">
        <v>921</v>
      </c>
      <c r="D21" s="854">
        <f ca="1">'结果表-1803'!H112</f>
        <v>5744</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3335</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09"/>
      <c r="M4" s="2710"/>
      <c r="N4" s="2710"/>
      <c r="O4" s="2710"/>
      <c r="P4" s="3714" t="s">
        <v>1775</v>
      </c>
      <c r="Q4" s="3715"/>
      <c r="R4" s="3720" t="s">
        <v>1771</v>
      </c>
      <c r="S4" s="3721"/>
      <c r="T4" s="3720" t="s">
        <v>1772</v>
      </c>
      <c r="U4" s="3721"/>
      <c r="V4" s="3726" t="s">
        <v>1773</v>
      </c>
      <c r="W4" s="3726"/>
      <c r="X4" s="1349"/>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09"/>
      <c r="M5" s="2710"/>
      <c r="N5" s="2710"/>
      <c r="O5" s="2710"/>
      <c r="P5" s="3716"/>
      <c r="Q5" s="3717"/>
      <c r="R5" s="3722"/>
      <c r="S5" s="3723"/>
      <c r="T5" s="3722"/>
      <c r="U5" s="3723"/>
      <c r="V5" s="3726"/>
      <c r="W5" s="3726"/>
      <c r="X5" s="1349"/>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09"/>
      <c r="M6" s="2710"/>
      <c r="N6" s="2710"/>
      <c r="O6" s="2710"/>
      <c r="P6" s="3718"/>
      <c r="Q6" s="3719"/>
      <c r="R6" s="3722"/>
      <c r="S6" s="3723"/>
      <c r="T6" s="3724"/>
      <c r="U6" s="3725"/>
      <c r="V6" s="3726"/>
      <c r="W6" s="3726"/>
      <c r="X6" s="1349"/>
      <c r="Y6" s="3724"/>
      <c r="Z6" s="3725"/>
      <c r="AA6" s="3709"/>
      <c r="AB6" s="3709"/>
      <c r="AC6" s="3709"/>
    </row>
    <row r="7" spans="1:29" s="108" customFormat="1" ht="15.75" thickBot="1">
      <c r="A7" s="362" t="s">
        <v>1679</v>
      </c>
      <c r="B7" s="363"/>
      <c r="C7" s="364">
        <f>'数据-取费表'!B2</f>
        <v>45506</v>
      </c>
      <c r="D7" s="365">
        <v>100</v>
      </c>
      <c r="E7" s="366"/>
      <c r="F7" s="367">
        <f>SUMIF(46:46,YEAR(E7)&amp;"-"&amp;MONTH(E7),47:47)</f>
        <v>0</v>
      </c>
      <c r="G7" s="1968"/>
      <c r="H7" s="365">
        <f>SUMIF(46:46,YEAR(G7)&amp;"-"&amp;MONTH(G7),47:47)</f>
        <v>0</v>
      </c>
      <c r="I7" s="366"/>
      <c r="J7" s="365">
        <f>SUMIF(46:46,YEAR(I7)&amp;"-"&amp;MONTH(I7),47:47)</f>
        <v>0</v>
      </c>
      <c r="K7" s="560"/>
      <c r="L7" s="2711"/>
      <c r="M7" s="2712"/>
      <c r="N7" s="2712"/>
      <c r="O7" s="2712"/>
      <c r="P7" s="3731" t="s">
        <v>1680</v>
      </c>
      <c r="Q7" s="3733"/>
      <c r="R7" s="699" t="s">
        <v>14</v>
      </c>
      <c r="S7" s="700">
        <f t="shared" ref="S7:S14" si="0">F7</f>
        <v>0</v>
      </c>
      <c r="T7" s="699" t="s">
        <v>14</v>
      </c>
      <c r="U7" s="700">
        <f t="shared" ref="U7:U14" si="1">H7</f>
        <v>0</v>
      </c>
      <c r="V7" s="699" t="s">
        <v>14</v>
      </c>
      <c r="W7" s="700">
        <f t="shared" ref="W7:W14" si="2">J7</f>
        <v>0</v>
      </c>
      <c r="X7" s="701"/>
      <c r="Y7" s="3731" t="s">
        <v>1680</v>
      </c>
      <c r="Z7" s="373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31" t="s">
        <v>1683</v>
      </c>
      <c r="Q8" s="3732"/>
      <c r="R8" s="699" t="s">
        <v>14</v>
      </c>
      <c r="S8" s="700">
        <f t="shared" si="0"/>
        <v>100</v>
      </c>
      <c r="T8" s="699" t="s">
        <v>14</v>
      </c>
      <c r="U8" s="700">
        <f t="shared" si="1"/>
        <v>100</v>
      </c>
      <c r="V8" s="699" t="s">
        <v>14</v>
      </c>
      <c r="W8" s="700">
        <f t="shared" si="2"/>
        <v>100</v>
      </c>
      <c r="X8" s="701"/>
      <c r="Y8" s="3731" t="s">
        <v>1683</v>
      </c>
      <c r="Z8" s="373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5" t="s">
        <v>1686</v>
      </c>
      <c r="Q9" s="1337" t="str">
        <f t="shared" ref="Q9:Q14" si="6">B9</f>
        <v>用途</v>
      </c>
      <c r="R9" s="699" t="s">
        <v>14</v>
      </c>
      <c r="S9" s="700">
        <f t="shared" si="0"/>
        <v>100</v>
      </c>
      <c r="T9" s="699" t="s">
        <v>14</v>
      </c>
      <c r="U9" s="700">
        <f t="shared" si="1"/>
        <v>100</v>
      </c>
      <c r="V9" s="699" t="s">
        <v>14</v>
      </c>
      <c r="W9" s="700">
        <f t="shared" si="2"/>
        <v>100</v>
      </c>
      <c r="X9" s="701"/>
      <c r="Y9" s="3570" t="s">
        <v>1687</v>
      </c>
      <c r="Z9" s="52" t="str">
        <f t="shared" ref="Z9:Z14" si="7">Q9</f>
        <v>用途</v>
      </c>
      <c r="AA9" s="702">
        <f t="shared" si="3"/>
        <v>1</v>
      </c>
      <c r="AB9" s="702">
        <f t="shared" si="4"/>
        <v>1</v>
      </c>
      <c r="AC9" s="702">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695"/>
      <c r="Q10" s="1337" t="str">
        <f t="shared" si="6"/>
        <v>土地使用年限（年）</v>
      </c>
      <c r="R10" s="699" t="s">
        <v>14</v>
      </c>
      <c r="S10" s="700">
        <f t="shared" si="0"/>
        <v>100</v>
      </c>
      <c r="T10" s="699" t="s">
        <v>14</v>
      </c>
      <c r="U10" s="700">
        <f t="shared" si="1"/>
        <v>100</v>
      </c>
      <c r="V10" s="699" t="s">
        <v>14</v>
      </c>
      <c r="W10" s="700">
        <f t="shared" si="2"/>
        <v>100</v>
      </c>
      <c r="X10" s="701"/>
      <c r="Y10" s="3570"/>
      <c r="Z10" s="52" t="str">
        <f t="shared" si="7"/>
        <v>土地使用年限（年）</v>
      </c>
      <c r="AA10" s="702">
        <f t="shared" si="3"/>
        <v>1</v>
      </c>
      <c r="AB10" s="702">
        <f t="shared" si="4"/>
        <v>1</v>
      </c>
      <c r="AC10" s="702">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5"/>
      <c r="Q11" s="1337">
        <f t="shared" si="6"/>
        <v>111</v>
      </c>
      <c r="R11" s="699" t="s">
        <v>14</v>
      </c>
      <c r="S11" s="700">
        <f t="shared" si="0"/>
        <v>100</v>
      </c>
      <c r="T11" s="699" t="s">
        <v>14</v>
      </c>
      <c r="U11" s="700">
        <f t="shared" si="1"/>
        <v>100</v>
      </c>
      <c r="V11" s="699" t="s">
        <v>14</v>
      </c>
      <c r="W11" s="700">
        <f t="shared" si="2"/>
        <v>100</v>
      </c>
      <c r="X11" s="701"/>
      <c r="Y11" s="3570"/>
      <c r="Z11" s="52">
        <f t="shared" si="7"/>
        <v>111</v>
      </c>
      <c r="AA11" s="702">
        <f t="shared" si="3"/>
        <v>1</v>
      </c>
      <c r="AB11" s="702">
        <f t="shared" si="4"/>
        <v>1</v>
      </c>
      <c r="AC11" s="702">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5"/>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702">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6"/>
      <c r="M13" s="2710"/>
      <c r="N13" s="2710"/>
      <c r="O13" s="2768"/>
      <c r="P13" s="3695"/>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702">
        <f t="shared" si="5"/>
        <v>1</v>
      </c>
    </row>
    <row r="14" spans="1:29" ht="85.5">
      <c r="A14" s="391" t="s">
        <v>1690</v>
      </c>
      <c r="B14" s="61" t="s">
        <v>1833</v>
      </c>
      <c r="C14" s="1965"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7" t="s">
        <v>1691</v>
      </c>
      <c r="Q14" s="1346" t="str">
        <f t="shared" si="6"/>
        <v>交通便捷度</v>
      </c>
      <c r="R14" s="703" t="s">
        <v>14</v>
      </c>
      <c r="S14" s="704">
        <f t="shared" si="0"/>
        <v>100</v>
      </c>
      <c r="T14" s="703" t="s">
        <v>14</v>
      </c>
      <c r="U14" s="704">
        <f t="shared" si="1"/>
        <v>100</v>
      </c>
      <c r="V14" s="703" t="s">
        <v>14</v>
      </c>
      <c r="W14" s="704">
        <f t="shared" si="2"/>
        <v>100</v>
      </c>
      <c r="X14" s="1349"/>
      <c r="Y14" s="3697"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6"/>
      <c r="M15" s="2710"/>
      <c r="N15" s="2710"/>
      <c r="O15" s="2768"/>
      <c r="P15" s="3698"/>
      <c r="Q15" s="1346"/>
      <c r="R15" s="703"/>
      <c r="S15" s="704"/>
      <c r="T15" s="703"/>
      <c r="U15" s="704"/>
      <c r="V15" s="703"/>
      <c r="W15" s="704"/>
      <c r="X15" s="1349"/>
      <c r="Y15" s="3698"/>
      <c r="Z15" s="1350"/>
      <c r="AA15" s="1347">
        <v>1</v>
      </c>
      <c r="AB15" s="1347">
        <v>1</v>
      </c>
      <c r="AC15" s="1347">
        <v>1</v>
      </c>
    </row>
    <row r="16" spans="1:29" ht="42.75">
      <c r="A16" s="379"/>
      <c r="B16" s="402" t="s">
        <v>1812</v>
      </c>
      <c r="C16" s="1894"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8"/>
      <c r="Q16" s="1346" t="str">
        <f>B16</f>
        <v>公共配套设施</v>
      </c>
      <c r="R16" s="703" t="s">
        <v>14</v>
      </c>
      <c r="S16" s="704">
        <f>F16</f>
        <v>100</v>
      </c>
      <c r="T16" s="703" t="s">
        <v>14</v>
      </c>
      <c r="U16" s="704">
        <f>H16</f>
        <v>100</v>
      </c>
      <c r="V16" s="703" t="s">
        <v>14</v>
      </c>
      <c r="W16" s="704">
        <f>J16</f>
        <v>100</v>
      </c>
      <c r="X16" s="1349"/>
      <c r="Y16" s="3698"/>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16"/>
      <c r="M17" s="2710"/>
      <c r="N17" s="2710"/>
      <c r="O17" s="2768"/>
      <c r="P17" s="3698"/>
      <c r="Q17" s="1346"/>
      <c r="R17" s="703"/>
      <c r="S17" s="704"/>
      <c r="T17" s="703"/>
      <c r="U17" s="704"/>
      <c r="V17" s="703"/>
      <c r="W17" s="704"/>
      <c r="X17" s="1349"/>
      <c r="Y17" s="3698"/>
      <c r="Z17" s="1350"/>
      <c r="AA17" s="1347">
        <v>1</v>
      </c>
      <c r="AB17" s="1347">
        <v>1</v>
      </c>
      <c r="AC17" s="1347">
        <v>1</v>
      </c>
    </row>
    <row r="18" spans="1:29" ht="28.5">
      <c r="A18" s="379"/>
      <c r="B18" s="1125" t="s">
        <v>1813</v>
      </c>
      <c r="C18" s="1894"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8"/>
      <c r="Q18" s="1346" t="str">
        <f>B18</f>
        <v>基础设施水平</v>
      </c>
      <c r="R18" s="703" t="s">
        <v>14</v>
      </c>
      <c r="S18" s="704">
        <f>F18</f>
        <v>100</v>
      </c>
      <c r="T18" s="703" t="s">
        <v>14</v>
      </c>
      <c r="U18" s="704">
        <f>H18</f>
        <v>100</v>
      </c>
      <c r="V18" s="703" t="s">
        <v>14</v>
      </c>
      <c r="W18" s="704">
        <f>J18</f>
        <v>100</v>
      </c>
      <c r="X18" s="1349"/>
      <c r="Y18" s="3698"/>
      <c r="Z18" s="1350" t="str">
        <f>Q18</f>
        <v>基础设施水平</v>
      </c>
      <c r="AA18" s="1347">
        <f t="shared" ref="AA18" si="8">D18/F18</f>
        <v>1</v>
      </c>
      <c r="AB18" s="1347">
        <f t="shared" ref="AB18" si="9">D18/H18</f>
        <v>1</v>
      </c>
      <c r="AC18" s="1347">
        <f t="shared" ref="AC18" si="10">D18/J18</f>
        <v>1</v>
      </c>
    </row>
    <row r="19" spans="1:29" ht="15">
      <c r="A19" s="379"/>
      <c r="B19" s="1125"/>
      <c r="C19" s="1895"/>
      <c r="D19" s="401"/>
      <c r="E19" s="1895"/>
      <c r="F19" s="404"/>
      <c r="G19" s="1895"/>
      <c r="H19" s="399"/>
      <c r="I19" s="398"/>
      <c r="J19" s="399"/>
      <c r="K19" s="1124"/>
      <c r="L19" s="2716"/>
      <c r="M19" s="2710"/>
      <c r="N19" s="2710"/>
      <c r="O19" s="2768"/>
      <c r="P19" s="3698"/>
      <c r="Q19" s="1346"/>
      <c r="R19" s="703"/>
      <c r="S19" s="704"/>
      <c r="T19" s="703"/>
      <c r="U19" s="704"/>
      <c r="V19" s="703"/>
      <c r="W19" s="704"/>
      <c r="X19" s="1349"/>
      <c r="Y19" s="3698"/>
      <c r="Z19" s="1350"/>
      <c r="AA19" s="1347">
        <v>1</v>
      </c>
      <c r="AB19" s="1347">
        <v>1</v>
      </c>
      <c r="AC19" s="1347">
        <v>1</v>
      </c>
    </row>
    <row r="20" spans="1:29" ht="57">
      <c r="A20" s="379"/>
      <c r="B20" s="402" t="s">
        <v>1834</v>
      </c>
      <c r="C20" s="1894"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8"/>
      <c r="Q20" s="1346" t="str">
        <f>B20</f>
        <v>自然及人文环境</v>
      </c>
      <c r="R20" s="703" t="s">
        <v>14</v>
      </c>
      <c r="S20" s="704">
        <f>F20</f>
        <v>100</v>
      </c>
      <c r="T20" s="703" t="s">
        <v>14</v>
      </c>
      <c r="U20" s="704">
        <f>H20</f>
        <v>100</v>
      </c>
      <c r="V20" s="703" t="s">
        <v>14</v>
      </c>
      <c r="W20" s="704">
        <f>J20</f>
        <v>100</v>
      </c>
      <c r="X20" s="1349"/>
      <c r="Y20" s="3698"/>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6"/>
      <c r="M21" s="2710"/>
      <c r="N21" s="2710"/>
      <c r="O21" s="2768"/>
      <c r="P21" s="3698"/>
      <c r="Q21" s="1346"/>
      <c r="R21" s="703"/>
      <c r="S21" s="704"/>
      <c r="T21" s="703"/>
      <c r="U21" s="704"/>
      <c r="V21" s="703"/>
      <c r="W21" s="704"/>
      <c r="X21" s="1349"/>
      <c r="Y21" s="3698"/>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8"/>
      <c r="Q22" s="1346" t="str">
        <f>B22</f>
        <v>楼层</v>
      </c>
      <c r="R22" s="703" t="s">
        <v>14</v>
      </c>
      <c r="S22" s="704">
        <f>F22</f>
        <v>100</v>
      </c>
      <c r="T22" s="703" t="s">
        <v>14</v>
      </c>
      <c r="U22" s="704">
        <f>H22</f>
        <v>100</v>
      </c>
      <c r="V22" s="703" t="s">
        <v>14</v>
      </c>
      <c r="W22" s="704">
        <f>J22</f>
        <v>100</v>
      </c>
      <c r="X22" s="1349"/>
      <c r="Y22" s="3698"/>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8"/>
      <c r="Q23" s="1346">
        <f>B23</f>
        <v>111</v>
      </c>
      <c r="R23" s="703" t="s">
        <v>14</v>
      </c>
      <c r="S23" s="704">
        <f>F23</f>
        <v>100</v>
      </c>
      <c r="T23" s="703" t="s">
        <v>14</v>
      </c>
      <c r="U23" s="704">
        <f>H23</f>
        <v>100</v>
      </c>
      <c r="V23" s="703" t="s">
        <v>14</v>
      </c>
      <c r="W23" s="704">
        <f>J23</f>
        <v>100</v>
      </c>
      <c r="X23" s="1349"/>
      <c r="Y23" s="3698"/>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8"/>
      <c r="Q24" s="1346">
        <f t="shared" ref="Q24:Q34" si="11">B24</f>
        <v>111</v>
      </c>
      <c r="R24" s="703" t="s">
        <v>14</v>
      </c>
      <c r="S24" s="704">
        <f>F24</f>
        <v>100</v>
      </c>
      <c r="T24" s="703" t="s">
        <v>14</v>
      </c>
      <c r="U24" s="704">
        <f>H24</f>
        <v>100</v>
      </c>
      <c r="V24" s="703" t="s">
        <v>14</v>
      </c>
      <c r="W24" s="704">
        <f>J24</f>
        <v>100</v>
      </c>
      <c r="X24" s="1349"/>
      <c r="Y24" s="3698"/>
      <c r="Z24" s="1350">
        <f>Q24</f>
        <v>111</v>
      </c>
      <c r="AA24" s="1347">
        <f t="shared" si="3"/>
        <v>1</v>
      </c>
      <c r="AB24" s="1347">
        <f t="shared" si="4"/>
        <v>1</v>
      </c>
      <c r="AC24" s="1347">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1"/>
      <c r="M25" s="2712"/>
      <c r="N25" s="2712"/>
      <c r="O25" s="2766"/>
      <c r="P25" s="3698"/>
      <c r="Q25" s="1337">
        <f t="shared" si="11"/>
        <v>111</v>
      </c>
      <c r="R25" s="699" t="s">
        <v>14</v>
      </c>
      <c r="S25" s="700">
        <f>F25</f>
        <v>100</v>
      </c>
      <c r="T25" s="699" t="s">
        <v>14</v>
      </c>
      <c r="U25" s="700">
        <f>H25</f>
        <v>100</v>
      </c>
      <c r="V25" s="699" t="s">
        <v>14</v>
      </c>
      <c r="W25" s="700">
        <f>J25</f>
        <v>100</v>
      </c>
      <c r="X25" s="701"/>
      <c r="Y25" s="3698"/>
      <c r="Z25" s="52">
        <f>Q25</f>
        <v>111</v>
      </c>
      <c r="AA25" s="1347">
        <f>D25/F25</f>
        <v>1</v>
      </c>
      <c r="AB25" s="1347">
        <f>D25/H25</f>
        <v>1</v>
      </c>
      <c r="AC25" s="1347">
        <f>D25/J25</f>
        <v>1</v>
      </c>
    </row>
    <row r="26" spans="1:29" ht="28.5">
      <c r="A26" s="417" t="s">
        <v>1694</v>
      </c>
      <c r="B26" s="63" t="s">
        <v>1838</v>
      </c>
      <c r="C26" s="1961"/>
      <c r="D26" s="418">
        <v>100</v>
      </c>
      <c r="E26" s="1961"/>
      <c r="F26" s="615">
        <f>SUMIF(77:77,E26,78:78)-SUMIF(77:77,C26,78:78)+100</f>
        <v>100</v>
      </c>
      <c r="G26" s="1961"/>
      <c r="H26" s="418">
        <f>SUMIF(77:77,G26,78:78)-SUMIF(77:77,C26,78:78)+100</f>
        <v>100</v>
      </c>
      <c r="I26" s="1961"/>
      <c r="J26" s="418">
        <f>SUMIF(77:77,I26,78:78)-SUMIF(77:77,C26,78:78)+100</f>
        <v>100</v>
      </c>
      <c r="K26" s="561"/>
      <c r="L26" s="2716"/>
      <c r="M26" s="2710"/>
      <c r="N26" s="2710"/>
      <c r="O26" s="2768"/>
      <c r="P26" s="3755" t="s">
        <v>1696</v>
      </c>
      <c r="Q26" s="1346" t="str">
        <f t="shared" si="11"/>
        <v>公共部分装修</v>
      </c>
      <c r="R26" s="703" t="s">
        <v>14</v>
      </c>
      <c r="S26" s="704">
        <f t="shared" ref="S26:S34" si="12">F26</f>
        <v>100</v>
      </c>
      <c r="T26" s="703" t="s">
        <v>14</v>
      </c>
      <c r="U26" s="704">
        <f t="shared" ref="U26:U34" si="13">H26</f>
        <v>100</v>
      </c>
      <c r="V26" s="703" t="s">
        <v>14</v>
      </c>
      <c r="W26" s="704">
        <f t="shared" ref="W26:W34" si="14">J26</f>
        <v>100</v>
      </c>
      <c r="X26" s="1349"/>
      <c r="Y26" s="3702"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2"/>
      <c r="Q27" s="705" t="str">
        <f t="shared" si="11"/>
        <v>成新率</v>
      </c>
      <c r="R27" s="706" t="s">
        <v>14</v>
      </c>
      <c r="S27" s="707" t="e">
        <f t="shared" si="12"/>
        <v>#N/A</v>
      </c>
      <c r="T27" s="706" t="s">
        <v>14</v>
      </c>
      <c r="U27" s="707" t="e">
        <f t="shared" si="13"/>
        <v>#N/A</v>
      </c>
      <c r="V27" s="706" t="s">
        <v>14</v>
      </c>
      <c r="W27" s="707" t="e">
        <f t="shared" si="14"/>
        <v>#N/A</v>
      </c>
      <c r="X27" s="708"/>
      <c r="Y27" s="3702"/>
      <c r="Z27" s="709"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2"/>
      <c r="Q28" s="1346" t="str">
        <f t="shared" si="11"/>
        <v>物业等级</v>
      </c>
      <c r="R28" s="703" t="s">
        <v>14</v>
      </c>
      <c r="S28" s="704">
        <f t="shared" si="12"/>
        <v>100</v>
      </c>
      <c r="T28" s="703" t="s">
        <v>14</v>
      </c>
      <c r="U28" s="704">
        <f t="shared" si="13"/>
        <v>100</v>
      </c>
      <c r="V28" s="703" t="s">
        <v>14</v>
      </c>
      <c r="W28" s="704">
        <f t="shared" si="14"/>
        <v>100</v>
      </c>
      <c r="X28" s="1349"/>
      <c r="Y28" s="3702"/>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2"/>
      <c r="Q29" s="1346" t="str">
        <f t="shared" si="11"/>
        <v>有无电梯</v>
      </c>
      <c r="R29" s="703" t="s">
        <v>14</v>
      </c>
      <c r="S29" s="704">
        <f t="shared" si="12"/>
        <v>100</v>
      </c>
      <c r="T29" s="703" t="s">
        <v>14</v>
      </c>
      <c r="U29" s="704">
        <f t="shared" si="13"/>
        <v>100</v>
      </c>
      <c r="V29" s="703" t="s">
        <v>14</v>
      </c>
      <c r="W29" s="704">
        <f t="shared" si="14"/>
        <v>100</v>
      </c>
      <c r="X29" s="1349"/>
      <c r="Y29" s="3702"/>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2"/>
      <c r="Q30" s="1346" t="str">
        <f t="shared" si="11"/>
        <v>建筑面积</v>
      </c>
      <c r="R30" s="703" t="s">
        <v>14</v>
      </c>
      <c r="S30" s="704" t="e">
        <f t="shared" si="12"/>
        <v>#N/A</v>
      </c>
      <c r="T30" s="703" t="s">
        <v>14</v>
      </c>
      <c r="U30" s="704" t="e">
        <f t="shared" si="13"/>
        <v>#N/A</v>
      </c>
      <c r="V30" s="703" t="s">
        <v>14</v>
      </c>
      <c r="W30" s="704" t="e">
        <f t="shared" si="14"/>
        <v>#N/A</v>
      </c>
      <c r="X30" s="1349"/>
      <c r="Y30" s="3702"/>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2"/>
      <c r="Q31" s="1337" t="str">
        <f t="shared" si="11"/>
        <v>是否封闭</v>
      </c>
      <c r="R31" s="699" t="s">
        <v>14</v>
      </c>
      <c r="S31" s="700">
        <f t="shared" si="12"/>
        <v>100</v>
      </c>
      <c r="T31" s="699" t="s">
        <v>14</v>
      </c>
      <c r="U31" s="700">
        <f t="shared" si="13"/>
        <v>100</v>
      </c>
      <c r="V31" s="699" t="s">
        <v>14</v>
      </c>
      <c r="W31" s="700">
        <f t="shared" si="14"/>
        <v>100</v>
      </c>
      <c r="X31" s="701"/>
      <c r="Y31" s="3702"/>
      <c r="Z31" s="52" t="str">
        <f t="shared" si="15"/>
        <v>是否封闭</v>
      </c>
      <c r="AA31" s="702">
        <f t="shared" si="3"/>
        <v>1</v>
      </c>
      <c r="AB31" s="702">
        <f t="shared" si="4"/>
        <v>1</v>
      </c>
      <c r="AC31" s="702">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2" t="s">
        <v>1696</v>
      </c>
      <c r="Q32" s="1346">
        <f t="shared" si="11"/>
        <v>111</v>
      </c>
      <c r="R32" s="703" t="s">
        <v>14</v>
      </c>
      <c r="S32" s="704">
        <f t="shared" si="12"/>
        <v>100</v>
      </c>
      <c r="T32" s="703" t="s">
        <v>14</v>
      </c>
      <c r="U32" s="704">
        <f t="shared" si="13"/>
        <v>100</v>
      </c>
      <c r="V32" s="703" t="s">
        <v>14</v>
      </c>
      <c r="W32" s="704">
        <f t="shared" si="14"/>
        <v>100</v>
      </c>
      <c r="X32" s="1349"/>
      <c r="Y32" s="3702"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2"/>
      <c r="Q33" s="1346">
        <f t="shared" si="11"/>
        <v>111</v>
      </c>
      <c r="R33" s="703" t="s">
        <v>14</v>
      </c>
      <c r="S33" s="704">
        <f t="shared" si="12"/>
        <v>100</v>
      </c>
      <c r="T33" s="703" t="s">
        <v>14</v>
      </c>
      <c r="U33" s="704">
        <f t="shared" si="13"/>
        <v>100</v>
      </c>
      <c r="V33" s="703" t="s">
        <v>14</v>
      </c>
      <c r="W33" s="704">
        <f t="shared" si="14"/>
        <v>100</v>
      </c>
      <c r="X33" s="1349"/>
      <c r="Y33" s="3702"/>
      <c r="Z33" s="1350">
        <f t="shared" si="15"/>
        <v>111</v>
      </c>
      <c r="AA33" s="1347">
        <f t="shared" si="3"/>
        <v>1</v>
      </c>
      <c r="AB33" s="1347">
        <f t="shared" si="4"/>
        <v>1</v>
      </c>
      <c r="AC33" s="1347">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6"/>
      <c r="M34" s="2710"/>
      <c r="N34" s="2710"/>
      <c r="O34" s="2768"/>
      <c r="P34" s="3702"/>
      <c r="Q34" s="1346">
        <f t="shared" si="11"/>
        <v>111</v>
      </c>
      <c r="R34" s="703" t="s">
        <v>14</v>
      </c>
      <c r="S34" s="704">
        <f t="shared" si="12"/>
        <v>100</v>
      </c>
      <c r="T34" s="703" t="s">
        <v>14</v>
      </c>
      <c r="U34" s="704">
        <f t="shared" si="13"/>
        <v>100</v>
      </c>
      <c r="V34" s="703" t="s">
        <v>14</v>
      </c>
      <c r="W34" s="704">
        <f t="shared" si="14"/>
        <v>100</v>
      </c>
      <c r="X34" s="1349"/>
      <c r="Y34" s="3702"/>
      <c r="Z34" s="1350">
        <f t="shared" si="15"/>
        <v>111</v>
      </c>
      <c r="AA34" s="1347">
        <f t="shared" si="3"/>
        <v>1</v>
      </c>
      <c r="AB34" s="1347">
        <f t="shared" si="4"/>
        <v>1</v>
      </c>
      <c r="AC34" s="1347">
        <f t="shared" si="5"/>
        <v>1</v>
      </c>
    </row>
    <row r="35" spans="1:30" ht="15">
      <c r="A35" s="430" t="s">
        <v>1708</v>
      </c>
      <c r="B35" s="431"/>
      <c r="C35" s="1148" t="s">
        <v>0</v>
      </c>
      <c r="D35" s="1149"/>
      <c r="E35" s="1150"/>
      <c r="F35" s="1151"/>
      <c r="G35" s="1152"/>
      <c r="H35" s="1153"/>
      <c r="I35" s="1150"/>
      <c r="J35" s="1153"/>
      <c r="K35" s="712"/>
      <c r="L35" s="2718"/>
      <c r="M35" s="2719"/>
      <c r="N35" s="2710"/>
      <c r="O35" s="2719"/>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57" t="e">
        <f>R37</f>
        <v>#DIV/0!</v>
      </c>
      <c r="D37" s="1157"/>
      <c r="E37" s="1157"/>
      <c r="F37" s="1157"/>
      <c r="G37" s="1157"/>
      <c r="H37" s="1157"/>
      <c r="I37" s="1157"/>
      <c r="J37" s="1157"/>
      <c r="K37" s="713"/>
      <c r="L37" s="2718"/>
      <c r="M37" s="2719"/>
      <c r="N37" s="2719"/>
      <c r="O37" s="2719"/>
      <c r="P37" s="3692" t="str">
        <f>A37</f>
        <v>估价对象XX用房的比较价值（楼面单价，元/平方米）</v>
      </c>
      <c r="Q37" s="3693"/>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7">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1"/>
      <c r="D2" s="901"/>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30" ht="15">
      <c r="A4" s="355" t="s">
        <v>1769</v>
      </c>
      <c r="B4" s="356"/>
      <c r="C4" s="3710" t="s">
        <v>1770</v>
      </c>
      <c r="D4" s="3711"/>
      <c r="E4" s="3712" t="s">
        <v>1771</v>
      </c>
      <c r="F4" s="3713"/>
      <c r="G4" s="3710" t="s">
        <v>1772</v>
      </c>
      <c r="H4" s="3711"/>
      <c r="I4" s="3710" t="s">
        <v>1773</v>
      </c>
      <c r="J4" s="3711"/>
      <c r="K4" s="559" t="s">
        <v>1774</v>
      </c>
      <c r="L4" s="2709"/>
      <c r="M4" s="2710"/>
      <c r="N4" s="2710"/>
      <c r="O4" s="2710"/>
      <c r="P4" s="3714" t="s">
        <v>1775</v>
      </c>
      <c r="Q4" s="3715"/>
      <c r="R4" s="3720" t="s">
        <v>1771</v>
      </c>
      <c r="S4" s="3721"/>
      <c r="T4" s="3720" t="s">
        <v>1772</v>
      </c>
      <c r="U4" s="3721"/>
      <c r="V4" s="3726" t="s">
        <v>1773</v>
      </c>
      <c r="W4" s="3726"/>
      <c r="X4" s="1349"/>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09"/>
      <c r="M5" s="2710"/>
      <c r="N5" s="2710"/>
      <c r="O5" s="2710"/>
      <c r="P5" s="3716"/>
      <c r="Q5" s="3717"/>
      <c r="R5" s="3722"/>
      <c r="S5" s="3723"/>
      <c r="T5" s="3722"/>
      <c r="U5" s="3723"/>
      <c r="V5" s="3726"/>
      <c r="W5" s="3726"/>
      <c r="X5" s="1349"/>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09"/>
      <c r="M6" s="2710"/>
      <c r="N6" s="2710"/>
      <c r="O6" s="2710"/>
      <c r="P6" s="3718"/>
      <c r="Q6" s="3719"/>
      <c r="R6" s="3722"/>
      <c r="S6" s="3723"/>
      <c r="T6" s="3724"/>
      <c r="U6" s="3725"/>
      <c r="V6" s="3726"/>
      <c r="W6" s="3726"/>
      <c r="X6" s="1349"/>
      <c r="Y6" s="3724"/>
      <c r="Z6" s="3725"/>
      <c r="AA6" s="3709"/>
      <c r="AB6" s="3709"/>
      <c r="AC6" s="3709"/>
    </row>
    <row r="7" spans="1:30" s="108" customFormat="1" ht="15.75" thickBot="1">
      <c r="A7" s="362" t="s">
        <v>1679</v>
      </c>
      <c r="B7" s="363"/>
      <c r="C7" s="364">
        <f>'数据-取费表'!B2</f>
        <v>45506</v>
      </c>
      <c r="D7" s="365">
        <v>100</v>
      </c>
      <c r="E7" s="366"/>
      <c r="F7" s="367">
        <f>SUMIF(69:69,YEAR(E7)&amp;"-"&amp;INT((MONTH(E7)+2)/3),70:70)</f>
        <v>0</v>
      </c>
      <c r="G7" s="1968"/>
      <c r="H7" s="365">
        <f>SUMIF(69:69,YEAR(G7)&amp;"-"&amp;INT((MONTH(G7)+2)/3),70:70)</f>
        <v>0</v>
      </c>
      <c r="I7" s="1968"/>
      <c r="J7" s="365">
        <f>SUMIF(69:69,YEAR(I7)&amp;"-"&amp;INT((MONTH(I7)+2)/3),70:70)</f>
        <v>0</v>
      </c>
      <c r="K7" s="560"/>
      <c r="L7" s="2711"/>
      <c r="M7" s="2712"/>
      <c r="N7" s="2712"/>
      <c r="O7" s="2712"/>
      <c r="P7" s="3731" t="s">
        <v>1680</v>
      </c>
      <c r="Q7" s="3733"/>
      <c r="R7" s="699" t="s">
        <v>14</v>
      </c>
      <c r="S7" s="700">
        <f t="shared" ref="S7:S15" si="0">F7</f>
        <v>0</v>
      </c>
      <c r="T7" s="699" t="s">
        <v>14</v>
      </c>
      <c r="U7" s="700">
        <f t="shared" ref="U7:U15" si="1">H7</f>
        <v>0</v>
      </c>
      <c r="V7" s="699" t="s">
        <v>14</v>
      </c>
      <c r="W7" s="700">
        <f t="shared" ref="W7:W15" si="2">J7</f>
        <v>0</v>
      </c>
      <c r="X7" s="701"/>
      <c r="Y7" s="3731" t="s">
        <v>1680</v>
      </c>
      <c r="Z7" s="373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31" t="s">
        <v>1683</v>
      </c>
      <c r="Q8" s="3732"/>
      <c r="R8" s="699" t="s">
        <v>14</v>
      </c>
      <c r="S8" s="700">
        <f t="shared" si="0"/>
        <v>0</v>
      </c>
      <c r="T8" s="699" t="s">
        <v>14</v>
      </c>
      <c r="U8" s="700">
        <f t="shared" si="1"/>
        <v>0</v>
      </c>
      <c r="V8" s="699" t="s">
        <v>14</v>
      </c>
      <c r="W8" s="700">
        <f t="shared" si="2"/>
        <v>0</v>
      </c>
      <c r="X8" s="701"/>
      <c r="Y8" s="3731" t="s">
        <v>1683</v>
      </c>
      <c r="Z8" s="3732"/>
      <c r="AA8" s="702" t="e">
        <f t="shared" ref="AA8:AA45" si="3">D8/F8</f>
        <v>#DIV/0!</v>
      </c>
      <c r="AB8" s="702" t="e">
        <f t="shared" ref="AB8:AB45" si="4">D8/H8</f>
        <v>#DIV/0!</v>
      </c>
      <c r="AC8" s="702" t="e">
        <f t="shared" ref="AC8:AC45" si="5">D8/J8</f>
        <v>#DIV/0!</v>
      </c>
    </row>
    <row r="9" spans="1:30" s="108" customFormat="1">
      <c r="A9" s="369" t="s">
        <v>1684</v>
      </c>
      <c r="B9" s="63" t="s">
        <v>1685</v>
      </c>
      <c r="C9" s="1971"/>
      <c r="D9" s="126">
        <v>100</v>
      </c>
      <c r="E9" s="1971"/>
      <c r="F9" s="126">
        <f>SUMIF(74:74,E9,75:75)-SUMIF(74:74,C9,75:75)+100</f>
        <v>100</v>
      </c>
      <c r="G9" s="1971"/>
      <c r="H9" s="126">
        <f>SUMIF(74:74,G9,75:75)-SUMIF(74:74,C9,75:75)+100</f>
        <v>100</v>
      </c>
      <c r="I9" s="1971"/>
      <c r="J9" s="126">
        <f>SUMIF(74:74,I9,75:75)-SUMIF(74:74,C9,75:75)+100</f>
        <v>100</v>
      </c>
      <c r="K9" s="560"/>
      <c r="L9" s="2711"/>
      <c r="M9" s="2712"/>
      <c r="N9" s="2712"/>
      <c r="O9" s="2766"/>
      <c r="P9" s="3695"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3"/>
      <c r="M10" s="2714"/>
      <c r="N10" s="2714"/>
      <c r="O10" s="2767"/>
      <c r="P10" s="3695"/>
      <c r="Q10" s="1337" t="str">
        <f t="shared" si="6"/>
        <v>土地使用年限（年）</v>
      </c>
      <c r="R10" s="699" t="s">
        <v>14</v>
      </c>
      <c r="S10" s="700">
        <f t="shared" si="0"/>
        <v>106</v>
      </c>
      <c r="T10" s="699" t="s">
        <v>14</v>
      </c>
      <c r="U10" s="700">
        <f t="shared" si="1"/>
        <v>106</v>
      </c>
      <c r="V10" s="699" t="s">
        <v>14</v>
      </c>
      <c r="W10" s="700">
        <f t="shared" si="2"/>
        <v>106</v>
      </c>
      <c r="X10" s="701"/>
      <c r="Y10" s="3570"/>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5"/>
      <c r="Q11" s="1337" t="str">
        <f t="shared" si="6"/>
        <v>容积率</v>
      </c>
      <c r="R11" s="699" t="s">
        <v>14</v>
      </c>
      <c r="S11" s="700" t="e">
        <f t="shared" si="0"/>
        <v>#N/A</v>
      </c>
      <c r="T11" s="699" t="s">
        <v>14</v>
      </c>
      <c r="U11" s="700" t="e">
        <f t="shared" si="1"/>
        <v>#N/A</v>
      </c>
      <c r="V11" s="699" t="s">
        <v>14</v>
      </c>
      <c r="W11" s="700" t="e">
        <f t="shared" si="2"/>
        <v>#N/A</v>
      </c>
      <c r="X11" s="701"/>
      <c r="Y11" s="3570"/>
      <c r="Z11" s="52" t="str">
        <f t="shared" si="7"/>
        <v>容积率</v>
      </c>
      <c r="AA11" s="702" t="e">
        <f t="shared" si="3"/>
        <v>#N/A</v>
      </c>
      <c r="AB11" s="702" t="e">
        <f t="shared" si="4"/>
        <v>#N/A</v>
      </c>
      <c r="AC11" s="702" t="e">
        <f t="shared" si="5"/>
        <v>#N/A</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5"/>
      <c r="Q12" s="1337" t="str">
        <f t="shared" si="6"/>
        <v>配建</v>
      </c>
      <c r="R12" s="699" t="s">
        <v>14</v>
      </c>
      <c r="S12" s="700">
        <f t="shared" si="0"/>
        <v>100</v>
      </c>
      <c r="T12" s="699" t="s">
        <v>14</v>
      </c>
      <c r="U12" s="700">
        <f t="shared" si="1"/>
        <v>100</v>
      </c>
      <c r="V12" s="699" t="s">
        <v>14</v>
      </c>
      <c r="W12" s="700">
        <f t="shared" si="2"/>
        <v>100</v>
      </c>
      <c r="X12" s="701"/>
      <c r="Y12" s="3570"/>
      <c r="Z12" s="52" t="str">
        <f t="shared" si="7"/>
        <v>配建</v>
      </c>
      <c r="AA12" s="702">
        <f>D12/F12</f>
        <v>1</v>
      </c>
      <c r="AB12" s="702">
        <f>D12/H12</f>
        <v>1</v>
      </c>
      <c r="AC12" s="702">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5"/>
      <c r="Q13" s="1337">
        <f t="shared" si="6"/>
        <v>111</v>
      </c>
      <c r="R13" s="699" t="s">
        <v>14</v>
      </c>
      <c r="S13" s="700">
        <f t="shared" si="0"/>
        <v>100</v>
      </c>
      <c r="T13" s="699" t="s">
        <v>14</v>
      </c>
      <c r="U13" s="700">
        <f t="shared" si="1"/>
        <v>100</v>
      </c>
      <c r="V13" s="699" t="s">
        <v>14</v>
      </c>
      <c r="W13" s="700">
        <f t="shared" si="2"/>
        <v>100</v>
      </c>
      <c r="X13" s="701"/>
      <c r="Y13" s="3570"/>
      <c r="Z13" s="52">
        <f t="shared" si="7"/>
        <v>111</v>
      </c>
      <c r="AA13" s="702">
        <f>D13/F13</f>
        <v>1</v>
      </c>
      <c r="AB13" s="702">
        <f>D13/H13</f>
        <v>1</v>
      </c>
      <c r="AC13" s="702">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5"/>
      <c r="Q14" s="1337">
        <f t="shared" si="6"/>
        <v>111</v>
      </c>
      <c r="R14" s="699" t="s">
        <v>14</v>
      </c>
      <c r="S14" s="700">
        <f t="shared" si="0"/>
        <v>100</v>
      </c>
      <c r="T14" s="699" t="s">
        <v>14</v>
      </c>
      <c r="U14" s="700">
        <f t="shared" si="1"/>
        <v>100</v>
      </c>
      <c r="V14" s="699" t="s">
        <v>14</v>
      </c>
      <c r="W14" s="700">
        <f t="shared" si="2"/>
        <v>100</v>
      </c>
      <c r="X14" s="701"/>
      <c r="Y14" s="3570"/>
      <c r="Z14" s="52">
        <f t="shared" si="7"/>
        <v>111</v>
      </c>
      <c r="AA14" s="702">
        <f>D14/F14</f>
        <v>1</v>
      </c>
      <c r="AB14" s="702">
        <f>D14/H14</f>
        <v>1</v>
      </c>
      <c r="AC14" s="702">
        <f>D14/J14</f>
        <v>1</v>
      </c>
    </row>
    <row r="15" spans="1:30" ht="99.75">
      <c r="A15" s="391" t="s">
        <v>1690</v>
      </c>
      <c r="B15" s="61" t="s">
        <v>1257</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7" t="s">
        <v>1691</v>
      </c>
      <c r="Q15" s="1346" t="str">
        <f t="shared" si="6"/>
        <v>居住社区成熟度</v>
      </c>
      <c r="R15" s="703" t="s">
        <v>14</v>
      </c>
      <c r="S15" s="704">
        <f t="shared" si="0"/>
        <v>100</v>
      </c>
      <c r="T15" s="703" t="s">
        <v>14</v>
      </c>
      <c r="U15" s="704">
        <f t="shared" si="1"/>
        <v>100</v>
      </c>
      <c r="V15" s="703" t="s">
        <v>14</v>
      </c>
      <c r="W15" s="704">
        <f t="shared" si="2"/>
        <v>100</v>
      </c>
      <c r="X15" s="1349"/>
      <c r="Y15" s="3697" t="s">
        <v>1691</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20"/>
      <c r="L16" s="2716"/>
      <c r="M16" s="2710"/>
      <c r="N16" s="2710"/>
      <c r="O16" s="2768"/>
      <c r="P16" s="3698"/>
      <c r="Q16" s="1346"/>
      <c r="R16" s="703"/>
      <c r="S16" s="704"/>
      <c r="T16" s="703"/>
      <c r="U16" s="704"/>
      <c r="V16" s="703"/>
      <c r="W16" s="704"/>
      <c r="X16" s="1349"/>
      <c r="Y16" s="3698"/>
      <c r="Z16" s="1350"/>
      <c r="AA16" s="1347">
        <v>1</v>
      </c>
      <c r="AB16" s="1347">
        <v>1</v>
      </c>
      <c r="AC16" s="1347">
        <v>1</v>
      </c>
    </row>
    <row r="17" spans="1:29" ht="71.25">
      <c r="A17" s="379"/>
      <c r="B17" s="402" t="s">
        <v>1777</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8"/>
      <c r="Q17" s="1346" t="str">
        <f>B17</f>
        <v>商业繁华度</v>
      </c>
      <c r="R17" s="703" t="s">
        <v>14</v>
      </c>
      <c r="S17" s="704">
        <f>F17</f>
        <v>100</v>
      </c>
      <c r="T17" s="703" t="s">
        <v>14</v>
      </c>
      <c r="U17" s="704">
        <f>H17</f>
        <v>100</v>
      </c>
      <c r="V17" s="703" t="s">
        <v>14</v>
      </c>
      <c r="W17" s="704">
        <f>J17</f>
        <v>100</v>
      </c>
      <c r="X17" s="1349"/>
      <c r="Y17" s="3698"/>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20"/>
      <c r="L18" s="2716"/>
      <c r="M18" s="2710"/>
      <c r="N18" s="2710"/>
      <c r="O18" s="2768"/>
      <c r="P18" s="3698"/>
      <c r="Q18" s="1346"/>
      <c r="R18" s="703"/>
      <c r="S18" s="704"/>
      <c r="T18" s="703"/>
      <c r="U18" s="704"/>
      <c r="V18" s="703"/>
      <c r="W18" s="704"/>
      <c r="X18" s="1349"/>
      <c r="Y18" s="3698"/>
      <c r="Z18" s="1350"/>
      <c r="AA18" s="1347">
        <v>1</v>
      </c>
      <c r="AB18" s="1347">
        <v>1</v>
      </c>
      <c r="AC18" s="1347">
        <v>1</v>
      </c>
    </row>
    <row r="19" spans="1:29" ht="71.25">
      <c r="A19" s="379"/>
      <c r="B19" s="402" t="s">
        <v>1811</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8"/>
      <c r="Q19" s="1346" t="str">
        <f>B19</f>
        <v>办公集聚程度</v>
      </c>
      <c r="R19" s="703" t="s">
        <v>14</v>
      </c>
      <c r="S19" s="704">
        <f>F19</f>
        <v>100</v>
      </c>
      <c r="T19" s="703" t="s">
        <v>14</v>
      </c>
      <c r="U19" s="704">
        <f>H19</f>
        <v>100</v>
      </c>
      <c r="V19" s="703" t="s">
        <v>14</v>
      </c>
      <c r="W19" s="704">
        <f>J19</f>
        <v>100</v>
      </c>
      <c r="X19" s="1349"/>
      <c r="Y19" s="3698"/>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20"/>
      <c r="L20" s="2716"/>
      <c r="M20" s="2710"/>
      <c r="N20" s="2710"/>
      <c r="O20" s="2768"/>
      <c r="P20" s="3698"/>
      <c r="Q20" s="1346"/>
      <c r="R20" s="703"/>
      <c r="S20" s="704"/>
      <c r="T20" s="703"/>
      <c r="U20" s="704"/>
      <c r="V20" s="703"/>
      <c r="W20" s="704"/>
      <c r="X20" s="1349"/>
      <c r="Y20" s="3698"/>
      <c r="Z20" s="1350"/>
      <c r="AA20" s="1347">
        <v>1</v>
      </c>
      <c r="AB20" s="1347">
        <v>1</v>
      </c>
      <c r="AC20" s="1347">
        <v>1</v>
      </c>
    </row>
    <row r="21" spans="1:29" ht="85.5">
      <c r="A21" s="379"/>
      <c r="B21" s="402" t="s">
        <v>1833</v>
      </c>
      <c r="C21" s="1894"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8"/>
      <c r="Q21" s="1346" t="str">
        <f>B21</f>
        <v>交通便捷度</v>
      </c>
      <c r="R21" s="703" t="s">
        <v>14</v>
      </c>
      <c r="S21" s="704">
        <f>F21</f>
        <v>100</v>
      </c>
      <c r="T21" s="703" t="s">
        <v>14</v>
      </c>
      <c r="U21" s="704">
        <f>H21</f>
        <v>100</v>
      </c>
      <c r="V21" s="703" t="s">
        <v>14</v>
      </c>
      <c r="W21" s="704">
        <f>J21</f>
        <v>100</v>
      </c>
      <c r="X21" s="1349"/>
      <c r="Y21" s="3698"/>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20"/>
      <c r="L22" s="2716"/>
      <c r="M22" s="2710"/>
      <c r="N22" s="2710"/>
      <c r="O22" s="2768"/>
      <c r="P22" s="3698"/>
      <c r="Q22" s="1346"/>
      <c r="R22" s="703"/>
      <c r="S22" s="704"/>
      <c r="T22" s="703"/>
      <c r="U22" s="704"/>
      <c r="V22" s="703"/>
      <c r="W22" s="704"/>
      <c r="X22" s="1349"/>
      <c r="Y22" s="3698"/>
      <c r="Z22" s="1350"/>
      <c r="AA22" s="1347">
        <v>1</v>
      </c>
      <c r="AB22" s="1347">
        <v>1</v>
      </c>
      <c r="AC22" s="1347">
        <v>1</v>
      </c>
    </row>
    <row r="23" spans="1:29" ht="15">
      <c r="A23" s="358"/>
      <c r="B23" s="402" t="s">
        <v>1871</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8"/>
      <c r="Q23" s="1346" t="str">
        <f t="shared" ref="Q23:Q37" si="8">B23</f>
        <v>区域土地利用方向</v>
      </c>
      <c r="R23" s="703" t="s">
        <v>14</v>
      </c>
      <c r="S23" s="704">
        <f>F23</f>
        <v>100</v>
      </c>
      <c r="T23" s="703" t="s">
        <v>14</v>
      </c>
      <c r="U23" s="704">
        <f>H23</f>
        <v>100</v>
      </c>
      <c r="V23" s="703" t="s">
        <v>14</v>
      </c>
      <c r="W23" s="704">
        <f>J23</f>
        <v>100</v>
      </c>
      <c r="X23" s="1349"/>
      <c r="Y23" s="3698"/>
      <c r="Z23" s="1350" t="str">
        <f>Q23</f>
        <v>区域土地利用方向</v>
      </c>
      <c r="AA23" s="1347">
        <f t="shared" si="3"/>
        <v>1</v>
      </c>
      <c r="AB23" s="1347">
        <f t="shared" si="4"/>
        <v>1</v>
      </c>
      <c r="AC23" s="1347">
        <f t="shared" si="5"/>
        <v>1</v>
      </c>
    </row>
    <row r="24" spans="1:29" ht="15">
      <c r="A24" s="358"/>
      <c r="B24" s="407"/>
      <c r="C24" s="565"/>
      <c r="D24" s="399"/>
      <c r="E24" s="1892"/>
      <c r="F24" s="399"/>
      <c r="G24" s="1891"/>
      <c r="H24" s="399"/>
      <c r="I24" s="1891"/>
      <c r="J24" s="399"/>
      <c r="K24" s="734"/>
      <c r="L24" s="2716"/>
      <c r="M24" s="2710"/>
      <c r="N24" s="2710"/>
      <c r="O24" s="2768"/>
      <c r="P24" s="3698"/>
      <c r="Q24" s="1346"/>
      <c r="R24" s="703"/>
      <c r="S24" s="704"/>
      <c r="T24" s="703"/>
      <c r="U24" s="704"/>
      <c r="V24" s="703"/>
      <c r="W24" s="704"/>
      <c r="X24" s="1349"/>
      <c r="Y24" s="3698"/>
      <c r="Z24" s="1350"/>
      <c r="AA24" s="1347"/>
      <c r="AB24" s="1347"/>
      <c r="AC24" s="1347"/>
    </row>
    <row r="25" spans="1:29" ht="57">
      <c r="A25" s="358"/>
      <c r="B25" s="1125" t="s">
        <v>1872</v>
      </c>
      <c r="C25" s="1949"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8"/>
      <c r="Q25" s="1346" t="str">
        <f t="shared" si="8"/>
        <v>自然及人文环境状况</v>
      </c>
      <c r="R25" s="703" t="s">
        <v>14</v>
      </c>
      <c r="S25" s="704">
        <f>F25</f>
        <v>100</v>
      </c>
      <c r="T25" s="703" t="s">
        <v>14</v>
      </c>
      <c r="U25" s="704">
        <f>H25</f>
        <v>100</v>
      </c>
      <c r="V25" s="703" t="s">
        <v>14</v>
      </c>
      <c r="W25" s="704">
        <f>J25</f>
        <v>100</v>
      </c>
      <c r="X25" s="1349"/>
      <c r="Y25" s="3698"/>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20"/>
      <c r="L26" s="2716"/>
      <c r="M26" s="2710"/>
      <c r="N26" s="2710"/>
      <c r="O26" s="2768"/>
      <c r="P26" s="3698"/>
      <c r="Q26" s="1346"/>
      <c r="R26" s="703"/>
      <c r="S26" s="704"/>
      <c r="T26" s="703"/>
      <c r="U26" s="704"/>
      <c r="V26" s="703"/>
      <c r="W26" s="704"/>
      <c r="X26" s="1349"/>
      <c r="Y26" s="3698"/>
      <c r="Z26" s="1350"/>
      <c r="AA26" s="1347">
        <v>1</v>
      </c>
      <c r="AB26" s="1347">
        <v>1</v>
      </c>
      <c r="AC26" s="1347">
        <v>1</v>
      </c>
    </row>
    <row r="27" spans="1:29" s="108" customFormat="1" ht="42.75">
      <c r="A27" s="597"/>
      <c r="B27" s="1125" t="s">
        <v>1778</v>
      </c>
      <c r="C27" s="1894"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8"/>
      <c r="Q27" s="1337" t="str">
        <f t="shared" si="8"/>
        <v>公共配套设施</v>
      </c>
      <c r="R27" s="699" t="s">
        <v>14</v>
      </c>
      <c r="S27" s="700">
        <f>F27</f>
        <v>100</v>
      </c>
      <c r="T27" s="699" t="s">
        <v>14</v>
      </c>
      <c r="U27" s="700">
        <f>H27</f>
        <v>100</v>
      </c>
      <c r="V27" s="699" t="s">
        <v>14</v>
      </c>
      <c r="W27" s="700">
        <f>J27</f>
        <v>100</v>
      </c>
      <c r="X27" s="701"/>
      <c r="Y27" s="3698"/>
      <c r="Z27" s="52" t="str">
        <f>Q27</f>
        <v>公共配套设施</v>
      </c>
      <c r="AA27" s="1347">
        <f>D27/F27</f>
        <v>1</v>
      </c>
      <c r="AB27" s="1347">
        <f>D27/H27</f>
        <v>1</v>
      </c>
      <c r="AC27" s="1347">
        <f>D27/J27</f>
        <v>1</v>
      </c>
    </row>
    <row r="28" spans="1:29" s="108" customFormat="1" ht="15">
      <c r="A28" s="597"/>
      <c r="B28" s="407"/>
      <c r="C28" s="1972"/>
      <c r="D28" s="399"/>
      <c r="E28" s="1898"/>
      <c r="F28" s="399"/>
      <c r="G28" s="1898"/>
      <c r="H28" s="399"/>
      <c r="I28" s="398"/>
      <c r="J28" s="399"/>
      <c r="K28" s="620"/>
      <c r="L28" s="2711"/>
      <c r="M28" s="2712"/>
      <c r="N28" s="2712"/>
      <c r="O28" s="2766"/>
      <c r="P28" s="3698"/>
      <c r="Q28" s="1337"/>
      <c r="R28" s="699"/>
      <c r="S28" s="700"/>
      <c r="T28" s="699"/>
      <c r="U28" s="700"/>
      <c r="V28" s="699"/>
      <c r="W28" s="700"/>
      <c r="X28" s="701"/>
      <c r="Y28" s="3698"/>
      <c r="Z28" s="52"/>
      <c r="AA28" s="1347">
        <v>1</v>
      </c>
      <c r="AB28" s="1347">
        <v>1</v>
      </c>
      <c r="AC28" s="1347">
        <v>1</v>
      </c>
    </row>
    <row r="29" spans="1:29" s="108" customFormat="1" ht="28.5">
      <c r="A29" s="597"/>
      <c r="B29" s="1125" t="s">
        <v>1779</v>
      </c>
      <c r="C29" s="1894"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8"/>
      <c r="Q29" s="1337" t="str">
        <f t="shared" ref="Q29" si="9">B29</f>
        <v>基础设施水平</v>
      </c>
      <c r="R29" s="699" t="s">
        <v>14</v>
      </c>
      <c r="S29" s="700">
        <f>F29</f>
        <v>100</v>
      </c>
      <c r="T29" s="699" t="s">
        <v>14</v>
      </c>
      <c r="U29" s="700">
        <f>H29</f>
        <v>100</v>
      </c>
      <c r="V29" s="699" t="s">
        <v>14</v>
      </c>
      <c r="W29" s="700">
        <f>J29</f>
        <v>100</v>
      </c>
      <c r="X29" s="701"/>
      <c r="Y29" s="3698"/>
      <c r="Z29" s="52" t="str">
        <f>Q29</f>
        <v>基础设施水平</v>
      </c>
      <c r="AA29" s="1347">
        <f>D29/F29</f>
        <v>1</v>
      </c>
      <c r="AB29" s="1347">
        <f>D29/H29</f>
        <v>1</v>
      </c>
      <c r="AC29" s="1347">
        <f>D29/J29</f>
        <v>1</v>
      </c>
    </row>
    <row r="30" spans="1:29" s="108" customFormat="1" ht="15">
      <c r="A30" s="597"/>
      <c r="B30" s="407"/>
      <c r="C30" s="1972"/>
      <c r="D30" s="399"/>
      <c r="E30" s="1973"/>
      <c r="F30" s="399"/>
      <c r="G30" s="1973"/>
      <c r="H30" s="399"/>
      <c r="I30" s="1973"/>
      <c r="J30" s="399"/>
      <c r="K30" s="620"/>
      <c r="L30" s="2711"/>
      <c r="M30" s="2712"/>
      <c r="N30" s="2712"/>
      <c r="O30" s="2766"/>
      <c r="P30" s="3698"/>
      <c r="Q30" s="1337"/>
      <c r="R30" s="699"/>
      <c r="S30" s="700"/>
      <c r="T30" s="699"/>
      <c r="U30" s="700"/>
      <c r="V30" s="699"/>
      <c r="W30" s="700"/>
      <c r="X30" s="701"/>
      <c r="Y30" s="3698"/>
      <c r="Z30" s="52"/>
      <c r="AA30" s="1347">
        <v>1</v>
      </c>
      <c r="AB30" s="1347">
        <v>1</v>
      </c>
      <c r="AC30" s="1347">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8"/>
      <c r="Q31" s="1346" t="str">
        <f t="shared" si="8"/>
        <v>临街状况</v>
      </c>
      <c r="R31" s="703" t="s">
        <v>14</v>
      </c>
      <c r="S31" s="704">
        <f t="shared" ref="S31:S45" si="10">F31</f>
        <v>100</v>
      </c>
      <c r="T31" s="703" t="s">
        <v>14</v>
      </c>
      <c r="U31" s="704">
        <f t="shared" ref="U31:U45" si="11">H31</f>
        <v>100</v>
      </c>
      <c r="V31" s="703" t="s">
        <v>14</v>
      </c>
      <c r="W31" s="704">
        <f t="shared" ref="W31:W45" si="12">J31</f>
        <v>100</v>
      </c>
      <c r="X31" s="1349"/>
      <c r="Y31" s="3698"/>
      <c r="Z31" s="1350" t="str">
        <f t="shared" ref="Z31:Z45" si="13">Q31</f>
        <v>临街状况</v>
      </c>
      <c r="AA31" s="1347">
        <f t="shared" si="3"/>
        <v>1</v>
      </c>
      <c r="AB31" s="1347">
        <f t="shared" si="4"/>
        <v>1</v>
      </c>
      <c r="AC31" s="1347">
        <f t="shared" si="5"/>
        <v>1</v>
      </c>
    </row>
    <row r="32" spans="1:29" ht="27">
      <c r="A32" s="379"/>
      <c r="B32" s="1125"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8"/>
      <c r="Q32" s="1346" t="str">
        <f t="shared" si="8"/>
        <v>毗邻道路的类型与等级</v>
      </c>
      <c r="R32" s="703" t="s">
        <v>14</v>
      </c>
      <c r="S32" s="704">
        <f t="shared" si="10"/>
        <v>100</v>
      </c>
      <c r="T32" s="703" t="s">
        <v>14</v>
      </c>
      <c r="U32" s="704">
        <f t="shared" si="11"/>
        <v>100</v>
      </c>
      <c r="V32" s="703" t="s">
        <v>14</v>
      </c>
      <c r="W32" s="704">
        <f t="shared" si="12"/>
        <v>100</v>
      </c>
      <c r="X32" s="1349"/>
      <c r="Y32" s="3698"/>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2"/>
      <c r="L33" s="2716"/>
      <c r="M33" s="2710"/>
      <c r="N33" s="2710"/>
      <c r="O33" s="2768"/>
      <c r="P33" s="3698"/>
      <c r="Q33" s="1346"/>
      <c r="R33" s="703"/>
      <c r="S33" s="704"/>
      <c r="T33" s="703"/>
      <c r="U33" s="704"/>
      <c r="V33" s="703"/>
      <c r="W33" s="704"/>
      <c r="X33" s="1349"/>
      <c r="Y33" s="3698"/>
      <c r="Z33" s="1350"/>
      <c r="AA33" s="1347">
        <v>1</v>
      </c>
      <c r="AB33" s="1347">
        <v>1</v>
      </c>
      <c r="AC33" s="1347">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8"/>
      <c r="Q34" s="1346" t="str">
        <f t="shared" si="8"/>
        <v>土地级别</v>
      </c>
      <c r="R34" s="703" t="s">
        <v>14</v>
      </c>
      <c r="S34" s="704">
        <f t="shared" si="10"/>
        <v>100</v>
      </c>
      <c r="T34" s="703" t="s">
        <v>14</v>
      </c>
      <c r="U34" s="704">
        <f t="shared" si="11"/>
        <v>100</v>
      </c>
      <c r="V34" s="703" t="s">
        <v>14</v>
      </c>
      <c r="W34" s="704">
        <f t="shared" si="12"/>
        <v>100</v>
      </c>
      <c r="X34" s="1349"/>
      <c r="Y34" s="3698"/>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8"/>
      <c r="Q35" s="1346">
        <f t="shared" si="8"/>
        <v>111</v>
      </c>
      <c r="R35" s="703" t="s">
        <v>14</v>
      </c>
      <c r="S35" s="704">
        <f t="shared" si="10"/>
        <v>100</v>
      </c>
      <c r="T35" s="703" t="s">
        <v>14</v>
      </c>
      <c r="U35" s="704">
        <f t="shared" si="11"/>
        <v>100</v>
      </c>
      <c r="V35" s="703" t="s">
        <v>14</v>
      </c>
      <c r="W35" s="704">
        <f t="shared" si="12"/>
        <v>100</v>
      </c>
      <c r="X35" s="1349"/>
      <c r="Y35" s="3698"/>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5" t="s">
        <v>1696</v>
      </c>
      <c r="Q36" s="1346">
        <f t="shared" si="8"/>
        <v>111</v>
      </c>
      <c r="R36" s="703" t="s">
        <v>14</v>
      </c>
      <c r="S36" s="704">
        <f t="shared" si="10"/>
        <v>100</v>
      </c>
      <c r="T36" s="703" t="s">
        <v>14</v>
      </c>
      <c r="U36" s="704">
        <f t="shared" si="11"/>
        <v>100</v>
      </c>
      <c r="V36" s="703" t="s">
        <v>14</v>
      </c>
      <c r="W36" s="704">
        <f t="shared" si="12"/>
        <v>100</v>
      </c>
      <c r="X36" s="1349"/>
      <c r="Y36" s="3702" t="s">
        <v>1696</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2"/>
      <c r="Q37" s="1346">
        <f t="shared" si="8"/>
        <v>111</v>
      </c>
      <c r="R37" s="706" t="s">
        <v>14</v>
      </c>
      <c r="S37" s="707">
        <f t="shared" si="10"/>
        <v>100</v>
      </c>
      <c r="T37" s="706" t="s">
        <v>14</v>
      </c>
      <c r="U37" s="707">
        <f t="shared" si="11"/>
        <v>100</v>
      </c>
      <c r="V37" s="706" t="s">
        <v>14</v>
      </c>
      <c r="W37" s="707">
        <f t="shared" si="12"/>
        <v>100</v>
      </c>
      <c r="X37" s="708"/>
      <c r="Y37" s="3702"/>
      <c r="Z37" s="709">
        <f t="shared" si="13"/>
        <v>111</v>
      </c>
      <c r="AA37" s="1347">
        <f t="shared" si="3"/>
        <v>1</v>
      </c>
      <c r="AB37" s="1347">
        <f t="shared" si="4"/>
        <v>1</v>
      </c>
      <c r="AC37" s="1347">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2"/>
      <c r="Q38" s="1346" t="str">
        <f>B38</f>
        <v>宗地面积</v>
      </c>
      <c r="R38" s="703" t="s">
        <v>14</v>
      </c>
      <c r="S38" s="704" t="e">
        <f t="shared" si="10"/>
        <v>#N/A</v>
      </c>
      <c r="T38" s="703" t="s">
        <v>14</v>
      </c>
      <c r="U38" s="704" t="e">
        <f t="shared" si="11"/>
        <v>#N/A</v>
      </c>
      <c r="V38" s="703" t="s">
        <v>14</v>
      </c>
      <c r="W38" s="704" t="e">
        <f t="shared" si="12"/>
        <v>#N/A</v>
      </c>
      <c r="X38" s="1349"/>
      <c r="Y38" s="3702"/>
      <c r="Z38" s="1350" t="str">
        <f t="shared" si="13"/>
        <v>宗地面积</v>
      </c>
      <c r="AA38" s="1347" t="e">
        <f t="shared" si="3"/>
        <v>#N/A</v>
      </c>
      <c r="AB38" s="1347" t="e">
        <f t="shared" si="4"/>
        <v>#N/A</v>
      </c>
      <c r="AC38" s="1347" t="e">
        <f t="shared" si="5"/>
        <v>#N/A</v>
      </c>
    </row>
    <row r="39" spans="1:29" ht="15">
      <c r="A39" s="423"/>
      <c r="B39" s="375" t="s">
        <v>1875</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6"/>
      <c r="M39" s="2710"/>
      <c r="N39" s="2710"/>
      <c r="O39" s="2768"/>
      <c r="P39" s="3702"/>
      <c r="Q39" s="1346" t="str">
        <f t="shared" ref="Q39:Q45" si="14">B39</f>
        <v>宗地形状</v>
      </c>
      <c r="R39" s="703" t="s">
        <v>14</v>
      </c>
      <c r="S39" s="704">
        <f t="shared" si="10"/>
        <v>100</v>
      </c>
      <c r="T39" s="703" t="s">
        <v>14</v>
      </c>
      <c r="U39" s="704">
        <f t="shared" si="11"/>
        <v>100</v>
      </c>
      <c r="V39" s="703" t="s">
        <v>14</v>
      </c>
      <c r="W39" s="704">
        <f t="shared" si="12"/>
        <v>100</v>
      </c>
      <c r="X39" s="1349"/>
      <c r="Y39" s="3702"/>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6"/>
      <c r="M40" s="2710"/>
      <c r="N40" s="2710"/>
      <c r="O40" s="2768"/>
      <c r="P40" s="3702"/>
      <c r="Q40" s="1346" t="str">
        <f t="shared" si="14"/>
        <v>临街宽度及深度</v>
      </c>
      <c r="R40" s="703" t="s">
        <v>14</v>
      </c>
      <c r="S40" s="704">
        <f t="shared" si="10"/>
        <v>100</v>
      </c>
      <c r="T40" s="703" t="s">
        <v>14</v>
      </c>
      <c r="U40" s="704">
        <f t="shared" si="11"/>
        <v>100</v>
      </c>
      <c r="V40" s="703" t="s">
        <v>14</v>
      </c>
      <c r="W40" s="704">
        <f t="shared" si="12"/>
        <v>100</v>
      </c>
      <c r="X40" s="1349"/>
      <c r="Y40" s="3702"/>
      <c r="Z40" s="1350" t="str">
        <f t="shared" si="13"/>
        <v>临街宽度及深度</v>
      </c>
      <c r="AA40" s="1347">
        <f t="shared" si="3"/>
        <v>1</v>
      </c>
      <c r="AB40" s="1347">
        <f t="shared" si="4"/>
        <v>1</v>
      </c>
      <c r="AC40" s="1347">
        <f t="shared" si="5"/>
        <v>1</v>
      </c>
    </row>
    <row r="41" spans="1:29" s="108" customFormat="1" ht="15">
      <c r="A41" s="424"/>
      <c r="B41" s="375" t="s">
        <v>1877</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1"/>
      <c r="M41" s="2712"/>
      <c r="N41" s="2712"/>
      <c r="O41" s="2766"/>
      <c r="P41" s="3702"/>
      <c r="Q41" s="1346" t="str">
        <f t="shared" si="14"/>
        <v>宗地开发程度</v>
      </c>
      <c r="R41" s="699" t="s">
        <v>14</v>
      </c>
      <c r="S41" s="700">
        <f t="shared" si="10"/>
        <v>100</v>
      </c>
      <c r="T41" s="699" t="s">
        <v>14</v>
      </c>
      <c r="U41" s="700">
        <f t="shared" si="11"/>
        <v>100</v>
      </c>
      <c r="V41" s="699" t="s">
        <v>14</v>
      </c>
      <c r="W41" s="700">
        <f t="shared" si="12"/>
        <v>100</v>
      </c>
      <c r="X41" s="701"/>
      <c r="Y41" s="3702"/>
      <c r="Z41" s="52" t="str">
        <f t="shared" si="13"/>
        <v>宗地开发程度</v>
      </c>
      <c r="AA41" s="702">
        <f t="shared" si="3"/>
        <v>1</v>
      </c>
      <c r="AB41" s="702">
        <f t="shared" si="4"/>
        <v>1</v>
      </c>
      <c r="AC41" s="702">
        <f t="shared" si="5"/>
        <v>1</v>
      </c>
    </row>
    <row r="42" spans="1:29" ht="15">
      <c r="A42" s="423"/>
      <c r="B42" s="375" t="s">
        <v>1878</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6"/>
      <c r="M42" s="2710"/>
      <c r="N42" s="2710"/>
      <c r="O42" s="2768"/>
      <c r="P42" s="3702" t="s">
        <v>1696</v>
      </c>
      <c r="Q42" s="1346" t="str">
        <f t="shared" si="14"/>
        <v>工程地质条件</v>
      </c>
      <c r="R42" s="703" t="s">
        <v>14</v>
      </c>
      <c r="S42" s="704">
        <f t="shared" si="10"/>
        <v>100</v>
      </c>
      <c r="T42" s="703" t="s">
        <v>14</v>
      </c>
      <c r="U42" s="704">
        <f t="shared" si="11"/>
        <v>100</v>
      </c>
      <c r="V42" s="703" t="s">
        <v>14</v>
      </c>
      <c r="W42" s="704">
        <f t="shared" si="12"/>
        <v>100</v>
      </c>
      <c r="X42" s="1349"/>
      <c r="Y42" s="3702" t="s">
        <v>1696</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2"/>
      <c r="Q43" s="1346">
        <f t="shared" si="14"/>
        <v>111</v>
      </c>
      <c r="R43" s="703" t="s">
        <v>14</v>
      </c>
      <c r="S43" s="704">
        <f t="shared" si="10"/>
        <v>100</v>
      </c>
      <c r="T43" s="703" t="s">
        <v>14</v>
      </c>
      <c r="U43" s="704">
        <f t="shared" si="11"/>
        <v>100</v>
      </c>
      <c r="V43" s="703" t="s">
        <v>14</v>
      </c>
      <c r="W43" s="704">
        <f t="shared" si="12"/>
        <v>100</v>
      </c>
      <c r="X43" s="1349"/>
      <c r="Y43" s="3702"/>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2"/>
      <c r="Q44" s="1346">
        <f t="shared" si="14"/>
        <v>111</v>
      </c>
      <c r="R44" s="703" t="s">
        <v>14</v>
      </c>
      <c r="S44" s="704">
        <f t="shared" si="10"/>
        <v>100</v>
      </c>
      <c r="T44" s="703" t="s">
        <v>14</v>
      </c>
      <c r="U44" s="704">
        <f t="shared" si="11"/>
        <v>100</v>
      </c>
      <c r="V44" s="703" t="s">
        <v>14</v>
      </c>
      <c r="W44" s="704">
        <f t="shared" si="12"/>
        <v>100</v>
      </c>
      <c r="X44" s="1349"/>
      <c r="Y44" s="3702"/>
      <c r="Z44" s="1350">
        <f t="shared" si="13"/>
        <v>111</v>
      </c>
      <c r="AA44" s="1347">
        <f t="shared" si="3"/>
        <v>1</v>
      </c>
      <c r="AB44" s="1347">
        <f t="shared" si="4"/>
        <v>1</v>
      </c>
      <c r="AC44" s="1347">
        <f t="shared" si="5"/>
        <v>1</v>
      </c>
    </row>
    <row r="45" spans="1:29" s="422" customFormat="1" ht="15.75" thickBot="1">
      <c r="A45" s="419"/>
      <c r="B45" s="1128">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2"/>
      <c r="Q45" s="1346">
        <f t="shared" si="14"/>
        <v>111</v>
      </c>
      <c r="R45" s="706" t="s">
        <v>14</v>
      </c>
      <c r="S45" s="707">
        <f t="shared" si="10"/>
        <v>100</v>
      </c>
      <c r="T45" s="706" t="s">
        <v>14</v>
      </c>
      <c r="U45" s="707">
        <f t="shared" si="11"/>
        <v>100</v>
      </c>
      <c r="V45" s="706" t="s">
        <v>14</v>
      </c>
      <c r="W45" s="707">
        <f t="shared" si="12"/>
        <v>100</v>
      </c>
      <c r="X45" s="708"/>
      <c r="Y45" s="3702"/>
      <c r="Z45" s="709">
        <f t="shared" si="13"/>
        <v>111</v>
      </c>
      <c r="AA45" s="1347">
        <f t="shared" si="3"/>
        <v>1</v>
      </c>
      <c r="AB45" s="1347">
        <f t="shared" si="4"/>
        <v>1</v>
      </c>
      <c r="AC45" s="1347">
        <f t="shared" si="5"/>
        <v>1</v>
      </c>
    </row>
    <row r="46" spans="1:29" ht="15">
      <c r="A46" s="430" t="s">
        <v>1844</v>
      </c>
      <c r="B46" s="1976" t="s">
        <v>1879</v>
      </c>
      <c r="C46" s="630" t="s">
        <v>0</v>
      </c>
      <c r="D46" s="432"/>
      <c r="E46" s="433"/>
      <c r="F46" s="434"/>
      <c r="G46" s="435"/>
      <c r="H46" s="436"/>
      <c r="I46" s="433"/>
      <c r="J46" s="436"/>
      <c r="K46" s="712"/>
      <c r="L46" s="2718"/>
      <c r="M46" s="2719"/>
      <c r="N46" s="2710"/>
      <c r="O46" s="2719"/>
      <c r="P46" s="3695" t="str">
        <f>A46</f>
        <v>成交单价</v>
      </c>
      <c r="Q46" s="3695"/>
      <c r="R46" s="3726">
        <f>E46</f>
        <v>0</v>
      </c>
      <c r="S46" s="3726"/>
      <c r="T46" s="3726">
        <f>G46</f>
        <v>0</v>
      </c>
      <c r="U46" s="3726"/>
      <c r="V46" s="3726">
        <f>I46</f>
        <v>0</v>
      </c>
      <c r="W46" s="3726"/>
      <c r="X46" s="688"/>
      <c r="Y46" s="710"/>
      <c r="Z46" s="688"/>
      <c r="AA46" s="688"/>
      <c r="AB46" s="688"/>
      <c r="AC46" s="688"/>
    </row>
    <row r="47" spans="1:29" ht="15.75" thickBot="1">
      <c r="A47" s="437" t="s">
        <v>1793</v>
      </c>
      <c r="B47" s="631"/>
      <c r="C47" s="440" t="e">
        <f>R48</f>
        <v>#DIV/0!</v>
      </c>
      <c r="D47" s="2311" t="s">
        <v>2137</v>
      </c>
      <c r="E47" s="440" t="e">
        <f>R47</f>
        <v>#DIV/0!</v>
      </c>
      <c r="F47" s="2312"/>
      <c r="G47" s="439" t="e">
        <f>T47</f>
        <v>#DIV/0!</v>
      </c>
      <c r="H47" s="2312"/>
      <c r="I47" s="440" t="e">
        <f>V47</f>
        <v>#DIV/0!</v>
      </c>
      <c r="J47" s="2312"/>
      <c r="K47" s="2314">
        <f>F47+H47+J47</f>
        <v>0</v>
      </c>
      <c r="L47" s="2718"/>
      <c r="M47" s="2719"/>
      <c r="N47" s="2719"/>
      <c r="O47" s="2719"/>
      <c r="P47" s="3695" t="str">
        <f>A47</f>
        <v>比较价值（元/平方米）</v>
      </c>
      <c r="Q47" s="3695"/>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692" t="str">
        <f>A48</f>
        <v>估价对象XX用房的比较价值（楼面单价，元/平方米）</v>
      </c>
      <c r="Q48" s="3693"/>
      <c r="R48" s="3758" t="e">
        <f>ROUND(IF(D47="简单平均",AVERAGE(R47:W47),R47*F47+T47*H47+V47*J47),0)</f>
        <v>#DIV/0!</v>
      </c>
      <c r="S48" s="3758"/>
      <c r="T48" s="3758"/>
      <c r="U48" s="3758"/>
      <c r="V48" s="3758"/>
      <c r="W48" s="3758"/>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7" t="s">
        <v>1883</v>
      </c>
      <c r="D55" s="1978" t="s">
        <v>1884</v>
      </c>
      <c r="E55" s="634" t="s">
        <v>1885</v>
      </c>
      <c r="F55" s="884" t="s">
        <v>1886</v>
      </c>
      <c r="G55" s="3710" t="s">
        <v>1887</v>
      </c>
      <c r="H55" s="3759"/>
      <c r="I55" s="135"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8">
        <v>1</v>
      </c>
      <c r="E56" s="638">
        <f>'数据-汇总表'!E8+'数据-汇总表'!E9</f>
        <v>687.62999999999988</v>
      </c>
      <c r="F56" s="880" t="e">
        <f t="shared" ref="F56:F64" si="15">ROUND(B56*E56/10000,0)</f>
        <v>#DIV/0!</v>
      </c>
      <c r="G56" s="3706"/>
      <c r="H56" s="3695"/>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39">
        <v>0.25</v>
      </c>
      <c r="E57" s="642"/>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39">
        <v>0.25</v>
      </c>
      <c r="E58" s="642"/>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39">
        <v>0.25</v>
      </c>
      <c r="E59" s="642"/>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39">
        <v>0.25</v>
      </c>
      <c r="E60" s="217">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39">
        <v>0.25</v>
      </c>
      <c r="E61" s="217">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39">
        <v>0.25</v>
      </c>
      <c r="E62" s="217">
        <f>'数据-汇总表'!E13</f>
        <v>0</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39">
        <v>0.25</v>
      </c>
      <c r="E63" s="217">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39">
        <v>0.25</v>
      </c>
      <c r="E64" s="217">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687.62999999999988</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8"/>
      <c r="B67" s="690"/>
      <c r="C67" s="690" t="str">
        <f>YEAR(C7)&amp;"-"&amp;MONTH(C7)&amp;"-1"</f>
        <v>2024-8-1</v>
      </c>
      <c r="D67" s="690">
        <f>EDATE(C67,-3)</f>
        <v>45413</v>
      </c>
      <c r="E67" s="690">
        <f>EDATE(D67,-3)</f>
        <v>45323</v>
      </c>
      <c r="F67" s="690">
        <f t="shared" ref="F67:O67" si="18">EDATE(E67,-3)</f>
        <v>45231</v>
      </c>
      <c r="G67" s="690">
        <f t="shared" si="18"/>
        <v>45139</v>
      </c>
      <c r="H67" s="690">
        <f t="shared" si="18"/>
        <v>45047</v>
      </c>
      <c r="I67" s="690">
        <f t="shared" si="18"/>
        <v>44958</v>
      </c>
      <c r="J67" s="690">
        <f t="shared" si="18"/>
        <v>44866</v>
      </c>
      <c r="K67" s="690">
        <f t="shared" si="18"/>
        <v>44774</v>
      </c>
      <c r="L67" s="690">
        <f t="shared" si="18"/>
        <v>44682</v>
      </c>
      <c r="M67" s="690">
        <f t="shared" si="18"/>
        <v>44593</v>
      </c>
      <c r="N67" s="690">
        <f t="shared" si="18"/>
        <v>44501</v>
      </c>
      <c r="O67" s="690">
        <f t="shared" si="18"/>
        <v>44409</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7" customFormat="1" ht="15">
      <c r="A69" s="1983" t="s">
        <v>1904</v>
      </c>
      <c r="B69" s="1103"/>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7"/>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6"/>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2"/>
      <c r="D2" s="902"/>
      <c r="E2" s="902"/>
      <c r="F2" s="903"/>
      <c r="G2" s="902"/>
      <c r="H2" s="902"/>
      <c r="I2" s="902"/>
      <c r="J2" s="902"/>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7"/>
      <c r="E3" s="902"/>
      <c r="F3" s="903"/>
      <c r="G3" s="902"/>
      <c r="H3" s="902"/>
      <c r="I3" s="902"/>
      <c r="J3" s="902"/>
      <c r="K3" s="904"/>
      <c r="L3" s="2728"/>
      <c r="M3" s="2729"/>
      <c r="N3" s="2729"/>
      <c r="O3" s="2729"/>
      <c r="P3" s="697"/>
      <c r="Q3" s="697"/>
      <c r="R3" s="697"/>
      <c r="S3" s="697"/>
      <c r="T3" s="697"/>
      <c r="U3" s="697"/>
      <c r="V3" s="697"/>
      <c r="W3" s="697"/>
      <c r="X3" s="697"/>
      <c r="Y3" s="697"/>
      <c r="Z3" s="697"/>
      <c r="AA3" s="697"/>
      <c r="AB3" s="714"/>
      <c r="AC3" s="711"/>
    </row>
    <row r="4" spans="1:29" ht="15">
      <c r="A4" s="355" t="s">
        <v>1769</v>
      </c>
      <c r="B4" s="356"/>
      <c r="C4" s="3710" t="s">
        <v>1770</v>
      </c>
      <c r="D4" s="3711"/>
      <c r="E4" s="3712" t="s">
        <v>1771</v>
      </c>
      <c r="F4" s="3713"/>
      <c r="G4" s="3710" t="s">
        <v>1772</v>
      </c>
      <c r="H4" s="3711"/>
      <c r="I4" s="3710" t="s">
        <v>1773</v>
      </c>
      <c r="J4" s="3711"/>
      <c r="K4" s="559" t="s">
        <v>1774</v>
      </c>
      <c r="L4" s="2709"/>
      <c r="M4" s="2710"/>
      <c r="N4" s="2710"/>
      <c r="O4" s="2710"/>
      <c r="P4" s="3714" t="s">
        <v>1775</v>
      </c>
      <c r="Q4" s="3715"/>
      <c r="R4" s="3720" t="s">
        <v>1771</v>
      </c>
      <c r="S4" s="3721"/>
      <c r="T4" s="3720" t="s">
        <v>1772</v>
      </c>
      <c r="U4" s="3721"/>
      <c r="V4" s="3726" t="s">
        <v>1773</v>
      </c>
      <c r="W4" s="3726"/>
      <c r="X4" s="1349"/>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09"/>
      <c r="M5" s="2710"/>
      <c r="N5" s="2710"/>
      <c r="O5" s="2710"/>
      <c r="P5" s="3716"/>
      <c r="Q5" s="3717"/>
      <c r="R5" s="3722"/>
      <c r="S5" s="3723"/>
      <c r="T5" s="3722"/>
      <c r="U5" s="3723"/>
      <c r="V5" s="3726"/>
      <c r="W5" s="3726"/>
      <c r="X5" s="1349"/>
      <c r="Y5" s="3722"/>
      <c r="Z5" s="3723"/>
      <c r="AA5" s="3708"/>
      <c r="AB5" s="3708"/>
      <c r="AC5" s="3708"/>
    </row>
    <row r="6" spans="1:29" ht="15.75" thickBot="1">
      <c r="A6" s="360"/>
      <c r="B6" s="361"/>
      <c r="C6" s="3760" t="s">
        <v>1919</v>
      </c>
      <c r="D6" s="3761"/>
      <c r="E6" s="3762" t="s">
        <v>1919</v>
      </c>
      <c r="F6" s="3763"/>
      <c r="G6" s="3760" t="s">
        <v>1919</v>
      </c>
      <c r="H6" s="3761"/>
      <c r="I6" s="3760" t="s">
        <v>1919</v>
      </c>
      <c r="J6" s="3761"/>
      <c r="K6" s="559" t="s">
        <v>1678</v>
      </c>
      <c r="L6" s="2709"/>
      <c r="M6" s="2710"/>
      <c r="N6" s="2710"/>
      <c r="O6" s="2710"/>
      <c r="P6" s="3718"/>
      <c r="Q6" s="3719"/>
      <c r="R6" s="3722"/>
      <c r="S6" s="3723"/>
      <c r="T6" s="3724"/>
      <c r="U6" s="3725"/>
      <c r="V6" s="3726"/>
      <c r="W6" s="3726"/>
      <c r="X6" s="1349"/>
      <c r="Y6" s="3724"/>
      <c r="Z6" s="3725"/>
      <c r="AA6" s="3709"/>
      <c r="AB6" s="3709"/>
      <c r="AC6" s="3709"/>
    </row>
    <row r="7" spans="1:29" s="108" customFormat="1" ht="15.75" thickBot="1">
      <c r="A7" s="362" t="s">
        <v>1679</v>
      </c>
      <c r="B7" s="363"/>
      <c r="C7" s="364">
        <f>'数据-取费表'!B2</f>
        <v>45506</v>
      </c>
      <c r="D7" s="365">
        <v>100</v>
      </c>
      <c r="E7" s="366"/>
      <c r="F7" s="367">
        <f>SUMIF(65:65,YEAR(E7)&amp;"-"&amp;INT((MONTH(E7)+2)/3),66:66)</f>
        <v>0</v>
      </c>
      <c r="G7" s="1968"/>
      <c r="H7" s="365">
        <f>SUMIF(65:65,YEAR(G7)&amp;"-"&amp;INT((MONTH(G7)+2)/3),66:66)</f>
        <v>0</v>
      </c>
      <c r="I7" s="1968"/>
      <c r="J7" s="365">
        <f>SUMIF(65:65,YEAR(I7)&amp;"-"&amp;INT((MONTH(I7)+2)/3),66:66)</f>
        <v>0</v>
      </c>
      <c r="K7" s="560"/>
      <c r="L7" s="2711"/>
      <c r="M7" s="2712"/>
      <c r="N7" s="2712"/>
      <c r="O7" s="2712"/>
      <c r="P7" s="3731" t="s">
        <v>1680</v>
      </c>
      <c r="Q7" s="3733"/>
      <c r="R7" s="699" t="s">
        <v>14</v>
      </c>
      <c r="S7" s="700">
        <f t="shared" ref="S7:S15" si="0">F7</f>
        <v>0</v>
      </c>
      <c r="T7" s="699" t="s">
        <v>14</v>
      </c>
      <c r="U7" s="700">
        <f t="shared" ref="U7:U15" si="1">H7</f>
        <v>0</v>
      </c>
      <c r="V7" s="699" t="s">
        <v>14</v>
      </c>
      <c r="W7" s="700">
        <f t="shared" ref="W7:W15" si="2">J7</f>
        <v>0</v>
      </c>
      <c r="X7" s="701"/>
      <c r="Y7" s="3731" t="s">
        <v>1680</v>
      </c>
      <c r="Z7" s="373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31" t="s">
        <v>1683</v>
      </c>
      <c r="Q8" s="3732"/>
      <c r="R8" s="699" t="s">
        <v>14</v>
      </c>
      <c r="S8" s="700">
        <f t="shared" si="0"/>
        <v>0</v>
      </c>
      <c r="T8" s="699" t="s">
        <v>14</v>
      </c>
      <c r="U8" s="700">
        <f t="shared" si="1"/>
        <v>0</v>
      </c>
      <c r="V8" s="699" t="s">
        <v>14</v>
      </c>
      <c r="W8" s="700">
        <f t="shared" si="2"/>
        <v>0</v>
      </c>
      <c r="X8" s="701"/>
      <c r="Y8" s="3731" t="s">
        <v>1683</v>
      </c>
      <c r="Z8" s="3732"/>
      <c r="AA8" s="702" t="e">
        <f t="shared" ref="AA8:AA40" si="3">D8/F8</f>
        <v>#DIV/0!</v>
      </c>
      <c r="AB8" s="702" t="e">
        <f t="shared" ref="AB8:AB40" si="4">D8/H8</f>
        <v>#DIV/0!</v>
      </c>
      <c r="AC8" s="702" t="e">
        <f t="shared" ref="AC8:AC40" si="5">D8/J8</f>
        <v>#DIV/0!</v>
      </c>
    </row>
    <row r="9" spans="1:29" s="108" customFormat="1">
      <c r="A9" s="369" t="s">
        <v>1684</v>
      </c>
      <c r="B9" s="63" t="s">
        <v>1685</v>
      </c>
      <c r="C9" s="1971"/>
      <c r="D9" s="126">
        <v>100</v>
      </c>
      <c r="E9" s="1971"/>
      <c r="F9" s="126">
        <f>SUMIF(70:70,E9,71:71)-SUMIF(70:70,C9,71:71)+100</f>
        <v>100</v>
      </c>
      <c r="G9" s="1971"/>
      <c r="H9" s="126">
        <f>SUMIF(70:70,G9,71:71)-SUMIF(70:70,C9,71:71)+100</f>
        <v>100</v>
      </c>
      <c r="I9" s="1971"/>
      <c r="J9" s="126">
        <f>SUMIF(70:70,I9,71:71)-SUMIF(70:70,C9,71:71)+100</f>
        <v>100</v>
      </c>
      <c r="K9" s="560"/>
      <c r="L9" s="2711"/>
      <c r="M9" s="2712"/>
      <c r="N9" s="2712"/>
      <c r="O9" s="2766"/>
      <c r="P9" s="3695" t="s">
        <v>1686</v>
      </c>
      <c r="Q9" s="1337" t="str">
        <f t="shared" ref="Q9:Q15" si="6">B9</f>
        <v>用途</v>
      </c>
      <c r="R9" s="699" t="s">
        <v>14</v>
      </c>
      <c r="S9" s="700">
        <f t="shared" si="0"/>
        <v>100</v>
      </c>
      <c r="T9" s="699" t="s">
        <v>14</v>
      </c>
      <c r="U9" s="700">
        <f t="shared" si="1"/>
        <v>100</v>
      </c>
      <c r="V9" s="699" t="s">
        <v>14</v>
      </c>
      <c r="W9" s="700">
        <f t="shared" si="2"/>
        <v>100</v>
      </c>
      <c r="X9" s="701"/>
      <c r="Y9" s="357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3"/>
      <c r="M10" s="2714"/>
      <c r="N10" s="2714"/>
      <c r="O10" s="2767"/>
      <c r="P10" s="3695"/>
      <c r="Q10" s="1337" t="str">
        <f t="shared" si="6"/>
        <v>土地使用年限（年）</v>
      </c>
      <c r="R10" s="699" t="s">
        <v>14</v>
      </c>
      <c r="S10" s="700">
        <f t="shared" si="0"/>
        <v>106</v>
      </c>
      <c r="T10" s="699" t="s">
        <v>14</v>
      </c>
      <c r="U10" s="700">
        <f t="shared" si="1"/>
        <v>106</v>
      </c>
      <c r="V10" s="699" t="s">
        <v>14</v>
      </c>
      <c r="W10" s="700">
        <f t="shared" si="2"/>
        <v>106</v>
      </c>
      <c r="X10" s="701"/>
      <c r="Y10" s="3570"/>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5"/>
      <c r="Q11" s="1337" t="str">
        <f t="shared" si="6"/>
        <v>容积率</v>
      </c>
      <c r="R11" s="699" t="s">
        <v>14</v>
      </c>
      <c r="S11" s="700" t="e">
        <f t="shared" si="0"/>
        <v>#N/A</v>
      </c>
      <c r="T11" s="699" t="s">
        <v>14</v>
      </c>
      <c r="U11" s="700" t="e">
        <f t="shared" si="1"/>
        <v>#N/A</v>
      </c>
      <c r="V11" s="699" t="s">
        <v>14</v>
      </c>
      <c r="W11" s="700" t="e">
        <f t="shared" si="2"/>
        <v>#N/A</v>
      </c>
      <c r="X11" s="701"/>
      <c r="Y11" s="3570"/>
      <c r="Z11" s="52" t="str">
        <f t="shared" si="7"/>
        <v>容积率</v>
      </c>
      <c r="AA11" s="702" t="e">
        <f t="shared" si="3"/>
        <v>#N/A</v>
      </c>
      <c r="AB11" s="702" t="e">
        <f t="shared" si="4"/>
        <v>#N/A</v>
      </c>
      <c r="AC11" s="702"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5"/>
      <c r="Q12" s="1337">
        <f t="shared" si="6"/>
        <v>111</v>
      </c>
      <c r="R12" s="699" t="s">
        <v>14</v>
      </c>
      <c r="S12" s="700">
        <f t="shared" si="0"/>
        <v>100</v>
      </c>
      <c r="T12" s="699" t="s">
        <v>14</v>
      </c>
      <c r="U12" s="700">
        <f t="shared" si="1"/>
        <v>100</v>
      </c>
      <c r="V12" s="699" t="s">
        <v>14</v>
      </c>
      <c r="W12" s="700">
        <f t="shared" si="2"/>
        <v>100</v>
      </c>
      <c r="X12" s="701"/>
      <c r="Y12" s="3570"/>
      <c r="Z12" s="52">
        <f t="shared" si="7"/>
        <v>111</v>
      </c>
      <c r="AA12" s="702">
        <f>D12/F12</f>
        <v>1</v>
      </c>
      <c r="AB12" s="702">
        <f>D12/H12</f>
        <v>1</v>
      </c>
      <c r="AC12" s="702">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5"/>
      <c r="Q13" s="1337">
        <f t="shared" si="6"/>
        <v>111</v>
      </c>
      <c r="R13" s="699" t="s">
        <v>14</v>
      </c>
      <c r="S13" s="700">
        <f t="shared" si="0"/>
        <v>100</v>
      </c>
      <c r="T13" s="699" t="s">
        <v>14</v>
      </c>
      <c r="U13" s="700">
        <f t="shared" si="1"/>
        <v>100</v>
      </c>
      <c r="V13" s="699" t="s">
        <v>14</v>
      </c>
      <c r="W13" s="700">
        <f t="shared" si="2"/>
        <v>100</v>
      </c>
      <c r="X13" s="701"/>
      <c r="Y13" s="3570"/>
      <c r="Z13" s="52">
        <f t="shared" si="7"/>
        <v>111</v>
      </c>
      <c r="AA13" s="702">
        <f t="shared" si="3"/>
        <v>1</v>
      </c>
      <c r="AB13" s="702">
        <f t="shared" si="4"/>
        <v>1</v>
      </c>
      <c r="AC13" s="702">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5"/>
      <c r="Q14" s="1337">
        <f t="shared" si="6"/>
        <v>111</v>
      </c>
      <c r="R14" s="699" t="s">
        <v>14</v>
      </c>
      <c r="S14" s="700">
        <f t="shared" si="0"/>
        <v>100</v>
      </c>
      <c r="T14" s="699" t="s">
        <v>14</v>
      </c>
      <c r="U14" s="700">
        <f t="shared" si="1"/>
        <v>100</v>
      </c>
      <c r="V14" s="699" t="s">
        <v>14</v>
      </c>
      <c r="W14" s="700">
        <f t="shared" si="2"/>
        <v>100</v>
      </c>
      <c r="X14" s="701"/>
      <c r="Y14" s="3570"/>
      <c r="Z14" s="52">
        <f t="shared" si="7"/>
        <v>111</v>
      </c>
      <c r="AA14" s="702">
        <f t="shared" si="3"/>
        <v>1</v>
      </c>
      <c r="AB14" s="702">
        <f t="shared" si="4"/>
        <v>1</v>
      </c>
      <c r="AC14" s="702">
        <f t="shared" si="5"/>
        <v>1</v>
      </c>
    </row>
    <row r="15" spans="1:29" ht="57">
      <c r="A15" s="391" t="s">
        <v>1690</v>
      </c>
      <c r="B15" s="577" t="s">
        <v>1920</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7" t="s">
        <v>1691</v>
      </c>
      <c r="Q15" s="1346" t="str">
        <f t="shared" si="6"/>
        <v>产业集聚程度</v>
      </c>
      <c r="R15" s="703" t="s">
        <v>14</v>
      </c>
      <c r="S15" s="704">
        <f t="shared" si="0"/>
        <v>100</v>
      </c>
      <c r="T15" s="703" t="s">
        <v>14</v>
      </c>
      <c r="U15" s="704">
        <f t="shared" si="1"/>
        <v>100</v>
      </c>
      <c r="V15" s="703" t="s">
        <v>14</v>
      </c>
      <c r="W15" s="704">
        <f t="shared" si="2"/>
        <v>100</v>
      </c>
      <c r="X15" s="1349"/>
      <c r="Y15" s="3697"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16"/>
      <c r="M16" s="2710"/>
      <c r="N16" s="2710"/>
      <c r="O16" s="2768"/>
      <c r="P16" s="3698"/>
      <c r="Q16" s="1346"/>
      <c r="R16" s="703"/>
      <c r="S16" s="704"/>
      <c r="T16" s="703"/>
      <c r="U16" s="704"/>
      <c r="V16" s="703"/>
      <c r="W16" s="704"/>
      <c r="X16" s="1349"/>
      <c r="Y16" s="3698"/>
      <c r="Z16" s="1350"/>
      <c r="AA16" s="1347">
        <v>1</v>
      </c>
      <c r="AB16" s="1347">
        <v>1</v>
      </c>
      <c r="AC16" s="1347">
        <v>1</v>
      </c>
    </row>
    <row r="17" spans="1:29" ht="85.5">
      <c r="A17" s="379"/>
      <c r="B17" s="579" t="s">
        <v>1833</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8"/>
      <c r="Q17" s="1346" t="str">
        <f>B17</f>
        <v>交通便捷度</v>
      </c>
      <c r="R17" s="703" t="s">
        <v>14</v>
      </c>
      <c r="S17" s="704">
        <f>F17</f>
        <v>100</v>
      </c>
      <c r="T17" s="703" t="s">
        <v>14</v>
      </c>
      <c r="U17" s="704">
        <f>H17</f>
        <v>100</v>
      </c>
      <c r="V17" s="703" t="s">
        <v>14</v>
      </c>
      <c r="W17" s="704">
        <f>J17</f>
        <v>100</v>
      </c>
      <c r="X17" s="1349"/>
      <c r="Y17" s="3698"/>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16"/>
      <c r="M18" s="2710"/>
      <c r="N18" s="2710"/>
      <c r="O18" s="2768"/>
      <c r="P18" s="3698"/>
      <c r="Q18" s="1346"/>
      <c r="R18" s="703"/>
      <c r="S18" s="704"/>
      <c r="T18" s="703"/>
      <c r="U18" s="704"/>
      <c r="V18" s="703"/>
      <c r="W18" s="704"/>
      <c r="X18" s="1349"/>
      <c r="Y18" s="3698"/>
      <c r="Z18" s="1350"/>
      <c r="AA18" s="1347">
        <v>1</v>
      </c>
      <c r="AB18" s="1347">
        <v>1</v>
      </c>
      <c r="AC18" s="1347">
        <v>1</v>
      </c>
    </row>
    <row r="19" spans="1:29" ht="15">
      <c r="A19" s="379"/>
      <c r="B19" s="579" t="s">
        <v>1871</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8"/>
      <c r="Q19" s="1346" t="str">
        <f t="shared" ref="Q19:Q33" si="8">B19</f>
        <v>区域土地利用方向</v>
      </c>
      <c r="R19" s="703" t="s">
        <v>14</v>
      </c>
      <c r="S19" s="704">
        <f>F19</f>
        <v>100</v>
      </c>
      <c r="T19" s="703" t="s">
        <v>14</v>
      </c>
      <c r="U19" s="704">
        <f>H19</f>
        <v>100</v>
      </c>
      <c r="V19" s="703" t="s">
        <v>14</v>
      </c>
      <c r="W19" s="704">
        <f>J19</f>
        <v>100</v>
      </c>
      <c r="X19" s="1349"/>
      <c r="Y19" s="3698"/>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4"/>
      <c r="L20" s="2716"/>
      <c r="M20" s="2710"/>
      <c r="N20" s="2710"/>
      <c r="O20" s="2768"/>
      <c r="P20" s="3698"/>
      <c r="Q20" s="1346"/>
      <c r="R20" s="703"/>
      <c r="S20" s="704"/>
      <c r="T20" s="703"/>
      <c r="U20" s="704"/>
      <c r="V20" s="703"/>
      <c r="W20" s="704"/>
      <c r="X20" s="1349"/>
      <c r="Y20" s="3698"/>
      <c r="Z20" s="1350"/>
      <c r="AA20" s="1347"/>
      <c r="AB20" s="1347"/>
      <c r="AC20" s="1347"/>
    </row>
    <row r="21" spans="1:29" ht="71.25">
      <c r="A21" s="358"/>
      <c r="B21" s="579" t="s">
        <v>1921</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8"/>
      <c r="Q21" s="1346" t="str">
        <f t="shared" si="8"/>
        <v>环境状况</v>
      </c>
      <c r="R21" s="703" t="s">
        <v>14</v>
      </c>
      <c r="S21" s="704">
        <f>F21</f>
        <v>100</v>
      </c>
      <c r="T21" s="703" t="s">
        <v>14</v>
      </c>
      <c r="U21" s="704">
        <f>H21</f>
        <v>100</v>
      </c>
      <c r="V21" s="703" t="s">
        <v>14</v>
      </c>
      <c r="W21" s="704">
        <f>J21</f>
        <v>100</v>
      </c>
      <c r="X21" s="1349"/>
      <c r="Y21" s="3698"/>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16"/>
      <c r="M22" s="2710"/>
      <c r="N22" s="2710"/>
      <c r="O22" s="2768"/>
      <c r="P22" s="3698"/>
      <c r="Q22" s="1346"/>
      <c r="R22" s="703"/>
      <c r="S22" s="704"/>
      <c r="T22" s="703"/>
      <c r="U22" s="704"/>
      <c r="V22" s="703"/>
      <c r="W22" s="704"/>
      <c r="X22" s="1349"/>
      <c r="Y22" s="3698"/>
      <c r="Z22" s="1350"/>
      <c r="AA22" s="1347">
        <v>1</v>
      </c>
      <c r="AB22" s="1347">
        <v>1</v>
      </c>
      <c r="AC22" s="1347">
        <v>1</v>
      </c>
    </row>
    <row r="23" spans="1:29" s="108" customFormat="1" ht="42.75">
      <c r="A23" s="597"/>
      <c r="B23" s="581" t="s">
        <v>1778</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8"/>
      <c r="Q23" s="1337" t="str">
        <f t="shared" si="8"/>
        <v>公共配套设施</v>
      </c>
      <c r="R23" s="699" t="s">
        <v>14</v>
      </c>
      <c r="S23" s="700">
        <f>F23</f>
        <v>100</v>
      </c>
      <c r="T23" s="699" t="s">
        <v>14</v>
      </c>
      <c r="U23" s="700">
        <f>H23</f>
        <v>100</v>
      </c>
      <c r="V23" s="699" t="s">
        <v>14</v>
      </c>
      <c r="W23" s="700">
        <f>J23</f>
        <v>100</v>
      </c>
      <c r="X23" s="701"/>
      <c r="Y23" s="3698"/>
      <c r="Z23" s="52" t="str">
        <f>Q23</f>
        <v>公共配套设施</v>
      </c>
      <c r="AA23" s="1347">
        <f>D23/F23</f>
        <v>1</v>
      </c>
      <c r="AB23" s="1347">
        <f>D23/H23</f>
        <v>1</v>
      </c>
      <c r="AC23" s="1347">
        <f>D23/J23</f>
        <v>1</v>
      </c>
    </row>
    <row r="24" spans="1:29" s="108" customFormat="1" ht="15">
      <c r="A24" s="597"/>
      <c r="B24" s="580"/>
      <c r="C24" s="1972"/>
      <c r="D24" s="399"/>
      <c r="E24" s="1898"/>
      <c r="F24" s="399"/>
      <c r="G24" s="1898"/>
      <c r="H24" s="399"/>
      <c r="I24" s="398"/>
      <c r="J24" s="399"/>
      <c r="K24" s="620"/>
      <c r="L24" s="2711"/>
      <c r="M24" s="2712"/>
      <c r="N24" s="2712"/>
      <c r="O24" s="2766"/>
      <c r="P24" s="3698"/>
      <c r="Q24" s="1337"/>
      <c r="R24" s="699"/>
      <c r="S24" s="700"/>
      <c r="T24" s="699"/>
      <c r="U24" s="700"/>
      <c r="V24" s="699"/>
      <c r="W24" s="700"/>
      <c r="X24" s="701"/>
      <c r="Y24" s="3698"/>
      <c r="Z24" s="52"/>
      <c r="AA24" s="702">
        <v>1</v>
      </c>
      <c r="AB24" s="702">
        <v>1</v>
      </c>
      <c r="AC24" s="702">
        <v>1</v>
      </c>
    </row>
    <row r="25" spans="1:29" s="108" customFormat="1" ht="28.5">
      <c r="A25" s="597"/>
      <c r="B25" s="581" t="s">
        <v>1779</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8"/>
      <c r="Q25" s="1337" t="str">
        <f t="shared" ref="Q25" si="9">B25</f>
        <v>基础设施水平</v>
      </c>
      <c r="R25" s="699" t="s">
        <v>14</v>
      </c>
      <c r="S25" s="700">
        <f>F25</f>
        <v>100</v>
      </c>
      <c r="T25" s="699" t="s">
        <v>14</v>
      </c>
      <c r="U25" s="700">
        <f>H25</f>
        <v>100</v>
      </c>
      <c r="V25" s="699" t="s">
        <v>14</v>
      </c>
      <c r="W25" s="700">
        <f>J25</f>
        <v>100</v>
      </c>
      <c r="X25" s="701"/>
      <c r="Y25" s="3698"/>
      <c r="Z25" s="52" t="str">
        <f>Q25</f>
        <v>基础设施水平</v>
      </c>
      <c r="AA25" s="1347">
        <f>D25/F25</f>
        <v>1</v>
      </c>
      <c r="AB25" s="1347">
        <f>D25/H25</f>
        <v>1</v>
      </c>
      <c r="AC25" s="1347">
        <f>D25/J25</f>
        <v>1</v>
      </c>
    </row>
    <row r="26" spans="1:29" s="108" customFormat="1" ht="15">
      <c r="A26" s="597"/>
      <c r="B26" s="580"/>
      <c r="C26" s="1972"/>
      <c r="D26" s="399"/>
      <c r="E26" s="1973"/>
      <c r="F26" s="399"/>
      <c r="G26" s="1973"/>
      <c r="H26" s="399"/>
      <c r="I26" s="1973"/>
      <c r="J26" s="399"/>
      <c r="K26" s="620"/>
      <c r="L26" s="2711"/>
      <c r="M26" s="2712"/>
      <c r="N26" s="2712"/>
      <c r="O26" s="2766"/>
      <c r="P26" s="3698"/>
      <c r="Q26" s="1337"/>
      <c r="R26" s="699"/>
      <c r="S26" s="700"/>
      <c r="T26" s="699"/>
      <c r="U26" s="700"/>
      <c r="V26" s="699"/>
      <c r="W26" s="700"/>
      <c r="X26" s="701"/>
      <c r="Y26" s="369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8"/>
      <c r="Q27" s="1346" t="str">
        <f t="shared" si="8"/>
        <v>临街状况</v>
      </c>
      <c r="R27" s="703" t="s">
        <v>14</v>
      </c>
      <c r="S27" s="704">
        <f t="shared" ref="S27:S40" si="10">F27</f>
        <v>100</v>
      </c>
      <c r="T27" s="703" t="s">
        <v>14</v>
      </c>
      <c r="U27" s="704">
        <f t="shared" ref="U27:U40" si="11">H27</f>
        <v>100</v>
      </c>
      <c r="V27" s="703" t="s">
        <v>14</v>
      </c>
      <c r="W27" s="704">
        <f t="shared" ref="W27:W40" si="12">J27</f>
        <v>100</v>
      </c>
      <c r="X27" s="1349"/>
      <c r="Y27" s="3698"/>
      <c r="Z27" s="1350" t="str">
        <f t="shared" ref="Z27:Z40" si="13">Q27</f>
        <v>临街状况</v>
      </c>
      <c r="AA27" s="1347">
        <f t="shared" si="3"/>
        <v>1</v>
      </c>
      <c r="AB27" s="1347">
        <f t="shared" si="4"/>
        <v>1</v>
      </c>
      <c r="AC27" s="1347">
        <f t="shared" si="5"/>
        <v>1</v>
      </c>
    </row>
    <row r="28" spans="1:29" ht="27">
      <c r="A28" s="379"/>
      <c r="B28" s="581" t="s">
        <v>1815</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8"/>
      <c r="Q28" s="1346" t="str">
        <f t="shared" si="8"/>
        <v>毗邻道路的类型与等级</v>
      </c>
      <c r="R28" s="703" t="s">
        <v>14</v>
      </c>
      <c r="S28" s="704">
        <f t="shared" si="10"/>
        <v>100</v>
      </c>
      <c r="T28" s="703" t="s">
        <v>14</v>
      </c>
      <c r="U28" s="704">
        <f t="shared" si="11"/>
        <v>100</v>
      </c>
      <c r="V28" s="703" t="s">
        <v>14</v>
      </c>
      <c r="W28" s="704">
        <f t="shared" si="12"/>
        <v>100</v>
      </c>
      <c r="X28" s="1349"/>
      <c r="Y28" s="3698"/>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16"/>
      <c r="M29" s="2710"/>
      <c r="N29" s="2710"/>
      <c r="O29" s="2768"/>
      <c r="P29" s="3698"/>
      <c r="Q29" s="1346"/>
      <c r="R29" s="703"/>
      <c r="S29" s="704"/>
      <c r="T29" s="703"/>
      <c r="U29" s="704"/>
      <c r="V29" s="703"/>
      <c r="W29" s="704"/>
      <c r="X29" s="1349"/>
      <c r="Y29" s="3698"/>
      <c r="Z29" s="1350"/>
      <c r="AA29" s="1347">
        <v>1</v>
      </c>
      <c r="AB29" s="1347">
        <v>1</v>
      </c>
      <c r="AC29" s="1347">
        <v>1</v>
      </c>
    </row>
    <row r="30" spans="1:29" ht="15">
      <c r="A30" s="379"/>
      <c r="B30" s="602" t="s">
        <v>1873</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8"/>
      <c r="Q30" s="1346" t="str">
        <f t="shared" si="8"/>
        <v>土地级别</v>
      </c>
      <c r="R30" s="703" t="s">
        <v>14</v>
      </c>
      <c r="S30" s="704">
        <f t="shared" si="10"/>
        <v>100</v>
      </c>
      <c r="T30" s="703" t="s">
        <v>14</v>
      </c>
      <c r="U30" s="704">
        <f t="shared" si="11"/>
        <v>100</v>
      </c>
      <c r="V30" s="703" t="s">
        <v>14</v>
      </c>
      <c r="W30" s="704">
        <f t="shared" si="12"/>
        <v>100</v>
      </c>
      <c r="X30" s="1349"/>
      <c r="Y30" s="3698"/>
      <c r="Z30" s="1350" t="str">
        <f t="shared" si="13"/>
        <v>土地级别</v>
      </c>
      <c r="AA30" s="1347">
        <f t="shared" si="3"/>
        <v>1</v>
      </c>
      <c r="AB30" s="1347">
        <f t="shared" si="4"/>
        <v>1</v>
      </c>
      <c r="AC30" s="1347">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8"/>
      <c r="Q31" s="1346">
        <f t="shared" si="8"/>
        <v>111</v>
      </c>
      <c r="R31" s="703" t="s">
        <v>14</v>
      </c>
      <c r="S31" s="704">
        <f t="shared" si="10"/>
        <v>100</v>
      </c>
      <c r="T31" s="703" t="s">
        <v>14</v>
      </c>
      <c r="U31" s="704">
        <f t="shared" si="11"/>
        <v>100</v>
      </c>
      <c r="V31" s="703" t="s">
        <v>14</v>
      </c>
      <c r="W31" s="704">
        <f t="shared" si="12"/>
        <v>100</v>
      </c>
      <c r="X31" s="1349"/>
      <c r="Y31" s="3698"/>
      <c r="Z31" s="1350">
        <f t="shared" si="13"/>
        <v>111</v>
      </c>
      <c r="AA31" s="1347">
        <f t="shared" si="3"/>
        <v>1</v>
      </c>
      <c r="AB31" s="1347">
        <f t="shared" si="4"/>
        <v>1</v>
      </c>
      <c r="AC31" s="1347">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5" t="s">
        <v>1696</v>
      </c>
      <c r="Q32" s="1346">
        <f t="shared" si="8"/>
        <v>111</v>
      </c>
      <c r="R32" s="703" t="s">
        <v>14</v>
      </c>
      <c r="S32" s="704">
        <f t="shared" si="10"/>
        <v>100</v>
      </c>
      <c r="T32" s="703" t="s">
        <v>14</v>
      </c>
      <c r="U32" s="704">
        <f t="shared" si="11"/>
        <v>100</v>
      </c>
      <c r="V32" s="703" t="s">
        <v>14</v>
      </c>
      <c r="W32" s="704">
        <f t="shared" si="12"/>
        <v>100</v>
      </c>
      <c r="X32" s="1349"/>
      <c r="Y32" s="3702" t="s">
        <v>1696</v>
      </c>
      <c r="Z32" s="1350">
        <f t="shared" si="13"/>
        <v>111</v>
      </c>
      <c r="AA32" s="1347">
        <f t="shared" si="3"/>
        <v>1</v>
      </c>
      <c r="AB32" s="1347">
        <f t="shared" si="4"/>
        <v>1</v>
      </c>
      <c r="AC32" s="1347">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2"/>
      <c r="Q33" s="1346">
        <f t="shared" si="8"/>
        <v>111</v>
      </c>
      <c r="R33" s="706" t="s">
        <v>14</v>
      </c>
      <c r="S33" s="707">
        <f t="shared" si="10"/>
        <v>100</v>
      </c>
      <c r="T33" s="706" t="s">
        <v>14</v>
      </c>
      <c r="U33" s="707">
        <f t="shared" si="11"/>
        <v>100</v>
      </c>
      <c r="V33" s="706" t="s">
        <v>14</v>
      </c>
      <c r="W33" s="707">
        <f t="shared" si="12"/>
        <v>100</v>
      </c>
      <c r="X33" s="708"/>
      <c r="Y33" s="3702"/>
      <c r="Z33" s="709">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2"/>
      <c r="Q34" s="1346" t="str">
        <f>B34</f>
        <v>宗地面积</v>
      </c>
      <c r="R34" s="703" t="s">
        <v>14</v>
      </c>
      <c r="S34" s="704" t="e">
        <f t="shared" si="10"/>
        <v>#N/A</v>
      </c>
      <c r="T34" s="703" t="s">
        <v>14</v>
      </c>
      <c r="U34" s="704" t="e">
        <f t="shared" si="11"/>
        <v>#N/A</v>
      </c>
      <c r="V34" s="703" t="s">
        <v>14</v>
      </c>
      <c r="W34" s="704" t="e">
        <f t="shared" si="12"/>
        <v>#N/A</v>
      </c>
      <c r="X34" s="1349"/>
      <c r="Y34" s="3702"/>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16"/>
      <c r="M35" s="2710"/>
      <c r="N35" s="2710"/>
      <c r="O35" s="2768"/>
      <c r="P35" s="3702"/>
      <c r="Q35" s="1346" t="str">
        <f t="shared" ref="Q35:Q40" si="14">B35</f>
        <v>宗地形状</v>
      </c>
      <c r="R35" s="703" t="s">
        <v>14</v>
      </c>
      <c r="S35" s="704">
        <f t="shared" si="10"/>
        <v>100</v>
      </c>
      <c r="T35" s="703" t="s">
        <v>14</v>
      </c>
      <c r="U35" s="704">
        <f t="shared" si="11"/>
        <v>100</v>
      </c>
      <c r="V35" s="703" t="s">
        <v>14</v>
      </c>
      <c r="W35" s="704">
        <f t="shared" si="12"/>
        <v>100</v>
      </c>
      <c r="X35" s="1349"/>
      <c r="Y35" s="3702"/>
      <c r="Z35" s="1350" t="str">
        <f t="shared" si="13"/>
        <v>宗地形状</v>
      </c>
      <c r="AA35" s="1347">
        <f t="shared" si="3"/>
        <v>1</v>
      </c>
      <c r="AB35" s="1347">
        <f t="shared" si="4"/>
        <v>1</v>
      </c>
      <c r="AC35" s="1347">
        <f t="shared" si="5"/>
        <v>1</v>
      </c>
    </row>
    <row r="36" spans="1:31" s="108" customFormat="1" ht="15">
      <c r="A36" s="424"/>
      <c r="B36" s="375" t="s">
        <v>1877</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1"/>
      <c r="M36" s="2712"/>
      <c r="N36" s="2712"/>
      <c r="O36" s="2766"/>
      <c r="P36" s="3702"/>
      <c r="Q36" s="1346" t="str">
        <f t="shared" si="14"/>
        <v>宗地开发程度</v>
      </c>
      <c r="R36" s="699" t="s">
        <v>14</v>
      </c>
      <c r="S36" s="700">
        <f t="shared" si="10"/>
        <v>100</v>
      </c>
      <c r="T36" s="699" t="s">
        <v>14</v>
      </c>
      <c r="U36" s="700">
        <f t="shared" si="11"/>
        <v>100</v>
      </c>
      <c r="V36" s="699" t="s">
        <v>14</v>
      </c>
      <c r="W36" s="700">
        <f t="shared" si="12"/>
        <v>100</v>
      </c>
      <c r="X36" s="701"/>
      <c r="Y36" s="3702"/>
      <c r="Z36" s="52" t="str">
        <f t="shared" si="13"/>
        <v>宗地开发程度</v>
      </c>
      <c r="AA36" s="702">
        <f t="shared" si="3"/>
        <v>1</v>
      </c>
      <c r="AB36" s="702">
        <f t="shared" si="4"/>
        <v>1</v>
      </c>
      <c r="AC36" s="702">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6"/>
      <c r="M37" s="2710"/>
      <c r="N37" s="2710"/>
      <c r="O37" s="2768"/>
      <c r="P37" s="3702" t="s">
        <v>1696</v>
      </c>
      <c r="Q37" s="1346" t="str">
        <f t="shared" si="14"/>
        <v>工程地质条件</v>
      </c>
      <c r="R37" s="703" t="s">
        <v>14</v>
      </c>
      <c r="S37" s="704">
        <f t="shared" si="10"/>
        <v>100</v>
      </c>
      <c r="T37" s="703" t="s">
        <v>14</v>
      </c>
      <c r="U37" s="704">
        <f t="shared" si="11"/>
        <v>100</v>
      </c>
      <c r="V37" s="703" t="s">
        <v>14</v>
      </c>
      <c r="W37" s="704">
        <f t="shared" si="12"/>
        <v>100</v>
      </c>
      <c r="X37" s="1349"/>
      <c r="Y37" s="3702" t="s">
        <v>1696</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2"/>
      <c r="Q38" s="1346">
        <f t="shared" si="14"/>
        <v>111</v>
      </c>
      <c r="R38" s="703" t="s">
        <v>14</v>
      </c>
      <c r="S38" s="704">
        <f t="shared" si="10"/>
        <v>100</v>
      </c>
      <c r="T38" s="703" t="s">
        <v>14</v>
      </c>
      <c r="U38" s="704">
        <f t="shared" si="11"/>
        <v>100</v>
      </c>
      <c r="V38" s="703" t="s">
        <v>14</v>
      </c>
      <c r="W38" s="704">
        <f t="shared" si="12"/>
        <v>100</v>
      </c>
      <c r="X38" s="1349"/>
      <c r="Y38" s="3702"/>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2"/>
      <c r="Q39" s="1346">
        <f t="shared" si="14"/>
        <v>111</v>
      </c>
      <c r="R39" s="703" t="s">
        <v>14</v>
      </c>
      <c r="S39" s="704">
        <f t="shared" si="10"/>
        <v>100</v>
      </c>
      <c r="T39" s="703" t="s">
        <v>14</v>
      </c>
      <c r="U39" s="704">
        <f t="shared" si="11"/>
        <v>100</v>
      </c>
      <c r="V39" s="703" t="s">
        <v>14</v>
      </c>
      <c r="W39" s="704">
        <f t="shared" si="12"/>
        <v>100</v>
      </c>
      <c r="X39" s="1349"/>
      <c r="Y39" s="3702"/>
      <c r="Z39" s="1350">
        <f t="shared" si="13"/>
        <v>111</v>
      </c>
      <c r="AA39" s="1347">
        <f t="shared" si="3"/>
        <v>1</v>
      </c>
      <c r="AB39" s="1347">
        <f t="shared" si="4"/>
        <v>1</v>
      </c>
      <c r="AC39" s="1347">
        <f t="shared" si="5"/>
        <v>1</v>
      </c>
    </row>
    <row r="40" spans="1:31" s="422" customFormat="1" ht="15.75" thickBot="1">
      <c r="A40" s="419"/>
      <c r="B40" s="1128">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2"/>
      <c r="Q40" s="1346">
        <f t="shared" si="14"/>
        <v>111</v>
      </c>
      <c r="R40" s="706" t="s">
        <v>14</v>
      </c>
      <c r="S40" s="707">
        <f t="shared" si="10"/>
        <v>100</v>
      </c>
      <c r="T40" s="706" t="s">
        <v>14</v>
      </c>
      <c r="U40" s="707">
        <f t="shared" si="11"/>
        <v>100</v>
      </c>
      <c r="V40" s="706" t="s">
        <v>14</v>
      </c>
      <c r="W40" s="707">
        <f t="shared" si="12"/>
        <v>100</v>
      </c>
      <c r="X40" s="708"/>
      <c r="Y40" s="3702"/>
      <c r="Z40" s="709">
        <f t="shared" si="13"/>
        <v>111</v>
      </c>
      <c r="AA40" s="1347">
        <f t="shared" si="3"/>
        <v>1</v>
      </c>
      <c r="AB40" s="1347">
        <f t="shared" si="4"/>
        <v>1</v>
      </c>
      <c r="AC40" s="1347">
        <f t="shared" si="5"/>
        <v>1</v>
      </c>
    </row>
    <row r="41" spans="1:31" ht="15">
      <c r="A41" s="430" t="s">
        <v>1844</v>
      </c>
      <c r="B41" s="1976" t="s">
        <v>1922</v>
      </c>
      <c r="C41" s="630" t="s">
        <v>0</v>
      </c>
      <c r="D41" s="432"/>
      <c r="E41" s="433"/>
      <c r="F41" s="434"/>
      <c r="G41" s="435"/>
      <c r="H41" s="436"/>
      <c r="I41" s="433"/>
      <c r="J41" s="436"/>
      <c r="K41" s="712"/>
      <c r="L41" s="2718"/>
      <c r="M41" s="2710"/>
      <c r="N41" s="2710"/>
      <c r="O41" s="2719"/>
      <c r="P41" s="3695" t="str">
        <f>A41</f>
        <v>成交单价</v>
      </c>
      <c r="Q41" s="3695"/>
      <c r="R41" s="3726">
        <f>E41</f>
        <v>0</v>
      </c>
      <c r="S41" s="3726"/>
      <c r="T41" s="3726">
        <f>G41</f>
        <v>0</v>
      </c>
      <c r="U41" s="3726"/>
      <c r="V41" s="3726">
        <f>I41</f>
        <v>0</v>
      </c>
      <c r="W41" s="3726"/>
      <c r="X41" s="688"/>
      <c r="Y41" s="710"/>
      <c r="Z41" s="688"/>
      <c r="AA41" s="688"/>
      <c r="AB41" s="688"/>
      <c r="AC41" s="688"/>
    </row>
    <row r="42" spans="1:31" ht="15.75" thickBot="1">
      <c r="A42" s="437" t="s">
        <v>1793</v>
      </c>
      <c r="B42" s="631"/>
      <c r="C42" s="440" t="e">
        <f>R43</f>
        <v>#DIV/0!</v>
      </c>
      <c r="D42" s="2311" t="s">
        <v>2137</v>
      </c>
      <c r="E42" s="440" t="e">
        <f>R42</f>
        <v>#DIV/0!</v>
      </c>
      <c r="F42" s="2312"/>
      <c r="G42" s="439" t="e">
        <f>T42</f>
        <v>#DIV/0!</v>
      </c>
      <c r="H42" s="2312"/>
      <c r="I42" s="440" t="e">
        <f>V42</f>
        <v>#DIV/0!</v>
      </c>
      <c r="J42" s="2312"/>
      <c r="K42" s="2314">
        <f>F42+H42+J42</f>
        <v>0</v>
      </c>
      <c r="L42" s="2718"/>
      <c r="M42" s="2710"/>
      <c r="N42" s="2710"/>
      <c r="O42" s="2719"/>
      <c r="P42" s="3695" t="str">
        <f>A42</f>
        <v>比较价值（元/平方米）</v>
      </c>
      <c r="Q42" s="3695"/>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692" t="str">
        <f>A43</f>
        <v>估价对象XX用房的比较价值（楼面单价，元/平方米）</v>
      </c>
      <c r="Q43" s="3693"/>
      <c r="R43" s="3758" t="e">
        <f>ROUND(IF(D42="简单平均",AVERAGE(R42:W42),R42*F42+T42*H42+V42*J42),0)</f>
        <v>#DIV/0!</v>
      </c>
      <c r="S43" s="3758"/>
      <c r="T43" s="3758"/>
      <c r="U43" s="3758"/>
      <c r="V43" s="3758"/>
      <c r="W43" s="3758"/>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7" t="s">
        <v>1883</v>
      </c>
      <c r="D50" s="1978" t="s">
        <v>1884</v>
      </c>
      <c r="E50" s="634" t="s">
        <v>1885</v>
      </c>
      <c r="F50" s="635" t="s">
        <v>1886</v>
      </c>
      <c r="G50" s="3710" t="s">
        <v>1887</v>
      </c>
      <c r="H50" s="3759"/>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8">
        <v>1</v>
      </c>
      <c r="E51" s="638">
        <f>'数据-汇总表'!E8+'数据-汇总表'!E9</f>
        <v>687.62999999999988</v>
      </c>
      <c r="F51" s="639" t="e">
        <f t="shared" ref="F51:F60" si="15">ROUND(B51*E51/10000,0)</f>
        <v>#DIV/0!</v>
      </c>
      <c r="G51" s="3706"/>
      <c r="H51" s="3695"/>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39">
        <v>0.25</v>
      </c>
      <c r="E52" s="642"/>
      <c r="F52" s="639"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39">
        <v>0.25</v>
      </c>
      <c r="E53" s="642"/>
      <c r="F53" s="639"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39">
        <v>0.25</v>
      </c>
      <c r="E54" s="642"/>
      <c r="F54" s="639"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39"/>
      <c r="E55" s="642"/>
      <c r="F55" s="639"/>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39">
        <v>0.25</v>
      </c>
      <c r="E56" s="217">
        <f>'数据-汇总表'!E11</f>
        <v>0</v>
      </c>
      <c r="F56" s="639"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39">
        <v>0.25</v>
      </c>
      <c r="E57" s="217">
        <f>'数据-汇总表'!E12</f>
        <v>0</v>
      </c>
      <c r="F57" s="639"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39">
        <v>0.25</v>
      </c>
      <c r="E58" s="217">
        <f>'数据-汇总表'!E13</f>
        <v>0</v>
      </c>
      <c r="F58" s="639"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39">
        <v>0.25</v>
      </c>
      <c r="E59" s="217">
        <f>'数据-汇总表'!E14</f>
        <v>0</v>
      </c>
      <c r="F59" s="639"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39">
        <v>0.25</v>
      </c>
      <c r="E60" s="217">
        <f>'数据-汇总表'!E15</f>
        <v>0</v>
      </c>
      <c r="F60" s="639"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90" t="str">
        <f>YEAR(C7)&amp;"-"&amp;MONTH(C7)&amp;"-1"</f>
        <v>2024-8-1</v>
      </c>
      <c r="D63" s="690">
        <f>EDATE(C63,-3)</f>
        <v>45413</v>
      </c>
      <c r="E63" s="690">
        <f>EDATE(D63,-3)</f>
        <v>45323</v>
      </c>
      <c r="F63" s="690">
        <f t="shared" ref="F63:O63" si="18">EDATE(E63,-3)</f>
        <v>45231</v>
      </c>
      <c r="G63" s="690">
        <f t="shared" si="18"/>
        <v>45139</v>
      </c>
      <c r="H63" s="690">
        <f t="shared" si="18"/>
        <v>45047</v>
      </c>
      <c r="I63" s="690">
        <f t="shared" si="18"/>
        <v>44958</v>
      </c>
      <c r="J63" s="690">
        <f t="shared" si="18"/>
        <v>44866</v>
      </c>
      <c r="K63" s="690">
        <f t="shared" si="18"/>
        <v>44774</v>
      </c>
      <c r="L63" s="690">
        <f t="shared" si="18"/>
        <v>44682</v>
      </c>
      <c r="M63" s="690">
        <f t="shared" si="18"/>
        <v>44593</v>
      </c>
      <c r="N63" s="690">
        <f t="shared" si="18"/>
        <v>44501</v>
      </c>
      <c r="O63" s="690">
        <f t="shared" si="18"/>
        <v>44409</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4"/>
      <c r="P64" s="2763"/>
      <c r="Q64" s="2733"/>
      <c r="R64" s="2719"/>
      <c r="S64" s="2719"/>
      <c r="T64" s="2719"/>
      <c r="U64" s="2719"/>
      <c r="V64" s="2719"/>
      <c r="W64" s="2719"/>
      <c r="X64" s="2719"/>
      <c r="Y64" s="2719"/>
      <c r="Z64" s="2719"/>
      <c r="AA64" s="2719"/>
      <c r="AB64" s="2719"/>
      <c r="AC64" s="2719"/>
      <c r="AD64" s="2719"/>
      <c r="AE64" s="2719"/>
    </row>
    <row r="65" spans="1:31" s="457" customFormat="1" ht="15">
      <c r="A65" s="1983" t="s">
        <v>1904</v>
      </c>
      <c r="B65" s="1103"/>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1"/>
      <c r="C1" s="1373">
        <v>1806</v>
      </c>
      <c r="D1" s="1356" t="s">
        <v>43</v>
      </c>
      <c r="E1" s="1357" t="s">
        <v>678</v>
      </c>
      <c r="F1" s="1056">
        <f ca="1">J53</f>
        <v>41</v>
      </c>
      <c r="G1" s="1372">
        <f>MATCH(C1,'数据-取费表'!A6:A16,0)+5</f>
        <v>9</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9" t="s">
        <v>878</v>
      </c>
      <c r="B2" s="3419">
        <f ca="1">ROUND(D2/10000,4)</f>
        <v>363.28519999999997</v>
      </c>
      <c r="C2" s="1381" t="s">
        <v>879</v>
      </c>
      <c r="D2" s="1465">
        <f ca="1">C40+J29+L46</f>
        <v>3632852</v>
      </c>
      <c r="E2" s="1382" t="s">
        <v>880</v>
      </c>
      <c r="F2" s="1383"/>
      <c r="G2" s="2700"/>
      <c r="H2" s="2689"/>
      <c r="I2" s="2689"/>
      <c r="J2" s="2689"/>
      <c r="K2" s="2690"/>
      <c r="L2" s="2689"/>
      <c r="M2" s="2689"/>
    </row>
    <row r="3" spans="1:37" ht="18" customHeight="1" thickBot="1">
      <c r="A3" s="1384" t="s">
        <v>881</v>
      </c>
      <c r="B3" s="1385">
        <f ca="1">IF(ISERROR(D2/F43),0,ROUND(D2/F43,0))</f>
        <v>19656</v>
      </c>
      <c r="C3" s="1381" t="s">
        <v>882</v>
      </c>
      <c r="D3" s="1381"/>
      <c r="E3" s="1382"/>
      <c r="F3" s="1383"/>
      <c r="G3" s="2700"/>
      <c r="H3" s="681"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212763</v>
      </c>
      <c r="D5" s="1358" t="s">
        <v>889</v>
      </c>
      <c r="E5" s="1065"/>
      <c r="F5" s="1066"/>
      <c r="G5" s="1378"/>
      <c r="H5" s="299">
        <v>1</v>
      </c>
      <c r="I5" s="300" t="s">
        <v>888</v>
      </c>
      <c r="J5" s="1064">
        <f ca="1">J6+J10+J12</f>
        <v>0</v>
      </c>
      <c r="K5" s="1358" t="s">
        <v>889</v>
      </c>
      <c r="L5" s="1065"/>
      <c r="M5" s="1066"/>
    </row>
    <row r="6" spans="1:37" ht="18" customHeight="1">
      <c r="A6" s="1063" t="s">
        <v>398</v>
      </c>
      <c r="B6" s="3668" t="s">
        <v>694</v>
      </c>
      <c r="C6" s="1068">
        <f ca="1">ROUND(F6*F8*F7*(1-F9),0)</f>
        <v>212497</v>
      </c>
      <c r="D6" s="155" t="s">
        <v>2105</v>
      </c>
      <c r="E6" s="302" t="s">
        <v>696</v>
      </c>
      <c r="F6" s="303">
        <f ca="1">INDIRECT("'数据-取费表'!u"&amp;$G$1)</f>
        <v>3.5</v>
      </c>
      <c r="G6" s="1378"/>
      <c r="H6" s="1063" t="s">
        <v>398</v>
      </c>
      <c r="I6" s="3668" t="s">
        <v>694</v>
      </c>
      <c r="J6" s="301">
        <f ca="1">ROUND(M6*M8*M7*(1-M9),0)</f>
        <v>0</v>
      </c>
      <c r="K6" s="1370" t="s">
        <v>2106</v>
      </c>
      <c r="L6" s="302" t="s">
        <v>696</v>
      </c>
      <c r="M6" s="303">
        <f ca="1">INDIRECT("'数据-取费表'!z"&amp;$G$1)</f>
        <v>0</v>
      </c>
    </row>
    <row r="7" spans="1:37" ht="18" customHeight="1">
      <c r="A7" s="1067"/>
      <c r="B7" s="3669"/>
      <c r="C7" s="1069"/>
      <c r="D7" s="307"/>
      <c r="E7" s="1070" t="s">
        <v>697</v>
      </c>
      <c r="F7" s="303">
        <f ca="1">IF(INDIRECT("'数据-取费表'!ah"&amp;$G$1)="",INDIRECT("'数据-取费表'!k"&amp;$G$1),INDIRECT("'数据-取费表'!ah"&amp;$G$1))</f>
        <v>184.82</v>
      </c>
      <c r="G7" s="1378"/>
      <c r="H7" s="304"/>
      <c r="I7" s="3669"/>
      <c r="J7" s="306"/>
      <c r="K7" s="307"/>
      <c r="L7" s="302" t="s">
        <v>697</v>
      </c>
      <c r="M7" s="303">
        <f ca="1">F7</f>
        <v>184.82</v>
      </c>
    </row>
    <row r="8" spans="1:37" ht="18" customHeight="1">
      <c r="A8" s="304"/>
      <c r="B8" s="3669"/>
      <c r="C8" s="306"/>
      <c r="D8" s="307"/>
      <c r="E8" s="302" t="s">
        <v>698</v>
      </c>
      <c r="F8" s="303">
        <f ca="1">INDIRECT("'数据-取费表'!ai"&amp;$G$1)</f>
        <v>365</v>
      </c>
      <c r="G8" s="1378"/>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78"/>
      <c r="H9" s="304"/>
      <c r="I9" s="3670"/>
      <c r="J9" s="306"/>
      <c r="K9" s="307"/>
      <c r="L9" s="313" t="s">
        <v>699</v>
      </c>
      <c r="M9" s="314">
        <f ca="1">INDIRECT("'数据-取费表'!ab"&amp;$G$1)</f>
        <v>0</v>
      </c>
    </row>
    <row r="10" spans="1:37" ht="18" customHeight="1">
      <c r="A10" s="1063" t="s">
        <v>402</v>
      </c>
      <c r="B10" s="1359" t="s">
        <v>700</v>
      </c>
      <c r="C10" s="316">
        <f ca="1">ROUND(IF(F10="押一",C6/12*F11,IF(F10="押二",C6/12*2*F11,IF(F10="押三",C6/12*3*F11,C11*F11))),0)</f>
        <v>266</v>
      </c>
      <c r="D10" s="1360" t="s">
        <v>2115</v>
      </c>
      <c r="E10" s="313" t="s">
        <v>701</v>
      </c>
      <c r="F10" s="1110" t="s">
        <v>3403</v>
      </c>
      <c r="G10" s="1378"/>
      <c r="H10" s="1063" t="s">
        <v>402</v>
      </c>
      <c r="I10" s="1359" t="s">
        <v>700</v>
      </c>
      <c r="J10" s="301">
        <f ca="1">ROUND(IF(M10="押一",J6/12*M11,IF(M10="押二",J6/12*2*M11,IF(M10="押三",J6/12*3*M11,J11*M11))),0)</f>
        <v>0</v>
      </c>
      <c r="K10" s="1371" t="s">
        <v>2117</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2"/>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1047623</v>
      </c>
      <c r="D13" s="1075" t="s">
        <v>705</v>
      </c>
      <c r="E13" s="1075" t="s">
        <v>706</v>
      </c>
      <c r="F13" s="1076">
        <f ca="1">INDIRECT("'数据-取费表'!y"&amp;$G$1)</f>
        <v>0.88</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831690</v>
      </c>
      <c r="D14" s="1339" t="s">
        <v>708</v>
      </c>
      <c r="E14" s="1336"/>
      <c r="F14" s="319"/>
      <c r="G14" s="1378"/>
      <c r="H14" s="976" t="s">
        <v>398</v>
      </c>
      <c r="I14" s="302" t="s">
        <v>709</v>
      </c>
      <c r="J14" s="21">
        <f ca="1">C29</f>
        <v>1190481</v>
      </c>
      <c r="K14" s="12"/>
      <c r="L14" s="801"/>
      <c r="M14" s="802"/>
    </row>
    <row r="15" spans="1:37" s="1391" customFormat="1" ht="18" customHeight="1" thickBot="1">
      <c r="A15" s="976" t="s">
        <v>399</v>
      </c>
      <c r="B15" s="302" t="s">
        <v>710</v>
      </c>
      <c r="C15" s="21">
        <f ca="1">ROUND(C14*F15,0)</f>
        <v>24951</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5952</v>
      </c>
      <c r="K16" s="1081" t="s">
        <v>715</v>
      </c>
      <c r="L16" s="1082"/>
      <c r="M16" s="1066"/>
    </row>
    <row r="17" spans="1:37" s="1391" customFormat="1" ht="18" customHeight="1">
      <c r="A17" s="976" t="s">
        <v>681</v>
      </c>
      <c r="B17" s="302" t="s">
        <v>716</v>
      </c>
      <c r="C17" s="21">
        <f ca="1">ROUND(F17*(F43+INDIRECT("'数据-取费表'!S"&amp;$G$1)),0)</f>
        <v>36964</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16634</v>
      </c>
      <c r="D18" s="302" t="s">
        <v>711</v>
      </c>
      <c r="E18" s="302" t="s">
        <v>712</v>
      </c>
      <c r="F18" s="322">
        <f>'数据-取费表'!B36</f>
        <v>0.02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910239</v>
      </c>
      <c r="D19" s="131" t="s">
        <v>726</v>
      </c>
      <c r="E19" s="1354"/>
      <c r="F19" s="23"/>
      <c r="G19" s="1378"/>
      <c r="H19" s="976" t="s">
        <v>399</v>
      </c>
      <c r="I19" s="302" t="s">
        <v>727</v>
      </c>
      <c r="J19" s="21">
        <f ca="1">IF(K19="按租金收入计税",ROUND(J6*M19/(1+'数据-取费表'!C42),0),ROUND(C29*M19*0.7,0))</f>
        <v>0</v>
      </c>
      <c r="K19" s="1364" t="s">
        <v>3337</v>
      </c>
      <c r="L19" s="302" t="s">
        <v>712</v>
      </c>
      <c r="M19" s="322">
        <f>IF(K19="按租金收入计税",'数据-取费表'!B51,'数据-取费表'!B50)</f>
        <v>0.12</v>
      </c>
    </row>
    <row r="20" spans="1:37" s="1391" customFormat="1" ht="18" customHeight="1">
      <c r="A20" s="976" t="s">
        <v>402</v>
      </c>
      <c r="B20" s="302" t="s">
        <v>728</v>
      </c>
      <c r="C20" s="21">
        <f ca="1">ROUND(C19*F20,0)</f>
        <v>18205</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5952</v>
      </c>
      <c r="K22" s="1338"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31103</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ROUND(J13*M23,0)</f>
        <v>0</v>
      </c>
      <c r="K23" s="1338"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-5952</v>
      </c>
      <c r="K25" s="1089" t="s">
        <v>753</v>
      </c>
      <c r="L25" s="1090"/>
      <c r="M25" s="1091"/>
    </row>
    <row r="26" spans="1:37" ht="18" customHeight="1">
      <c r="A26" s="976" t="s">
        <v>397</v>
      </c>
      <c r="B26" s="302" t="s">
        <v>754</v>
      </c>
      <c r="C26" s="21">
        <f ca="1">ROUND((C19+C20)*F26,0)</f>
        <v>139267</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1190481</v>
      </c>
      <c r="D29" s="1086"/>
      <c r="E29" s="1084"/>
      <c r="F29" s="1087"/>
      <c r="G29" s="1390"/>
      <c r="H29" s="334" t="s">
        <v>396</v>
      </c>
      <c r="I29" s="335" t="s">
        <v>768</v>
      </c>
      <c r="J29" s="336">
        <f ca="1">ROUND(J26/(1+F40)^F41,0)</f>
        <v>0</v>
      </c>
      <c r="K29" s="337" t="s">
        <v>769</v>
      </c>
      <c r="L29" s="338"/>
      <c r="M29" s="339">
        <f ca="1">INDIRECT("'数据-取费表'!k"&amp;$G$1)</f>
        <v>184.82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44205</v>
      </c>
      <c r="D30" s="1081" t="s">
        <v>715</v>
      </c>
      <c r="E30" s="1082"/>
      <c r="F30" s="1066"/>
      <c r="G30" s="1378"/>
      <c r="H30" s="2691"/>
      <c r="I30" s="1392"/>
      <c r="J30" s="1393"/>
      <c r="K30" s="2469"/>
      <c r="L30" s="2692"/>
      <c r="M30" s="2693"/>
    </row>
    <row r="31" spans="1:37" ht="18" customHeight="1">
      <c r="A31" s="976" t="s">
        <v>398</v>
      </c>
      <c r="B31" s="302" t="s">
        <v>719</v>
      </c>
      <c r="C31" s="2310">
        <f ca="1">ROUND(IF(AND(项目基本情况!B11="自然人",项目基本情况!B10="北京市"),C6*F31/(1+'数据-取费表'!C42),C32+C33+C34),0)</f>
        <v>35618</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302" t="s">
        <v>723</v>
      </c>
      <c r="C32" s="21">
        <f ca="1">IF(项目基本情况!B11="自然人","——",ROUND(C6*F32/(1+'数据-取费表'!C42),0))</f>
        <v>11333</v>
      </c>
      <c r="D32" s="1338" t="s">
        <v>724</v>
      </c>
      <c r="E32" s="302" t="s">
        <v>712</v>
      </c>
      <c r="F32" s="331">
        <f>'数据-取费表'!B41</f>
        <v>5.6000000000000001E-2</v>
      </c>
      <c r="G32" s="1378"/>
      <c r="H32" s="2691"/>
      <c r="I32" s="1392"/>
      <c r="J32" s="1393"/>
      <c r="K32" s="2469"/>
      <c r="L32" s="2692"/>
      <c r="M32" s="2693"/>
    </row>
    <row r="33" spans="1:18" ht="18" customHeight="1">
      <c r="A33" s="976" t="s">
        <v>399</v>
      </c>
      <c r="B33" s="302" t="s">
        <v>727</v>
      </c>
      <c r="C33" s="21">
        <f ca="1">IF(项目基本情况!B11="自然人","——",IF(D33="按租金收入计税",ROUND(C6*F33/(1+'数据-取费表'!C42),0),IF(D33="按房产原值计税",ROUND(C29*F33*0.7,0),INDIRECT("'数据-取费表'!Aj"&amp;$G$1))))</f>
        <v>24285</v>
      </c>
      <c r="D33" s="1364" t="s">
        <v>3337</v>
      </c>
      <c r="E33" s="302" t="s">
        <v>712</v>
      </c>
      <c r="F33" s="322">
        <f>IF(D33="按票据","——",IF(D33="按租金收入计税",'数据-取费表'!B51,'数据-取费表'!B50))</f>
        <v>0.12</v>
      </c>
      <c r="G33" s="1378"/>
      <c r="H33" s="2694"/>
      <c r="I33" s="1392"/>
      <c r="J33" s="1393"/>
      <c r="K33" s="2695"/>
      <c r="L33" s="2694"/>
      <c r="M33" s="2694"/>
    </row>
    <row r="34" spans="1:18" ht="18" customHeight="1">
      <c r="A34" s="1063" t="s">
        <v>680</v>
      </c>
      <c r="B34" s="155" t="s">
        <v>730</v>
      </c>
      <c r="C34" s="22">
        <f ca="1">IF(项目基本情况!B11="自然人","——",ROUND(F34*F35,0))</f>
        <v>0</v>
      </c>
      <c r="D34" s="324" t="s">
        <v>731</v>
      </c>
      <c r="E34" s="302" t="s">
        <v>732</v>
      </c>
      <c r="F34" s="325">
        <f>'数据-取费表'!B52</f>
        <v>0</v>
      </c>
      <c r="G34" s="1378"/>
      <c r="H34" s="2691"/>
      <c r="I34" s="1392"/>
      <c r="J34" s="1393"/>
      <c r="K34" s="2696"/>
      <c r="L34" s="2697"/>
      <c r="M34" s="2697"/>
    </row>
    <row r="35" spans="1:18" ht="18" customHeight="1">
      <c r="A35" s="1097"/>
      <c r="B35" s="1095"/>
      <c r="C35" s="26"/>
      <c r="D35" s="327"/>
      <c r="E35" s="302" t="s">
        <v>736</v>
      </c>
      <c r="F35" s="303">
        <f ca="1">INDIRECT("'数据-取费表'!r"&amp;$G$1)</f>
        <v>0</v>
      </c>
      <c r="G35" s="1378"/>
      <c r="H35" s="2691"/>
      <c r="I35" s="1392"/>
      <c r="J35" s="1393"/>
      <c r="K35" s="2695"/>
      <c r="L35" s="2694"/>
      <c r="M35" s="2694"/>
    </row>
    <row r="36" spans="1:18" ht="18" customHeight="1">
      <c r="A36" s="1096" t="s">
        <v>402</v>
      </c>
      <c r="B36" s="302" t="s">
        <v>738</v>
      </c>
      <c r="C36" s="21">
        <f ca="1">ROUND(C29*F36,0)</f>
        <v>5952</v>
      </c>
      <c r="D36" s="1338" t="s">
        <v>771</v>
      </c>
      <c r="E36" s="302" t="s">
        <v>712</v>
      </c>
      <c r="F36" s="328">
        <f ca="1">INDIRECT("'数据-取费表'!Ak"&amp;$G$1)</f>
        <v>5.0000000000000001E-3</v>
      </c>
      <c r="G36" s="1378"/>
      <c r="H36" s="2694"/>
      <c r="I36" s="1392"/>
      <c r="J36" s="1393"/>
      <c r="K36" s="2538"/>
      <c r="L36" s="2694"/>
      <c r="M36" s="2694"/>
    </row>
    <row r="37" spans="1:18" ht="18" customHeight="1">
      <c r="A37" s="976" t="s">
        <v>437</v>
      </c>
      <c r="B37" s="302" t="s">
        <v>742</v>
      </c>
      <c r="C37" s="21">
        <f ca="1">ROUND(C13*F37,0)</f>
        <v>1571</v>
      </c>
      <c r="D37" s="1338" t="s">
        <v>743</v>
      </c>
      <c r="E37" s="302" t="s">
        <v>744</v>
      </c>
      <c r="F37" s="330">
        <f ca="1">INDIRECT("'数据-取费表'!Al"&amp;$G$1)</f>
        <v>1.5E-3</v>
      </c>
      <c r="G37" s="1378"/>
      <c r="H37" s="2694"/>
      <c r="I37" s="1392"/>
      <c r="J37" s="1393"/>
      <c r="K37" s="2538"/>
      <c r="L37" s="2694"/>
      <c r="M37" s="2694"/>
    </row>
    <row r="38" spans="1:18" ht="18" customHeight="1" thickBot="1">
      <c r="A38" s="1083" t="s">
        <v>684</v>
      </c>
      <c r="B38" s="1084" t="s">
        <v>728</v>
      </c>
      <c r="C38" s="1085">
        <f ca="1">ROUND(C5*F38,0)</f>
        <v>1064</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10">
        <f ca="1">C5-C30</f>
        <v>168558</v>
      </c>
      <c r="D39" s="1089" t="s">
        <v>773</v>
      </c>
      <c r="E39" s="1090"/>
      <c r="F39" s="1091"/>
      <c r="G39" s="1378"/>
      <c r="H39" s="2694"/>
      <c r="I39" s="1392"/>
      <c r="J39" s="1393"/>
      <c r="K39" s="2698"/>
      <c r="L39" s="2694"/>
      <c r="M39" s="2694"/>
    </row>
    <row r="40" spans="1:18" ht="18" customHeight="1">
      <c r="A40" s="299" t="s">
        <v>395</v>
      </c>
      <c r="B40" s="300" t="s">
        <v>774</v>
      </c>
      <c r="C40" s="301">
        <f ca="1">ROUND(C39*(1-((1+F42)/(1+F40))^F41)/(F40-F42),0)</f>
        <v>3608303</v>
      </c>
      <c r="D40" s="324" t="s">
        <v>758</v>
      </c>
      <c r="E40" s="302" t="s">
        <v>759</v>
      </c>
      <c r="F40" s="312">
        <f ca="1">INDIRECT("'数据-取费表'!I"&amp;$G$1)</f>
        <v>5.5E-2</v>
      </c>
      <c r="G40" s="1378"/>
      <c r="H40" s="1455"/>
      <c r="I40" s="1392"/>
      <c r="J40" s="1393"/>
      <c r="K40" s="2698"/>
      <c r="L40" s="1455"/>
      <c r="M40" s="1455"/>
    </row>
    <row r="41" spans="1:18" ht="18" customHeight="1">
      <c r="A41" s="304"/>
      <c r="B41" s="305"/>
      <c r="C41" s="306"/>
      <c r="D41" s="332" t="s">
        <v>775</v>
      </c>
      <c r="E41" s="302" t="s">
        <v>763</v>
      </c>
      <c r="F41" s="333">
        <f ca="1">IF(INDIRECT("'数据-取费表'!af"&amp;$G$1)=0,INDIRECT("'数据-取费表'!ae"&amp;$G$1),INDIRECT("'数据-取费表'!af"&amp;$G$1))</f>
        <v>41</v>
      </c>
      <c r="G41" s="1378"/>
      <c r="H41" s="1185"/>
      <c r="I41" s="1392"/>
      <c r="J41" s="1393"/>
      <c r="K41" s="2538"/>
      <c r="L41" s="1185"/>
      <c r="M41" s="1185"/>
    </row>
    <row r="42" spans="1:18" ht="18" customHeight="1">
      <c r="A42" s="308"/>
      <c r="B42" s="309"/>
      <c r="C42" s="310"/>
      <c r="D42" s="327"/>
      <c r="E42" s="302" t="s">
        <v>766</v>
      </c>
      <c r="F42" s="312">
        <f ca="1">INDIRECT("'数据-取费表'!v"&amp;$G$1)</f>
        <v>0.02</v>
      </c>
      <c r="G42" s="1378"/>
      <c r="H42" s="1185"/>
      <c r="I42" s="1392"/>
      <c r="J42" s="1393"/>
      <c r="K42" s="2538"/>
      <c r="L42" s="1185"/>
      <c r="M42" s="1185"/>
    </row>
    <row r="43" spans="1:18" ht="18" customHeight="1" thickBot="1">
      <c r="A43" s="334" t="s">
        <v>396</v>
      </c>
      <c r="B43" s="335" t="s">
        <v>776</v>
      </c>
      <c r="C43" s="336">
        <f ca="1">ROUND(C40/F43,0)</f>
        <v>19523</v>
      </c>
      <c r="D43" s="337" t="s">
        <v>777</v>
      </c>
      <c r="E43" s="338" t="s">
        <v>778</v>
      </c>
      <c r="F43" s="339">
        <f ca="1">INDIRECT("'数据-取费表'!k"&amp;$G$1)</f>
        <v>184.82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3353</v>
      </c>
      <c r="B45" s="1394"/>
      <c r="C45" s="1466">
        <f ca="1">ROUND((C68-C40)/10000,4)</f>
        <v>-372.98559999999998</v>
      </c>
      <c r="D45" s="3425" t="s">
        <v>3354</v>
      </c>
      <c r="E45" s="1394"/>
      <c r="F45" s="1394"/>
      <c r="O45" s="1397" t="s">
        <v>808</v>
      </c>
      <c r="P45" s="1455"/>
      <c r="Q45" s="1455"/>
      <c r="R45" s="1455"/>
    </row>
    <row r="46" spans="1:18" s="1378" customFormat="1" ht="13.5" thickBot="1">
      <c r="A46" s="1398" t="s">
        <v>809</v>
      </c>
      <c r="C46" s="1399">
        <f ca="1">ROUND(C45,0)</f>
        <v>-373</v>
      </c>
      <c r="D46" s="1400" t="str">
        <f>C2</f>
        <v>万元</v>
      </c>
      <c r="I46" s="1401" t="s">
        <v>810</v>
      </c>
      <c r="J46" s="1402"/>
      <c r="K46" s="1403"/>
      <c r="L46" s="1404">
        <f ca="1">IF(M47="住宅",0,IF(L48&gt;J51,L60,J60))</f>
        <v>24549</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20"/>
      <c r="I47" s="1408" t="s">
        <v>815</v>
      </c>
      <c r="J47" s="1409" t="s">
        <v>3395</v>
      </c>
      <c r="K47" s="1410" t="s">
        <v>816</v>
      </c>
      <c r="L47" s="1411">
        <f ca="1">INDIRECT("'数据-取费表'!d"&amp;$G$1)</f>
        <v>50</v>
      </c>
      <c r="M47" s="1374" t="str">
        <f>IF(ISNUMBER(FIND("住宅",C1)),"住宅","非住宅")</f>
        <v>非住宅</v>
      </c>
      <c r="O47" s="1412" t="s">
        <v>403</v>
      </c>
      <c r="P47" s="1413" t="s">
        <v>817</v>
      </c>
      <c r="Q47" s="1414">
        <f ca="1">C40+J29</f>
        <v>3608303</v>
      </c>
      <c r="R47" s="1414" t="s">
        <v>818</v>
      </c>
    </row>
    <row r="48" spans="1:18" s="1378" customFormat="1" ht="28.5" thickBot="1">
      <c r="A48" s="1104" t="s">
        <v>438</v>
      </c>
      <c r="B48" s="300" t="s">
        <v>692</v>
      </c>
      <c r="C48" s="1353">
        <f ca="1">C49+C53+C55</f>
        <v>0</v>
      </c>
      <c r="D48" s="1106"/>
      <c r="E48" s="1107"/>
      <c r="F48" s="956"/>
      <c r="G48" s="720"/>
      <c r="H48" s="721"/>
      <c r="I48" s="1415" t="s">
        <v>819</v>
      </c>
      <c r="J48" s="1416" t="s">
        <v>3396</v>
      </c>
      <c r="K48" s="1417" t="s">
        <v>820</v>
      </c>
      <c r="L48" s="1418">
        <f ca="1">INDIRECT("'数据-取费表'!f"&amp;$G$1)</f>
        <v>41</v>
      </c>
      <c r="O48" s="1412" t="s">
        <v>404</v>
      </c>
      <c r="P48" s="1413" t="s">
        <v>821</v>
      </c>
      <c r="Q48" s="1414">
        <f ca="1">J60</f>
        <v>24549</v>
      </c>
      <c r="R48" s="1414" t="s">
        <v>822</v>
      </c>
    </row>
    <row r="49" spans="1:18" s="1378" customFormat="1" ht="13.5" thickBot="1">
      <c r="A49" s="969" t="s">
        <v>439</v>
      </c>
      <c r="B49" s="1365" t="s">
        <v>779</v>
      </c>
      <c r="C49" s="1108">
        <f ca="1">ROUND(F49*F51*F50*(1-F52),0)</f>
        <v>0</v>
      </c>
      <c r="D49" s="1049" t="s">
        <v>695</v>
      </c>
      <c r="E49" s="1366" t="s">
        <v>780</v>
      </c>
      <c r="F49" s="1054"/>
      <c r="G49" s="1419"/>
      <c r="H49" s="721"/>
      <c r="I49" s="1415" t="s">
        <v>823</v>
      </c>
      <c r="J49" s="1420">
        <f>'数据-取费表'!N17</f>
        <v>2017</v>
      </c>
      <c r="K49" s="1417" t="s">
        <v>824</v>
      </c>
      <c r="L49" s="1421"/>
      <c r="O49" s="1422" t="s">
        <v>405</v>
      </c>
      <c r="P49" s="1413" t="s">
        <v>825</v>
      </c>
      <c r="Q49" s="1414">
        <f ca="1">C29</f>
        <v>1190481</v>
      </c>
      <c r="R49" s="1414" t="s">
        <v>818</v>
      </c>
    </row>
    <row r="50" spans="1:18" s="1378" customFormat="1" ht="13.5" thickBot="1">
      <c r="A50" s="970"/>
      <c r="B50" s="973"/>
      <c r="C50" s="974"/>
      <c r="D50" s="947"/>
      <c r="E50" s="1050" t="s">
        <v>697</v>
      </c>
      <c r="F50" s="1051">
        <f ca="1">F7</f>
        <v>184.82</v>
      </c>
      <c r="H50" s="721"/>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53</v>
      </c>
      <c r="K51" s="1428" t="s">
        <v>830</v>
      </c>
      <c r="L51" s="1429">
        <f ca="1">ROUND(-PV(INDIRECT("'数据-取费表'!h"&amp;$G$1),J51,(C39-C13*C76),0),0)</f>
        <v>1761023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41</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2">
        <f ca="1">IF(M47="住宅",IF(D1="——",MAX(J51,L48),MAX(J51,L48-'数据-取费表'!B24)),IF(D1="——",MIN(J51,L48),MIN(J51,L48-'数据-取费表'!B24)))</f>
        <v>41</v>
      </c>
      <c r="K53" s="3666" t="s">
        <v>837</v>
      </c>
      <c r="L53" s="3667"/>
      <c r="O53" s="1412" t="s">
        <v>409</v>
      </c>
      <c r="P53" s="1413" t="s">
        <v>838</v>
      </c>
      <c r="Q53" s="1414">
        <f ca="1">Q47+Q48</f>
        <v>3632852</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1047623</v>
      </c>
      <c r="D56" s="1441"/>
      <c r="E56" s="1442"/>
      <c r="F56" s="1434"/>
      <c r="I56" s="1443" t="s">
        <v>842</v>
      </c>
      <c r="J56" s="1444" t="s">
        <v>3388</v>
      </c>
      <c r="K56" s="1415" t="s">
        <v>843</v>
      </c>
      <c r="L56" s="1418" t="str">
        <f ca="1">IF(L48&lt;J51,"——",L48-J51)</f>
        <v>——</v>
      </c>
      <c r="O56" s="1412" t="s">
        <v>403</v>
      </c>
      <c r="P56" s="1413" t="s">
        <v>817</v>
      </c>
      <c r="Q56" s="1414">
        <f ca="1">C40+J29</f>
        <v>3608303</v>
      </c>
      <c r="R56" s="1414" t="s">
        <v>818</v>
      </c>
    </row>
    <row r="57" spans="1:18" s="1378" customFormat="1" ht="24.75" thickBot="1">
      <c r="A57" s="1445"/>
      <c r="B57" s="944" t="s">
        <v>767</v>
      </c>
      <c r="C57" s="238">
        <f ca="1">C29</f>
        <v>1190481</v>
      </c>
      <c r="D57" s="1446"/>
      <c r="E57" s="1447"/>
      <c r="F57" s="1448"/>
      <c r="I57" s="1449" t="s">
        <v>844</v>
      </c>
      <c r="J57" s="1450">
        <f ca="1">IF(OR(M47="住宅",J51&lt;L48,J56="是"),"——",J51-L48)</f>
        <v>12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7523</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476192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24549</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3337</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3608303</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5952</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1571</v>
      </c>
      <c r="D65" s="958" t="s">
        <v>743</v>
      </c>
      <c r="E65" s="944" t="s">
        <v>744</v>
      </c>
      <c r="F65" s="330">
        <f t="shared" ca="1" si="0"/>
        <v>1.5E-3</v>
      </c>
      <c r="I65" s="1456" t="s">
        <v>867</v>
      </c>
      <c r="J65" s="1457">
        <v>40</v>
      </c>
      <c r="K65" s="1457">
        <v>30</v>
      </c>
      <c r="L65" s="1457">
        <v>50</v>
      </c>
      <c r="M65" s="1459">
        <v>0.02</v>
      </c>
      <c r="O65" s="1412" t="s">
        <v>403</v>
      </c>
      <c r="P65" s="1413" t="s">
        <v>868</v>
      </c>
      <c r="Q65" s="1414">
        <f ca="1">C40+J29</f>
        <v>3608303</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-7523</v>
      </c>
      <c r="D67" s="957" t="s">
        <v>753</v>
      </c>
      <c r="E67" s="962"/>
      <c r="F67" s="963"/>
      <c r="O67" s="1422" t="s">
        <v>405</v>
      </c>
      <c r="P67" s="1413" t="s">
        <v>850</v>
      </c>
      <c r="Q67" s="1460">
        <f ca="1">L51</f>
        <v>1761023</v>
      </c>
      <c r="R67" s="1414" t="s">
        <v>870</v>
      </c>
    </row>
    <row r="68" spans="1:18" s="1378" customFormat="1" ht="16.5" thickBot="1">
      <c r="A68" s="941" t="s">
        <v>395</v>
      </c>
      <c r="B68" s="942" t="s">
        <v>774</v>
      </c>
      <c r="C68" s="301">
        <f ca="1">ROUND(C67*(1-((1+F70)/(1+F68))^F69)/(F68-F70),0)</f>
        <v>-121553</v>
      </c>
      <c r="D68" s="959" t="s">
        <v>758</v>
      </c>
      <c r="E68" s="944" t="s">
        <v>759</v>
      </c>
      <c r="F68" s="312">
        <f ca="1">F40</f>
        <v>5.5E-2</v>
      </c>
      <c r="O68" s="1422" t="s">
        <v>406</v>
      </c>
      <c r="P68" s="1461" t="s">
        <v>871</v>
      </c>
      <c r="Q68" s="1414">
        <f ca="1">ROUND(Q69-Q70*Q71,0)</f>
        <v>95224</v>
      </c>
      <c r="R68" s="1414" t="s">
        <v>414</v>
      </c>
    </row>
    <row r="69" spans="1:18" s="1378" customFormat="1" ht="13.5" thickBot="1">
      <c r="A69" s="945"/>
      <c r="B69" s="946"/>
      <c r="C69" s="306"/>
      <c r="D69" s="964" t="s">
        <v>762</v>
      </c>
      <c r="E69" s="944" t="s">
        <v>763</v>
      </c>
      <c r="F69" s="333">
        <f ca="1">F41</f>
        <v>41</v>
      </c>
      <c r="O69" s="1422" t="s">
        <v>411</v>
      </c>
      <c r="P69" s="1461" t="s">
        <v>872</v>
      </c>
      <c r="Q69" s="1414">
        <f ca="1">C39</f>
        <v>168558</v>
      </c>
      <c r="R69" s="1414" t="s">
        <v>818</v>
      </c>
    </row>
    <row r="70" spans="1:18" s="1378" customFormat="1" ht="13.5" thickBot="1">
      <c r="A70" s="948"/>
      <c r="B70" s="949"/>
      <c r="C70" s="310"/>
      <c r="D70" s="960"/>
      <c r="E70" s="944" t="s">
        <v>766</v>
      </c>
      <c r="F70" s="1048"/>
      <c r="O70" s="1422" t="s">
        <v>412</v>
      </c>
      <c r="P70" s="1461" t="s">
        <v>873</v>
      </c>
      <c r="Q70" s="1414">
        <f ca="1">C13</f>
        <v>1047623</v>
      </c>
      <c r="R70" s="1414" t="s">
        <v>818</v>
      </c>
    </row>
    <row r="71" spans="1:18" s="1378" customFormat="1" ht="13.5" thickBot="1">
      <c r="A71" s="965" t="s">
        <v>396</v>
      </c>
      <c r="B71" s="966" t="s">
        <v>776</v>
      </c>
      <c r="C71" s="336">
        <f ca="1">ROUND(C68/F71,0)</f>
        <v>-658</v>
      </c>
      <c r="D71" s="967" t="s">
        <v>777</v>
      </c>
      <c r="E71" s="968" t="s">
        <v>778</v>
      </c>
      <c r="F71" s="339">
        <f ca="1">F43</f>
        <v>184.82</v>
      </c>
      <c r="O71" s="1422" t="s">
        <v>413</v>
      </c>
      <c r="P71" s="1461" t="s">
        <v>874</v>
      </c>
      <c r="Q71" s="1425">
        <f ca="1">C76</f>
        <v>7.0000000000000007E-2</v>
      </c>
      <c r="R71" s="1414"/>
    </row>
    <row r="72" spans="1:18" s="1378" customFormat="1" ht="13.5" thickBot="1">
      <c r="B72" s="724"/>
      <c r="C72" s="724"/>
      <c r="O72" s="1422" t="s">
        <v>407</v>
      </c>
      <c r="P72" s="1413" t="s">
        <v>852</v>
      </c>
      <c r="Q72" s="1425">
        <f>L52</f>
        <v>0</v>
      </c>
      <c r="R72" s="1414"/>
    </row>
    <row r="73" spans="1:18" ht="16.5" thickBot="1">
      <c r="A73" s="1378"/>
      <c r="B73" s="724"/>
      <c r="C73" s="724"/>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73334</v>
      </c>
      <c r="D75" s="1378"/>
      <c r="E75" s="1378"/>
      <c r="F75" s="1378"/>
      <c r="K75" s="1396"/>
      <c r="L75" s="1378"/>
      <c r="O75" s="1412" t="s">
        <v>409</v>
      </c>
      <c r="P75" s="1413" t="s">
        <v>838</v>
      </c>
      <c r="Q75" s="1414">
        <f ca="1">Q65+Q66</f>
        <v>3608303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7" t="s">
        <v>2083</v>
      </c>
      <c r="C1" s="3767" t="s">
        <v>2084</v>
      </c>
      <c r="D1" s="3768"/>
      <c r="E1" s="3768"/>
      <c r="F1" s="3768"/>
      <c r="G1" s="3768"/>
      <c r="H1" s="3768"/>
      <c r="I1" s="3768"/>
      <c r="J1" s="3768"/>
      <c r="K1" s="3768"/>
      <c r="L1" s="3768"/>
      <c r="M1" s="3768"/>
      <c r="N1" s="3768"/>
      <c r="O1" s="3768"/>
      <c r="P1" s="3768"/>
      <c r="Q1" s="3768"/>
      <c r="R1" s="3768"/>
      <c r="S1" s="3769"/>
      <c r="T1" s="977" t="s">
        <v>2085</v>
      </c>
    </row>
    <row r="2" spans="1:45" s="655" customFormat="1" ht="38.25">
      <c r="A2" s="978"/>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0"/>
      <c r="B3" s="656"/>
      <c r="C3" s="544">
        <v>0</v>
      </c>
      <c r="D3" s="544">
        <v>300</v>
      </c>
      <c r="E3" s="544">
        <v>500</v>
      </c>
      <c r="F3" s="544">
        <v>800</v>
      </c>
      <c r="G3" s="1299"/>
      <c r="H3" s="1299"/>
      <c r="I3" s="1299"/>
      <c r="J3" s="1299"/>
      <c r="K3" s="1299"/>
      <c r="L3" s="1300"/>
      <c r="M3" s="1301"/>
      <c r="N3" s="1301"/>
      <c r="O3" s="1299"/>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1"/>
      <c r="B4" s="982"/>
      <c r="C4" s="509">
        <v>98</v>
      </c>
      <c r="D4" s="485">
        <v>100</v>
      </c>
      <c r="E4" s="485">
        <v>98</v>
      </c>
      <c r="F4" s="485"/>
      <c r="G4" s="1303"/>
      <c r="H4" s="1303"/>
      <c r="I4" s="1303"/>
      <c r="J4" s="1303"/>
      <c r="K4" s="1303"/>
      <c r="L4" s="1303"/>
      <c r="M4" s="1304"/>
      <c r="N4" s="1304"/>
      <c r="O4" s="1303"/>
      <c r="P4" s="1303"/>
      <c r="Q4" s="1303"/>
      <c r="R4" s="1303"/>
      <c r="S4" s="1305"/>
      <c r="T4" s="98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2" t="s">
        <v>2093</v>
      </c>
      <c r="B17" s="2143" t="s">
        <v>2094</v>
      </c>
      <c r="C17" s="1004" t="s">
        <v>3392</v>
      </c>
      <c r="D17" s="1004" t="s">
        <v>3393</v>
      </c>
      <c r="E17" s="1004" t="s">
        <v>3394</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4"/>
      <c r="AS17" s="724"/>
    </row>
    <row r="18" spans="1:45" s="655" customFormat="1" ht="13.5" thickBot="1">
      <c r="A18" s="1014"/>
      <c r="B18" s="1015"/>
      <c r="C18" s="1016">
        <v>100</v>
      </c>
      <c r="D18" s="1017">
        <v>70</v>
      </c>
      <c r="E18" s="1017">
        <v>65</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4"/>
      <c r="AS18" s="724"/>
    </row>
    <row r="19" spans="1:45">
      <c r="A19" s="129"/>
      <c r="B19" s="159"/>
      <c r="C19" s="159"/>
      <c r="D19" s="2144" t="s">
        <v>2095</v>
      </c>
      <c r="E19" s="1334"/>
      <c r="F19" s="1334"/>
      <c r="G19" s="1334"/>
      <c r="H19" s="1053"/>
      <c r="I19" s="159"/>
      <c r="J19" s="159"/>
      <c r="K19" s="159"/>
      <c r="L19" s="159"/>
      <c r="M19" s="159"/>
      <c r="N19" s="159"/>
      <c r="O19" s="159"/>
      <c r="P19" s="159"/>
      <c r="Q19" s="159"/>
      <c r="R19" s="716"/>
      <c r="S19" s="129"/>
    </row>
    <row r="20" spans="1:45" ht="16.5" thickBot="1">
      <c r="A20" s="660" t="s">
        <v>2096</v>
      </c>
      <c r="B20" s="294">
        <f ca="1">IF(D20="——",S22,S22-F20)</f>
        <v>1841</v>
      </c>
      <c r="C20" s="159"/>
      <c r="D20" s="2145" t="s">
        <v>43</v>
      </c>
      <c r="E20" s="1335"/>
      <c r="F20" s="977" t="e">
        <f ca="1">SUMIF(INDIRECT("'"&amp;H20&amp;"'"&amp;"!A:A"),"承租人权益价值",INDIRECT("'"&amp;H20&amp;"'"&amp;"!c:c"))</f>
        <v>#REF!</v>
      </c>
      <c r="G20" s="977" t="s">
        <v>2097</v>
      </c>
      <c r="H20" s="2146"/>
      <c r="I20" s="159"/>
      <c r="J20" s="159"/>
      <c r="K20" s="159"/>
      <c r="L20" s="159"/>
      <c r="M20" s="159"/>
      <c r="N20" s="159"/>
      <c r="O20" s="159"/>
      <c r="P20" s="159"/>
      <c r="Q20" s="159"/>
      <c r="R20" s="716"/>
      <c r="S20" s="129"/>
    </row>
    <row r="21" spans="1:45" ht="15.75">
      <c r="A21" s="660" t="s">
        <v>2098</v>
      </c>
      <c r="B21" s="294">
        <f ca="1">ROUND(B20*10000/B22,0)</f>
        <v>26773</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687.62999999999988</v>
      </c>
      <c r="C22" s="3764" t="s">
        <v>27</v>
      </c>
      <c r="D22" s="3765"/>
      <c r="E22" s="3765"/>
      <c r="F22" s="3765"/>
      <c r="G22" s="3765"/>
      <c r="H22" s="3765"/>
      <c r="I22" s="3765"/>
      <c r="J22" s="3765"/>
      <c r="K22" s="3765"/>
      <c r="L22" s="3765"/>
      <c r="M22" s="3765"/>
      <c r="N22" s="3765"/>
      <c r="O22" s="3765"/>
      <c r="P22" s="3765"/>
      <c r="Q22" s="3766"/>
      <c r="R22" s="661">
        <f ca="1">ROUND(S22*10000/B22,0)</f>
        <v>26773</v>
      </c>
      <c r="S22" s="21">
        <f ca="1">SUM(S24:S10000)</f>
        <v>1841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3479"/>
      <c r="U23" s="3479"/>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1803</v>
      </c>
      <c r="B24" s="663">
        <v>147.63999999999999</v>
      </c>
      <c r="C24" s="2804">
        <v>1</v>
      </c>
      <c r="D24" s="2805"/>
      <c r="E24" s="2804">
        <v>1</v>
      </c>
      <c r="F24" s="2805"/>
      <c r="G24" s="2804">
        <v>1</v>
      </c>
      <c r="H24" s="2805"/>
      <c r="I24" s="2804">
        <v>1</v>
      </c>
      <c r="J24" s="2805"/>
      <c r="K24" s="2804">
        <v>1</v>
      </c>
      <c r="L24" s="2805"/>
      <c r="M24" s="2804">
        <v>1</v>
      </c>
      <c r="N24" s="2805"/>
      <c r="O24" s="2804">
        <v>1</v>
      </c>
      <c r="P24" s="2805"/>
      <c r="Q24" s="2804">
        <v>1</v>
      </c>
      <c r="R24" s="666">
        <f ca="1">'结果表-1803'!G20</f>
        <v>26774</v>
      </c>
      <c r="S24" s="664">
        <f t="shared" ref="S24:S54" ca="1" si="11">ROUND(R24*B24/10000,0)</f>
        <v>395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1803</v>
      </c>
      <c r="B25" s="663">
        <v>147.63999999999999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c r="Q25" s="21">
        <f>(SUMIF($17:$17,P25,$18:$18)-SUMIF($17:$17,$P$24,$18:$18)+100)/100</f>
        <v>1</v>
      </c>
      <c r="R25" s="661">
        <f ca="1">IF(B25="",0,ROUND($R$24*C25*E25*G25*I25*K25*M25*O25*Q25,0))</f>
        <v>26774</v>
      </c>
      <c r="S25" s="316">
        <f t="shared" ca="1" si="11"/>
        <v>395</v>
      </c>
    </row>
    <row r="26" spans="1:45">
      <c r="A26" s="663">
        <v>1803</v>
      </c>
      <c r="B26" s="663">
        <v>207.53</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c r="Q26" s="21">
        <f t="shared" ref="Q26:Q89" si="19">(SUMIF($17:$17,P26,$18:$18)-SUMIF($17:$17,$P$24,$18:$18)+100)/100</f>
        <v>1</v>
      </c>
      <c r="R26" s="661">
        <f t="shared" ref="R26:R89" ca="1" si="20">IF(B26="",0,ROUND($R$24*C26*E26*G26*I26*K26*M26*O26*Q26,0))</f>
        <v>26774</v>
      </c>
      <c r="S26" s="316">
        <f t="shared" ca="1" si="11"/>
        <v>556</v>
      </c>
    </row>
    <row r="27" spans="1:45">
      <c r="A27" s="663">
        <v>1803</v>
      </c>
      <c r="B27" s="663">
        <v>184.82</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5"/>
      <c r="Q27" s="21">
        <f t="shared" si="19"/>
        <v>1</v>
      </c>
      <c r="R27" s="661">
        <f t="shared" ca="1" si="20"/>
        <v>26774</v>
      </c>
      <c r="S27" s="316">
        <f t="shared" ca="1" si="11"/>
        <v>495</v>
      </c>
    </row>
    <row r="28" spans="1:45">
      <c r="A28" s="663"/>
      <c r="B28" s="663"/>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5"/>
      <c r="Q28" s="21">
        <f t="shared" si="19"/>
        <v>1</v>
      </c>
      <c r="R28" s="661">
        <f t="shared" si="20"/>
        <v>0</v>
      </c>
      <c r="S28" s="316">
        <f t="shared" si="11"/>
        <v>0</v>
      </c>
    </row>
    <row r="29" spans="1:45">
      <c r="A29" s="663"/>
      <c r="B29" s="663"/>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2805"/>
      <c r="Q29" s="21">
        <f t="shared" si="19"/>
        <v>1</v>
      </c>
      <c r="R29" s="661">
        <f t="shared" si="20"/>
        <v>0</v>
      </c>
      <c r="S29" s="316">
        <f t="shared" si="11"/>
        <v>0</v>
      </c>
    </row>
    <row r="30" spans="1:45">
      <c r="A30" s="663"/>
      <c r="B30" s="663"/>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2805"/>
      <c r="Q30" s="21">
        <f t="shared" si="19"/>
        <v>1</v>
      </c>
      <c r="R30" s="661">
        <f t="shared" si="20"/>
        <v>0</v>
      </c>
      <c r="S30" s="316">
        <f t="shared" si="11"/>
        <v>0</v>
      </c>
    </row>
    <row r="31" spans="1:45">
      <c r="A31" s="663"/>
      <c r="B31" s="663"/>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2805"/>
      <c r="Q31" s="21">
        <f t="shared" si="19"/>
        <v>1</v>
      </c>
      <c r="R31" s="661">
        <f t="shared" si="20"/>
        <v>0</v>
      </c>
      <c r="S31" s="316">
        <f t="shared" si="11"/>
        <v>0</v>
      </c>
    </row>
    <row r="32" spans="1:45">
      <c r="A32" s="663"/>
      <c r="B32" s="663"/>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2805"/>
      <c r="Q32" s="21">
        <f t="shared" si="19"/>
        <v>1</v>
      </c>
      <c r="R32" s="661">
        <f t="shared" si="20"/>
        <v>0</v>
      </c>
      <c r="S32" s="316">
        <f t="shared" si="11"/>
        <v>0</v>
      </c>
    </row>
    <row r="33" spans="1:19">
      <c r="A33" s="663"/>
      <c r="B33" s="663"/>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2805"/>
      <c r="Q33" s="21">
        <f t="shared" si="19"/>
        <v>1</v>
      </c>
      <c r="R33" s="661">
        <f t="shared" si="20"/>
        <v>0</v>
      </c>
      <c r="S33" s="316">
        <f t="shared" si="11"/>
        <v>0</v>
      </c>
    </row>
    <row r="34" spans="1:19">
      <c r="A34" s="663"/>
      <c r="B34" s="663"/>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2805"/>
      <c r="Q34" s="21">
        <f t="shared" si="19"/>
        <v>1</v>
      </c>
      <c r="R34" s="661">
        <f t="shared" si="20"/>
        <v>0</v>
      </c>
      <c r="S34" s="316">
        <f t="shared" si="11"/>
        <v>0</v>
      </c>
    </row>
    <row r="35" spans="1:19">
      <c r="A35" s="663"/>
      <c r="B35" s="663"/>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2805"/>
      <c r="Q35" s="21">
        <f t="shared" si="19"/>
        <v>1</v>
      </c>
      <c r="R35" s="661">
        <f t="shared" si="20"/>
        <v>0</v>
      </c>
      <c r="S35" s="316">
        <f t="shared" si="11"/>
        <v>0</v>
      </c>
    </row>
    <row r="36" spans="1:19">
      <c r="A36" s="663"/>
      <c r="B36" s="663"/>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2805"/>
      <c r="Q36" s="21">
        <f t="shared" si="19"/>
        <v>1</v>
      </c>
      <c r="R36" s="661">
        <f t="shared" si="20"/>
        <v>0</v>
      </c>
      <c r="S36" s="316">
        <f t="shared" si="11"/>
        <v>0</v>
      </c>
    </row>
    <row r="37" spans="1:19">
      <c r="A37" s="663"/>
      <c r="B37" s="663"/>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2805"/>
      <c r="Q37" s="21">
        <f t="shared" si="19"/>
        <v>1</v>
      </c>
      <c r="R37" s="661">
        <f t="shared" si="20"/>
        <v>0</v>
      </c>
      <c r="S37" s="316">
        <f t="shared" si="11"/>
        <v>0</v>
      </c>
    </row>
    <row r="38" spans="1:19">
      <c r="A38" s="663"/>
      <c r="B38" s="663"/>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663"/>
      <c r="B39" s="663"/>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663"/>
      <c r="B40" s="663"/>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663"/>
      <c r="B41" s="663"/>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663"/>
      <c r="B42" s="663"/>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663"/>
      <c r="B43" s="663"/>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663"/>
      <c r="B44" s="663"/>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663"/>
      <c r="B45" s="663"/>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663"/>
      <c r="B46" s="663"/>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663"/>
      <c r="B47" s="663"/>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663"/>
      <c r="B48" s="663"/>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663"/>
      <c r="B49" s="663"/>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663"/>
      <c r="B50" s="663"/>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663"/>
      <c r="B51" s="663"/>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663"/>
      <c r="B52" s="663"/>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663"/>
      <c r="B53" s="663"/>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663"/>
      <c r="B54" s="663"/>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663"/>
      <c r="B55" s="663"/>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663"/>
      <c r="B56" s="663"/>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663"/>
      <c r="B57" s="663"/>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663"/>
      <c r="B58" s="663"/>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663"/>
      <c r="B59" s="663"/>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663"/>
      <c r="B60" s="663"/>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663"/>
      <c r="B61" s="663"/>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663"/>
      <c r="B62" s="663"/>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663"/>
      <c r="B63" s="663"/>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663"/>
      <c r="B64" s="663"/>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663"/>
      <c r="B65" s="663"/>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663"/>
      <c r="B66" s="663"/>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663"/>
      <c r="B67" s="663"/>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663"/>
      <c r="B68" s="663"/>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663"/>
      <c r="B69" s="663"/>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663"/>
      <c r="B70" s="663"/>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663"/>
      <c r="B71" s="663"/>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663"/>
      <c r="B72" s="663"/>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663"/>
      <c r="B73" s="663"/>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663"/>
      <c r="B74" s="663"/>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663"/>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663"/>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663"/>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663"/>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663"/>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663"/>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663"/>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663"/>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663"/>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663"/>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663"/>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663"/>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663"/>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663"/>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663"/>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663"/>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663"/>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663"/>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663"/>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663"/>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663"/>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663"/>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663"/>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663"/>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663"/>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663"/>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663"/>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663"/>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663"/>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663"/>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663"/>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663"/>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663"/>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663"/>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663"/>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663"/>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663"/>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663"/>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663"/>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663"/>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663"/>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663"/>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663"/>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663"/>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663"/>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663"/>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663"/>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663"/>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663"/>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663"/>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663"/>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663"/>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6" t="s">
        <v>1926</v>
      </c>
      <c r="B1" s="197"/>
      <c r="C1" s="201" t="s">
        <v>1927</v>
      </c>
      <c r="D1" s="342">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203" t="s">
        <v>1940</v>
      </c>
      <c r="B3" s="204" t="e">
        <f>ROUND(B2*10000/D1,0)</f>
        <v>#DIV/0!</v>
      </c>
      <c r="C3" s="1993" t="s">
        <v>1941</v>
      </c>
      <c r="D3" s="1994" t="s">
        <v>1942</v>
      </c>
      <c r="E3" s="3414"/>
      <c r="F3" s="1998"/>
      <c r="G3" s="746">
        <f>IF(F3="宗地容积率",'数据-汇总表'!I4,IF(F3="估价对象容积率",'数据-汇总表'!I6,'数据-汇总表'!I7))</f>
        <v>0</v>
      </c>
      <c r="H3" s="170"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777"/>
      <c r="B4" s="3778"/>
      <c r="C4" s="3778"/>
      <c r="D4" s="3779"/>
      <c r="E4" s="3779"/>
      <c r="F4" s="3779"/>
      <c r="G4" s="3779"/>
      <c r="H4" s="3779"/>
      <c r="I4" s="3779"/>
      <c r="J4" s="3780"/>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3238</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70"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74" t="s">
        <v>1960</v>
      </c>
      <c r="X8" s="3775"/>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70" t="s">
        <v>1973</v>
      </c>
      <c r="C9" s="752">
        <f>SUMIF(修正!C71:C138,C8,修正!E71:E138)</f>
        <v>0</v>
      </c>
      <c r="D9" s="171" t="s">
        <v>113</v>
      </c>
      <c r="E9" s="171"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76"/>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7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3239</v>
      </c>
      <c r="B12" s="3299" t="s">
        <v>3240</v>
      </c>
      <c r="C12" s="3300"/>
      <c r="D12" s="3301" t="s">
        <v>3241</v>
      </c>
      <c r="E12" s="3302" t="s">
        <v>3242</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3243</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3244</v>
      </c>
      <c r="G14" s="3306" t="s">
        <v>3244</v>
      </c>
      <c r="H14" s="3306" t="s">
        <v>3244</v>
      </c>
      <c r="I14" s="3306" t="s">
        <v>3244</v>
      </c>
      <c r="J14" s="3306" t="s">
        <v>3244</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3245</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3249</v>
      </c>
      <c r="E18" s="3323"/>
      <c r="F18" s="3318" t="s">
        <v>3252</v>
      </c>
      <c r="G18" s="3322">
        <f>ROUND(1-(1/(POWER(1+G24,E18))),4)</f>
        <v>0</v>
      </c>
      <c r="H18" s="3318" t="s">
        <v>3254</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3250</v>
      </c>
      <c r="E19" s="3332"/>
      <c r="F19" s="3333" t="s">
        <v>3253</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1" t="s">
        <v>3255</v>
      </c>
      <c r="B20" s="167" t="s">
        <v>1994</v>
      </c>
      <c r="C20" s="3319" t="e">
        <f>ROUND(IF(F21="与级别开发程度一致",0,(G21-E21)/C21),0)</f>
        <v>#DIV/0!</v>
      </c>
      <c r="D20" s="3335" t="s">
        <v>1998</v>
      </c>
      <c r="E20" s="3336"/>
      <c r="F20" s="3787" t="s">
        <v>1995</v>
      </c>
      <c r="G20" s="3788"/>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782"/>
      <c r="B21" s="2158" t="s">
        <v>1997</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48" t="s">
        <v>2002</v>
      </c>
      <c r="E23" s="755">
        <v>44197</v>
      </c>
      <c r="F23" s="2048" t="s">
        <v>2003</v>
      </c>
      <c r="G23" s="756">
        <f>'数据-取费表'!B2</f>
        <v>45506</v>
      </c>
      <c r="H23" s="3337" t="s">
        <v>3257</v>
      </c>
      <c r="I23" s="3338" t="str">
        <f>IF(H23="季度增幅（自定义）",SUMIF(N25:N28,E2,O25:O28),"")</f>
        <v/>
      </c>
      <c r="J23" s="3439" t="s">
        <v>3256</v>
      </c>
      <c r="K23" s="1119"/>
      <c r="L23" s="2049" t="s">
        <v>2004</v>
      </c>
      <c r="M23" s="1322">
        <f>ROUND(SUMIF(地价!B2:G2,E2,地价!B16:G16),0)</f>
        <v>0</v>
      </c>
      <c r="N23" s="2050" t="s">
        <v>2005</v>
      </c>
      <c r="O23" s="757">
        <f>ROUNDDOWN(DATEDIF(E23,G23,"M")/3,0)</f>
        <v>14</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存贷款利率!E24/100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3336</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3258</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3259</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3263</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5" t="e">
        <f>ROUND(C5*C22*C23*C24*C25*C28,0)</f>
        <v>#DIV/0!</v>
      </c>
      <c r="D33" s="2092"/>
      <c r="E33" s="767" t="e">
        <f>ROUND(C33*D33/10000,0)</f>
        <v>#DIV/0!</v>
      </c>
      <c r="F33" s="3340" t="s">
        <v>3261</v>
      </c>
      <c r="G33" s="2093"/>
      <c r="H33" s="2093"/>
      <c r="I33" s="2093"/>
      <c r="J33" s="2094"/>
      <c r="K33" s="1113"/>
      <c r="L33" s="3343" t="s">
        <v>3264</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7" t="e">
        <f>ROUND(IF(E2="工业",C33*M42,IF(B25="楼层修正",SUM(V2:V16)*M41*10000/D34,C33*M41)),0)</f>
        <v>#DIV/0!</v>
      </c>
      <c r="D34" s="2097"/>
      <c r="E34" s="767" t="e">
        <f>ROUND(IF(B25="楼层修正",SUM(V2:V16)*M40,C34*D34/10000),0)</f>
        <v>#DIV/0!</v>
      </c>
      <c r="F34" s="2098" t="s">
        <v>2032</v>
      </c>
      <c r="G34" s="2099"/>
      <c r="H34" s="2099"/>
      <c r="I34" s="2099"/>
      <c r="J34" s="2100"/>
      <c r="K34" s="1113"/>
      <c r="L34" s="3343" t="s">
        <v>3265</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3262</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50" t="s">
        <v>2027</v>
      </c>
      <c r="D36" s="447" t="s">
        <v>2028</v>
      </c>
      <c r="E36" s="447" t="s">
        <v>2029</v>
      </c>
      <c r="F36" s="342" t="s">
        <v>2035</v>
      </c>
      <c r="G36" s="2106" t="s">
        <v>2027</v>
      </c>
      <c r="H36" s="2106" t="s">
        <v>2028</v>
      </c>
      <c r="I36" s="2106" t="s">
        <v>2029</v>
      </c>
      <c r="J36" s="243"/>
      <c r="K36" s="3351" t="s">
        <v>3266</v>
      </c>
      <c r="L36" s="3440">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5"/>
      <c r="B37" s="2107" t="s">
        <v>2036</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6"/>
      <c r="K37" s="3353" t="s">
        <v>3267</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86"/>
      <c r="B38" s="2035" t="s">
        <v>2037</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86"/>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4" t="s">
        <v>3268</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7" t="e">
        <f>ROUND(D5*C22*C23*C44*C28*F42,0)</f>
        <v>#DIV/0!</v>
      </c>
      <c r="D42" s="2097"/>
      <c r="E42" s="187" t="e">
        <f t="shared" si="4"/>
        <v>#DIV/0!</v>
      </c>
      <c r="F42" s="761">
        <f>SUMIF(修正!A57:A68,G2,修正!G57:G68)</f>
        <v>0</v>
      </c>
      <c r="G42" s="187" t="e">
        <f>ROUND(IF(E2="工业",C42*$M$42,C42*$M$41),0)</f>
        <v>#DIV/0!</v>
      </c>
      <c r="H42" s="187">
        <f t="shared" si="5"/>
        <v>0</v>
      </c>
      <c r="I42" s="187"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2121</v>
      </c>
      <c r="C44" s="342" t="e">
        <f>ROUND(POWER(1+E44,H44-G44)*(POWER(1+E44,G44)-1)/(POWER(1+E44,H44)-1),4)</f>
        <v>#DIV/0!</v>
      </c>
      <c r="D44" s="171" t="s">
        <v>1999</v>
      </c>
      <c r="E44" s="2147">
        <f>G24</f>
        <v>0</v>
      </c>
      <c r="F44" s="171" t="s">
        <v>2008</v>
      </c>
      <c r="G44" s="183"/>
      <c r="H44" s="171">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52" t="s">
        <v>1721</v>
      </c>
      <c r="K49" s="552" t="s">
        <v>1722</v>
      </c>
      <c r="L49" s="552" t="s">
        <v>1723</v>
      </c>
      <c r="M49" s="552" t="s">
        <v>1724</v>
      </c>
      <c r="N49" s="552"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3270</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52" t="s">
        <v>1721</v>
      </c>
      <c r="K60" s="552" t="s">
        <v>1722</v>
      </c>
      <c r="L60" s="552" t="s">
        <v>1723</v>
      </c>
      <c r="M60" s="552" t="s">
        <v>1724</v>
      </c>
      <c r="N60" s="552"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3270</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52" t="s">
        <v>1721</v>
      </c>
      <c r="K71" s="552" t="s">
        <v>1722</v>
      </c>
      <c r="L71" s="552" t="s">
        <v>1723</v>
      </c>
      <c r="M71" s="552" t="s">
        <v>1724</v>
      </c>
      <c r="N71" s="552"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3270</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52" t="s">
        <v>1721</v>
      </c>
      <c r="K82" s="552" t="s">
        <v>1722</v>
      </c>
      <c r="L82" s="552" t="s">
        <v>1723</v>
      </c>
      <c r="M82" s="552" t="s">
        <v>1724</v>
      </c>
      <c r="N82" s="552"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3271</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2613</v>
      </c>
      <c r="B91" s="3372">
        <f>1+E93</f>
        <v>1</v>
      </c>
      <c r="C91" s="3365"/>
      <c r="D91" s="3366"/>
      <c r="E91" s="1808"/>
      <c r="F91" s="1808"/>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3274</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3270</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3275</v>
      </c>
      <c r="B96" s="3379" t="s">
        <v>3286</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3277</v>
      </c>
      <c r="B98" s="3380" t="s">
        <v>3287</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3278</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3279</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3280</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3" t="s">
        <v>3295</v>
      </c>
      <c r="B103" s="3783"/>
      <c r="C103" s="3783"/>
      <c r="D103" s="3783"/>
      <c r="E103" s="3783"/>
      <c r="F103" s="3783"/>
      <c r="G103" s="3783"/>
      <c r="H103" s="3783"/>
      <c r="I103" s="3783"/>
      <c r="J103" s="3783"/>
      <c r="K103" s="3384"/>
      <c r="L103" s="3384"/>
      <c r="M103" s="3384"/>
      <c r="N103" s="3384"/>
    </row>
    <row r="104" spans="1:14">
      <c r="A104" s="3784" t="s">
        <v>3296</v>
      </c>
      <c r="B104" s="3784" t="s">
        <v>3297</v>
      </c>
      <c r="C104" s="3385" t="s">
        <v>3298</v>
      </c>
      <c r="D104" s="3386"/>
      <c r="E104" s="3386"/>
      <c r="F104" s="3386"/>
      <c r="G104" s="3386"/>
      <c r="H104" s="3386"/>
      <c r="I104" s="3386"/>
      <c r="J104" s="3387"/>
      <c r="K104" s="3388"/>
      <c r="L104" s="3388"/>
      <c r="M104" s="3388"/>
      <c r="N104" s="3388"/>
    </row>
    <row r="105" spans="1:14">
      <c r="A105" s="3784"/>
      <c r="B105" s="3784"/>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770"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1"/>
      <c r="B111" s="3389" t="s">
        <v>3269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2"/>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3" t="s">
        <v>3312</v>
      </c>
      <c r="B113" s="3773"/>
      <c r="C113" s="3773"/>
      <c r="D113" s="3773"/>
      <c r="E113" s="3773"/>
      <c r="F113" s="3773"/>
      <c r="G113" s="3773"/>
      <c r="H113" s="3773"/>
      <c r="I113" s="3773"/>
      <c r="J113" s="377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f>G3</f>
        <v>0</v>
      </c>
      <c r="C116" s="3394" t="s">
        <v>3314</v>
      </c>
      <c r="D116" s="3395">
        <f>SUMPRODUCT((A118:A122=F116)*(B117:M117=H116)*B118:M122)</f>
        <v>0</v>
      </c>
      <c r="E116" s="1994" t="s">
        <v>3315</v>
      </c>
      <c r="F116" s="3396">
        <f>E2</f>
        <v>0</v>
      </c>
      <c r="G116" s="1994" t="s">
        <v>3316</v>
      </c>
      <c r="H116" s="3396">
        <f>G2</f>
        <v>0</v>
      </c>
      <c r="I116" s="1994"/>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3330</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3331</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3332</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2613</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2595</v>
      </c>
      <c r="B1" s="3066" t="s">
        <v>2596</v>
      </c>
      <c r="C1" s="3066" t="s">
        <v>2597</v>
      </c>
      <c r="D1" s="3066" t="s">
        <v>2598</v>
      </c>
      <c r="E1" s="3066" t="s">
        <v>2599</v>
      </c>
      <c r="F1" s="3066" t="s">
        <v>2600</v>
      </c>
      <c r="G1" s="3066" t="s">
        <v>2601</v>
      </c>
      <c r="H1" s="3066" t="s">
        <v>2602</v>
      </c>
      <c r="I1" s="3066" t="s">
        <v>2603</v>
      </c>
      <c r="J1" s="3066" t="s">
        <v>2604</v>
      </c>
      <c r="K1" s="3066" t="s">
        <v>2605</v>
      </c>
      <c r="L1" s="3066" t="s">
        <v>2606</v>
      </c>
      <c r="M1" s="3067" t="s">
        <v>2607</v>
      </c>
    </row>
    <row r="2" spans="1:13" ht="19.5" customHeight="1">
      <c r="A2" s="3069" t="s">
        <v>2608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2624</v>
      </c>
      <c r="B18" s="3091"/>
      <c r="C18" s="3092"/>
      <c r="D18" s="3092"/>
      <c r="E18" s="3091"/>
      <c r="F18" s="3092"/>
      <c r="G18" s="3092"/>
    </row>
    <row r="19" spans="1:13" ht="19.5" customHeight="1" thickBot="1">
      <c r="A19" s="3089" t="s">
        <v>2625</v>
      </c>
      <c r="B19" s="3094" t="s">
        <v>2626</v>
      </c>
      <c r="C19" s="3094" t="s">
        <v>2627</v>
      </c>
      <c r="D19" s="3095"/>
      <c r="E19" s="3089" t="s">
        <v>2628</v>
      </c>
      <c r="F19" s="3096"/>
      <c r="G19" s="3096"/>
    </row>
    <row r="20" spans="1:13" ht="19.5" customHeight="1">
      <c r="A20" s="3798" t="s">
        <v>2608</v>
      </c>
      <c r="B20" s="3793" t="s">
        <v>2629</v>
      </c>
      <c r="C20" s="3097" t="s">
        <v>2440</v>
      </c>
      <c r="D20" s="3098"/>
      <c r="E20" s="3099">
        <v>1</v>
      </c>
      <c r="F20" s="3100" t="s">
        <v>2441</v>
      </c>
      <c r="G20" s="3100"/>
    </row>
    <row r="21" spans="1:13" ht="19.5" customHeight="1">
      <c r="A21" s="3799"/>
      <c r="B21" s="3792"/>
      <c r="C21" s="3101" t="s">
        <v>2442</v>
      </c>
      <c r="D21" s="3102"/>
      <c r="E21" s="3103">
        <v>1</v>
      </c>
      <c r="F21" s="3100" t="s">
        <v>2443</v>
      </c>
      <c r="G21" s="3100"/>
    </row>
    <row r="22" spans="1:13" ht="19.5" customHeight="1">
      <c r="A22" s="3799"/>
      <c r="B22" s="3792"/>
      <c r="C22" s="3101" t="s">
        <v>2444</v>
      </c>
      <c r="D22" s="3102"/>
      <c r="E22" s="3103">
        <v>0.9</v>
      </c>
      <c r="F22" s="3100" t="s">
        <v>2445</v>
      </c>
      <c r="G22" s="3100"/>
    </row>
    <row r="23" spans="1:13" ht="19.5" customHeight="1">
      <c r="A23" s="3799"/>
      <c r="B23" s="3792"/>
      <c r="C23" s="3101" t="s">
        <v>2446</v>
      </c>
      <c r="D23" s="3102"/>
      <c r="E23" s="3103">
        <v>0.9</v>
      </c>
      <c r="F23" s="3100" t="s">
        <v>2447</v>
      </c>
      <c r="G23" s="3100"/>
    </row>
    <row r="24" spans="1:13" ht="19.5" customHeight="1">
      <c r="A24" s="3799"/>
      <c r="B24" s="3792"/>
      <c r="C24" s="3101" t="s">
        <v>2448</v>
      </c>
      <c r="D24" s="3102"/>
      <c r="E24" s="3103">
        <v>0.8</v>
      </c>
      <c r="F24" s="3100" t="s">
        <v>2449</v>
      </c>
      <c r="G24" s="3100"/>
    </row>
    <row r="25" spans="1:13" ht="19.5" customHeight="1" thickBot="1">
      <c r="A25" s="3800"/>
      <c r="B25" s="3794"/>
      <c r="C25" s="3104" t="s">
        <v>2450</v>
      </c>
      <c r="D25" s="3105"/>
      <c r="E25" s="3106">
        <v>0.8</v>
      </c>
      <c r="F25" s="3100" t="s">
        <v>2451</v>
      </c>
      <c r="G25" s="3100"/>
    </row>
    <row r="26" spans="1:13" ht="19.5" customHeight="1" thickBot="1">
      <c r="A26" s="3107" t="s">
        <v>2630</v>
      </c>
      <c r="B26" s="3108" t="s">
        <v>2629</v>
      </c>
      <c r="C26" s="3109" t="s">
        <v>2631</v>
      </c>
      <c r="D26" s="3110"/>
      <c r="E26" s="3111">
        <v>1</v>
      </c>
      <c r="F26" s="3100" t="s">
        <v>2452</v>
      </c>
      <c r="G26" s="3100"/>
    </row>
    <row r="27" spans="1:13" ht="19.5" customHeight="1">
      <c r="A27" s="3795" t="s">
        <v>2632</v>
      </c>
      <c r="B27" s="3793" t="s">
        <v>2613</v>
      </c>
      <c r="C27" s="3097" t="s">
        <v>2453</v>
      </c>
      <c r="D27" s="3098"/>
      <c r="E27" s="3099">
        <v>1</v>
      </c>
      <c r="F27" s="3100" t="s">
        <v>2454</v>
      </c>
      <c r="G27" s="3100"/>
    </row>
    <row r="28" spans="1:13" ht="19.5" customHeight="1">
      <c r="A28" s="3796"/>
      <c r="B28" s="3792"/>
      <c r="C28" s="3101" t="s">
        <v>2455</v>
      </c>
      <c r="D28" s="3102"/>
      <c r="E28" s="3103">
        <v>1</v>
      </c>
      <c r="F28" s="3100" t="s">
        <v>2456</v>
      </c>
      <c r="G28" s="3100"/>
    </row>
    <row r="29" spans="1:13" ht="19.5" customHeight="1">
      <c r="A29" s="3796"/>
      <c r="B29" s="3792"/>
      <c r="C29" s="3101" t="s">
        <v>2457</v>
      </c>
      <c r="D29" s="3102"/>
      <c r="E29" s="3103">
        <v>0.8</v>
      </c>
      <c r="F29" s="3100" t="s">
        <v>2458</v>
      </c>
      <c r="G29" s="3100"/>
    </row>
    <row r="30" spans="1:13" ht="19.5" customHeight="1">
      <c r="A30" s="3796"/>
      <c r="B30" s="3792"/>
      <c r="C30" s="3101" t="s">
        <v>2459</v>
      </c>
      <c r="D30" s="3102"/>
      <c r="E30" s="3103">
        <v>0.8</v>
      </c>
      <c r="F30" s="3100" t="s">
        <v>2460</v>
      </c>
      <c r="G30" s="3100"/>
    </row>
    <row r="31" spans="1:13" ht="19.5" customHeight="1">
      <c r="A31" s="3796"/>
      <c r="B31" s="3792"/>
      <c r="C31" s="3101" t="s">
        <v>2461</v>
      </c>
      <c r="D31" s="3102"/>
      <c r="E31" s="3103">
        <v>0.8</v>
      </c>
      <c r="F31" s="3100" t="s">
        <v>2462</v>
      </c>
      <c r="G31" s="3100"/>
    </row>
    <row r="32" spans="1:13" ht="19.5" customHeight="1">
      <c r="A32" s="3796"/>
      <c r="B32" s="3792"/>
      <c r="C32" s="3101" t="s">
        <v>2463</v>
      </c>
      <c r="D32" s="3102"/>
      <c r="E32" s="3103">
        <v>0.7</v>
      </c>
      <c r="F32" s="3100" t="s">
        <v>2464</v>
      </c>
      <c r="G32" s="3100"/>
    </row>
    <row r="33" spans="1:7" ht="19.5" customHeight="1">
      <c r="A33" s="3796"/>
      <c r="B33" s="3792"/>
      <c r="C33" s="3101" t="s">
        <v>2465</v>
      </c>
      <c r="D33" s="3102"/>
      <c r="E33" s="3103">
        <v>0.8</v>
      </c>
      <c r="F33" s="3100" t="s">
        <v>2466</v>
      </c>
      <c r="G33" s="3100"/>
    </row>
    <row r="34" spans="1:7" ht="19.5" customHeight="1">
      <c r="A34" s="3796"/>
      <c r="B34" s="3792"/>
      <c r="C34" s="3101" t="s">
        <v>2467</v>
      </c>
      <c r="D34" s="3102"/>
      <c r="E34" s="3103">
        <v>0.6</v>
      </c>
      <c r="F34" s="3100" t="s">
        <v>2468</v>
      </c>
      <c r="G34" s="3100"/>
    </row>
    <row r="35" spans="1:7" ht="19.5" customHeight="1">
      <c r="A35" s="3796"/>
      <c r="B35" s="3792"/>
      <c r="C35" s="3101" t="s">
        <v>2469</v>
      </c>
      <c r="D35" s="3102"/>
      <c r="E35" s="3103">
        <v>0.2</v>
      </c>
      <c r="F35" s="3100" t="s">
        <v>2470</v>
      </c>
      <c r="G35" s="3100"/>
    </row>
    <row r="36" spans="1:7" ht="19.5" customHeight="1">
      <c r="A36" s="3796"/>
      <c r="B36" s="3792"/>
      <c r="C36" s="3101" t="s">
        <v>2471</v>
      </c>
      <c r="D36" s="3102"/>
      <c r="E36" s="3103">
        <v>0.2</v>
      </c>
      <c r="F36" s="3100" t="s">
        <v>2472</v>
      </c>
      <c r="G36" s="3100"/>
    </row>
    <row r="37" spans="1:7" ht="19.5" customHeight="1">
      <c r="A37" s="3796"/>
      <c r="B37" s="3790" t="s">
        <v>2633</v>
      </c>
      <c r="C37" s="3101" t="s">
        <v>2473</v>
      </c>
      <c r="D37" s="3102"/>
      <c r="E37" s="3103">
        <v>0.6</v>
      </c>
      <c r="F37" s="3100" t="s">
        <v>2474</v>
      </c>
      <c r="G37" s="3100"/>
    </row>
    <row r="38" spans="1:7" ht="19.5" customHeight="1">
      <c r="A38" s="3796"/>
      <c r="B38" s="3792"/>
      <c r="C38" s="3101" t="s">
        <v>2475</v>
      </c>
      <c r="D38" s="3102"/>
      <c r="E38" s="3103">
        <v>0.6</v>
      </c>
      <c r="F38" s="3100" t="s">
        <v>2476</v>
      </c>
      <c r="G38" s="3100"/>
    </row>
    <row r="39" spans="1:7" ht="19.5" customHeight="1" thickBot="1">
      <c r="A39" s="3797"/>
      <c r="B39" s="3794"/>
      <c r="C39" s="3104" t="s">
        <v>2477</v>
      </c>
      <c r="D39" s="3105"/>
      <c r="E39" s="3106">
        <v>0.6</v>
      </c>
      <c r="F39" s="3100" t="s">
        <v>2478</v>
      </c>
      <c r="G39" s="3100"/>
    </row>
    <row r="40" spans="1:7" ht="19.5" customHeight="1" thickBot="1">
      <c r="A40" s="3107" t="s">
        <v>2610</v>
      </c>
      <c r="B40" s="3108" t="s">
        <v>2610</v>
      </c>
      <c r="C40" s="3109" t="s">
        <v>2634</v>
      </c>
      <c r="D40" s="3110"/>
      <c r="E40" s="3111">
        <v>1</v>
      </c>
      <c r="F40" s="3100" t="s">
        <v>2479</v>
      </c>
      <c r="G40" s="3100"/>
    </row>
    <row r="41" spans="1:7" ht="19.5" customHeight="1">
      <c r="A41" s="3798" t="s">
        <v>2611</v>
      </c>
      <c r="B41" s="3793" t="s">
        <v>2635</v>
      </c>
      <c r="C41" s="3097" t="s">
        <v>2480</v>
      </c>
      <c r="D41" s="3098"/>
      <c r="E41" s="3099">
        <v>1</v>
      </c>
      <c r="F41" s="3100" t="s">
        <v>2481</v>
      </c>
      <c r="G41" s="3100"/>
    </row>
    <row r="42" spans="1:7" ht="19.5" customHeight="1">
      <c r="A42" s="3799"/>
      <c r="B42" s="3792"/>
      <c r="C42" s="3101" t="s">
        <v>2482</v>
      </c>
      <c r="D42" s="3102"/>
      <c r="E42" s="3103">
        <v>1</v>
      </c>
      <c r="F42" s="3100" t="s">
        <v>2483</v>
      </c>
      <c r="G42" s="3100"/>
    </row>
    <row r="43" spans="1:7" ht="19.5" customHeight="1">
      <c r="A43" s="3799"/>
      <c r="B43" s="3791"/>
      <c r="C43" s="3101" t="s">
        <v>2484</v>
      </c>
      <c r="D43" s="3102"/>
      <c r="E43" s="3103">
        <v>1.5</v>
      </c>
      <c r="F43" s="3100" t="s">
        <v>2485</v>
      </c>
      <c r="G43" s="3100"/>
    </row>
    <row r="44" spans="1:7" ht="19.5" customHeight="1">
      <c r="A44" s="3799"/>
      <c r="B44" s="3112" t="s">
        <v>2636</v>
      </c>
      <c r="C44" s="3101" t="s">
        <v>2637</v>
      </c>
      <c r="D44" s="3102"/>
      <c r="E44" s="3103">
        <v>2</v>
      </c>
      <c r="F44" s="3100" t="s">
        <v>2486</v>
      </c>
      <c r="G44" s="3100"/>
    </row>
    <row r="45" spans="1:7" ht="19.5" customHeight="1">
      <c r="A45" s="3799"/>
      <c r="B45" s="3790" t="s">
        <v>2638</v>
      </c>
      <c r="C45" s="3101" t="s">
        <v>2487</v>
      </c>
      <c r="D45" s="3102"/>
      <c r="E45" s="3103">
        <v>1</v>
      </c>
      <c r="F45" s="3100" t="s">
        <v>2488</v>
      </c>
      <c r="G45" s="3100"/>
    </row>
    <row r="46" spans="1:7" ht="19.5" customHeight="1">
      <c r="A46" s="3799"/>
      <c r="B46" s="3792"/>
      <c r="C46" s="3101" t="s">
        <v>2489</v>
      </c>
      <c r="D46" s="3102"/>
      <c r="E46" s="3103">
        <v>1</v>
      </c>
      <c r="F46" s="3100" t="s">
        <v>2490</v>
      </c>
      <c r="G46" s="3100"/>
    </row>
    <row r="47" spans="1:7" ht="19.5" customHeight="1">
      <c r="A47" s="3799"/>
      <c r="B47" s="3792"/>
      <c r="C47" s="3101" t="s">
        <v>2491</v>
      </c>
      <c r="D47" s="3102"/>
      <c r="E47" s="3103">
        <v>1</v>
      </c>
      <c r="F47" s="3100" t="s">
        <v>2492</v>
      </c>
      <c r="G47" s="3100"/>
    </row>
    <row r="48" spans="1:7" ht="19.5" customHeight="1">
      <c r="A48" s="3799"/>
      <c r="B48" s="3792"/>
      <c r="C48" s="3101" t="s">
        <v>2493</v>
      </c>
      <c r="D48" s="3102"/>
      <c r="E48" s="3103">
        <v>1</v>
      </c>
      <c r="F48" s="3100" t="s">
        <v>2494</v>
      </c>
      <c r="G48" s="3100"/>
    </row>
    <row r="49" spans="1:7" ht="19.5" customHeight="1">
      <c r="A49" s="3799"/>
      <c r="B49" s="3792"/>
      <c r="C49" s="3101" t="s">
        <v>2495</v>
      </c>
      <c r="D49" s="3102"/>
      <c r="E49" s="3103">
        <v>1</v>
      </c>
      <c r="F49" s="3100" t="s">
        <v>2496</v>
      </c>
      <c r="G49" s="3100"/>
    </row>
    <row r="50" spans="1:7" ht="19.5" customHeight="1">
      <c r="A50" s="3799"/>
      <c r="B50" s="3792"/>
      <c r="C50" s="3101" t="s">
        <v>2497</v>
      </c>
      <c r="D50" s="3102"/>
      <c r="E50" s="3103">
        <v>1</v>
      </c>
      <c r="F50" s="3100" t="s">
        <v>2498</v>
      </c>
      <c r="G50" s="3100"/>
    </row>
    <row r="51" spans="1:7" ht="19.5" customHeight="1" thickBot="1">
      <c r="A51" s="3800"/>
      <c r="B51" s="3794"/>
      <c r="C51" s="3104" t="s">
        <v>2499</v>
      </c>
      <c r="D51" s="3105"/>
      <c r="E51" s="3106">
        <v>1</v>
      </c>
      <c r="F51" s="3100" t="s">
        <v>2500</v>
      </c>
      <c r="G51" s="3100"/>
    </row>
    <row r="52" spans="1:7" ht="19.5" customHeight="1">
      <c r="A52" s="3113"/>
      <c r="B52" s="3113"/>
      <c r="C52" s="3113"/>
      <c r="D52" s="3113"/>
      <c r="E52" s="3113"/>
      <c r="F52" s="3113"/>
      <c r="G52" s="3113"/>
    </row>
    <row r="54" spans="1:7" ht="19.5" customHeight="1">
      <c r="A54" s="3114"/>
      <c r="B54" s="3086" t="s">
        <v>2639</v>
      </c>
      <c r="C54" s="3086" t="s">
        <v>2639</v>
      </c>
      <c r="D54" s="3086" t="s">
        <v>2639</v>
      </c>
      <c r="E54" s="3089" t="s">
        <v>2639</v>
      </c>
      <c r="F54" s="3089" t="s">
        <v>2640</v>
      </c>
      <c r="G54" s="3089" t="s">
        <v>2641</v>
      </c>
    </row>
    <row r="55" spans="1:7" ht="19.5" customHeight="1">
      <c r="A55" s="3115"/>
      <c r="B55" s="3089" t="s">
        <v>2608</v>
      </c>
      <c r="C55" s="3089" t="s">
        <v>2608</v>
      </c>
      <c r="D55" s="3089" t="s">
        <v>2608</v>
      </c>
      <c r="E55" s="3086" t="s">
        <v>2609</v>
      </c>
      <c r="F55" s="3086" t="s">
        <v>2611</v>
      </c>
      <c r="G55" s="3086" t="s">
        <v>2642</v>
      </c>
    </row>
    <row r="56" spans="1:7" ht="19.5" customHeight="1">
      <c r="A56" s="3116"/>
      <c r="B56" s="3086">
        <v>1</v>
      </c>
      <c r="C56" s="3086">
        <v>2</v>
      </c>
      <c r="D56" s="3086">
        <v>3</v>
      </c>
      <c r="E56" s="3117" t="s">
        <v>2643</v>
      </c>
      <c r="F56" s="3117" t="s">
        <v>2643</v>
      </c>
      <c r="G56" s="3117" t="s">
        <v>2643</v>
      </c>
    </row>
    <row r="57" spans="1:7" ht="19.5" customHeight="1">
      <c r="A57" s="3118" t="s">
        <v>2596</v>
      </c>
      <c r="B57" s="3086">
        <v>0.7</v>
      </c>
      <c r="C57" s="3086">
        <v>0.4</v>
      </c>
      <c r="D57" s="3086">
        <v>0.3</v>
      </c>
      <c r="E57" s="3117">
        <v>0.3</v>
      </c>
      <c r="F57" s="3086">
        <v>0.3</v>
      </c>
      <c r="G57" s="3086">
        <v>0.2</v>
      </c>
    </row>
    <row r="58" spans="1:7" ht="19.5" customHeight="1">
      <c r="A58" s="3118" t="s">
        <v>2597</v>
      </c>
      <c r="B58" s="3086">
        <v>0.7</v>
      </c>
      <c r="C58" s="3086">
        <v>0.4</v>
      </c>
      <c r="D58" s="3086">
        <v>0.3</v>
      </c>
      <c r="E58" s="3086">
        <v>0.3</v>
      </c>
      <c r="F58" s="3086">
        <v>0.3</v>
      </c>
      <c r="G58" s="3086">
        <v>0.2</v>
      </c>
    </row>
    <row r="59" spans="1:7" ht="19.5" customHeight="1">
      <c r="A59" s="3118" t="s">
        <v>2598</v>
      </c>
      <c r="B59" s="3086">
        <v>0.6</v>
      </c>
      <c r="C59" s="3086">
        <v>0.3</v>
      </c>
      <c r="D59" s="3086">
        <v>0.25</v>
      </c>
      <c r="E59" s="3086">
        <v>0.25</v>
      </c>
      <c r="F59" s="3086">
        <v>0.25</v>
      </c>
      <c r="G59" s="3086">
        <v>0.15</v>
      </c>
    </row>
    <row r="60" spans="1:7" ht="19.5" customHeight="1">
      <c r="A60" s="3118" t="s">
        <v>2599</v>
      </c>
      <c r="B60" s="3086">
        <v>0.6</v>
      </c>
      <c r="C60" s="3086">
        <v>0.3</v>
      </c>
      <c r="D60" s="3086">
        <v>0.25</v>
      </c>
      <c r="E60" s="3086">
        <v>0.25</v>
      </c>
      <c r="F60" s="3086">
        <v>0.25</v>
      </c>
      <c r="G60" s="3086">
        <v>0.15</v>
      </c>
    </row>
    <row r="61" spans="1:7" ht="19.5" customHeight="1">
      <c r="A61" s="3118" t="s">
        <v>2600</v>
      </c>
      <c r="B61" s="3086">
        <v>0.6</v>
      </c>
      <c r="C61" s="3086">
        <v>0.3</v>
      </c>
      <c r="D61" s="3086">
        <v>0.25</v>
      </c>
      <c r="E61" s="3086">
        <v>0.25</v>
      </c>
      <c r="F61" s="3086">
        <v>0.25</v>
      </c>
      <c r="G61" s="3086">
        <v>0.15</v>
      </c>
    </row>
    <row r="62" spans="1:7" ht="19.5" customHeight="1">
      <c r="A62" s="3118" t="s">
        <v>2601</v>
      </c>
      <c r="B62" s="3086">
        <v>0.6</v>
      </c>
      <c r="C62" s="3086">
        <v>0.3</v>
      </c>
      <c r="D62" s="3086">
        <v>0.25</v>
      </c>
      <c r="E62" s="3086">
        <v>0.25</v>
      </c>
      <c r="F62" s="3086">
        <v>0.25</v>
      </c>
      <c r="G62" s="3086">
        <v>0.15</v>
      </c>
    </row>
    <row r="63" spans="1:7" ht="19.5" customHeight="1">
      <c r="A63" s="3118" t="s">
        <v>2602</v>
      </c>
      <c r="B63" s="3086">
        <v>0.6</v>
      </c>
      <c r="C63" s="3086">
        <v>0.3</v>
      </c>
      <c r="D63" s="3086">
        <v>0.25</v>
      </c>
      <c r="E63" s="3086">
        <v>0.25</v>
      </c>
      <c r="F63" s="3086">
        <v>0.25</v>
      </c>
      <c r="G63" s="3086">
        <v>0.15</v>
      </c>
    </row>
    <row r="64" spans="1:7" ht="19.5" customHeight="1">
      <c r="A64" s="3118" t="s">
        <v>2603</v>
      </c>
      <c r="B64" s="3086">
        <v>0.5</v>
      </c>
      <c r="C64" s="3086">
        <v>0.2</v>
      </c>
      <c r="D64" s="3086">
        <v>0.2</v>
      </c>
      <c r="E64" s="3086">
        <v>0.2</v>
      </c>
      <c r="F64" s="3086">
        <v>0.2</v>
      </c>
      <c r="G64" s="3086">
        <v>0.1</v>
      </c>
    </row>
    <row r="65" spans="1:7" ht="19.5" customHeight="1">
      <c r="A65" s="3118" t="s">
        <v>2604</v>
      </c>
      <c r="B65" s="3086">
        <v>0.5</v>
      </c>
      <c r="C65" s="3086">
        <v>0.2</v>
      </c>
      <c r="D65" s="3086">
        <v>0.2</v>
      </c>
      <c r="E65" s="3086">
        <v>0.2</v>
      </c>
      <c r="F65" s="3086">
        <v>0.2</v>
      </c>
      <c r="G65" s="3086">
        <v>0.1</v>
      </c>
    </row>
    <row r="66" spans="1:7" ht="19.5" customHeight="1">
      <c r="A66" s="3118" t="s">
        <v>2605</v>
      </c>
      <c r="B66" s="3086">
        <v>0.5</v>
      </c>
      <c r="C66" s="3086">
        <v>0.2</v>
      </c>
      <c r="D66" s="3086">
        <v>0.2</v>
      </c>
      <c r="E66" s="3086">
        <v>0.2</v>
      </c>
      <c r="F66" s="3086">
        <v>0.2</v>
      </c>
      <c r="G66" s="3086">
        <v>0.1</v>
      </c>
    </row>
    <row r="67" spans="1:7" ht="19.5" customHeight="1">
      <c r="A67" s="3118" t="s">
        <v>2606</v>
      </c>
      <c r="B67" s="3086">
        <v>0.5</v>
      </c>
      <c r="C67" s="3086">
        <v>0.2</v>
      </c>
      <c r="D67" s="3086">
        <v>0.2</v>
      </c>
      <c r="E67" s="3086">
        <v>0.2</v>
      </c>
      <c r="F67" s="3086">
        <v>0.2</v>
      </c>
      <c r="G67" s="3086">
        <v>0.1</v>
      </c>
    </row>
    <row r="68" spans="1:7" ht="19.5" customHeight="1">
      <c r="A68" s="3118" t="s">
        <v>2607</v>
      </c>
      <c r="B68" s="3086">
        <v>0.5</v>
      </c>
      <c r="C68" s="3086">
        <v>0.2</v>
      </c>
      <c r="D68" s="3086">
        <v>0.2</v>
      </c>
      <c r="E68" s="3086">
        <v>0.2</v>
      </c>
      <c r="F68" s="3086">
        <v>0.2</v>
      </c>
      <c r="G68" s="3086">
        <v>0.1</v>
      </c>
    </row>
    <row r="70" spans="1:7" ht="19.5" customHeight="1">
      <c r="A70" s="3119"/>
      <c r="B70" s="3120"/>
      <c r="C70" s="3120"/>
      <c r="D70" s="3120" t="s">
        <v>2644</v>
      </c>
      <c r="E70" s="3120"/>
      <c r="F70" s="3120"/>
    </row>
    <row r="71" spans="1:7" ht="19.5" customHeight="1">
      <c r="A71" s="3112" t="s">
        <v>2645</v>
      </c>
      <c r="B71" s="3112" t="s">
        <v>2646</v>
      </c>
      <c r="C71" s="3112" t="s">
        <v>2647</v>
      </c>
      <c r="D71" s="3112" t="s">
        <v>2648</v>
      </c>
      <c r="E71" s="3112" t="s">
        <v>2649</v>
      </c>
      <c r="F71" s="3112" t="s">
        <v>2650</v>
      </c>
    </row>
    <row r="72" spans="1:7" ht="13.5">
      <c r="A72" s="3112"/>
      <c r="B72" s="3112"/>
      <c r="C72" s="3112" t="s">
        <v>2651</v>
      </c>
      <c r="D72" s="3112"/>
      <c r="E72" s="3112" t="s">
        <v>2622</v>
      </c>
      <c r="F72" s="3112" t="s">
        <v>2622</v>
      </c>
    </row>
    <row r="73" spans="1:7" ht="13.5">
      <c r="A73" s="3112">
        <v>1</v>
      </c>
      <c r="B73" s="3790" t="s">
        <v>2652</v>
      </c>
      <c r="C73" s="3086" t="s">
        <v>2653</v>
      </c>
      <c r="D73" s="3086" t="s">
        <v>2654</v>
      </c>
      <c r="E73" s="3112">
        <v>0.2</v>
      </c>
      <c r="F73" s="3112">
        <v>25</v>
      </c>
    </row>
    <row r="74" spans="1:7" ht="24">
      <c r="A74" s="3112">
        <v>2</v>
      </c>
      <c r="B74" s="3792"/>
      <c r="C74" s="3086" t="s">
        <v>2655</v>
      </c>
      <c r="D74" s="3086" t="s">
        <v>2656</v>
      </c>
      <c r="E74" s="3112">
        <v>0.2</v>
      </c>
      <c r="F74" s="3112">
        <v>25</v>
      </c>
    </row>
    <row r="75" spans="1:7" ht="24">
      <c r="A75" s="3112">
        <v>3</v>
      </c>
      <c r="B75" s="3792"/>
      <c r="C75" s="3086" t="s">
        <v>2657</v>
      </c>
      <c r="D75" s="3086" t="s">
        <v>2658</v>
      </c>
      <c r="E75" s="3112">
        <v>0.2</v>
      </c>
      <c r="F75" s="3112">
        <v>25</v>
      </c>
    </row>
    <row r="76" spans="1:7" ht="13.5">
      <c r="A76" s="3112">
        <v>4</v>
      </c>
      <c r="B76" s="3792"/>
      <c r="C76" s="3086" t="s">
        <v>2659</v>
      </c>
      <c r="D76" s="3086" t="s">
        <v>2660</v>
      </c>
      <c r="E76" s="3112">
        <v>0.15</v>
      </c>
      <c r="F76" s="3112">
        <v>20</v>
      </c>
    </row>
    <row r="77" spans="1:7" ht="24">
      <c r="A77" s="3112">
        <v>5</v>
      </c>
      <c r="B77" s="3792"/>
      <c r="C77" s="3086" t="s">
        <v>2661</v>
      </c>
      <c r="D77" s="3086" t="s">
        <v>2662</v>
      </c>
      <c r="E77" s="3112">
        <v>0.15</v>
      </c>
      <c r="F77" s="3112">
        <v>20</v>
      </c>
    </row>
    <row r="78" spans="1:7" ht="24">
      <c r="A78" s="3112">
        <v>6</v>
      </c>
      <c r="B78" s="3792"/>
      <c r="C78" s="3086" t="s">
        <v>2663</v>
      </c>
      <c r="D78" s="3086" t="s">
        <v>2664</v>
      </c>
      <c r="E78" s="3112">
        <v>0.15</v>
      </c>
      <c r="F78" s="3112">
        <v>20</v>
      </c>
    </row>
    <row r="79" spans="1:7" ht="24">
      <c r="A79" s="3112">
        <v>7</v>
      </c>
      <c r="B79" s="3792"/>
      <c r="C79" s="3086" t="s">
        <v>2665</v>
      </c>
      <c r="D79" s="3086" t="s">
        <v>2666</v>
      </c>
      <c r="E79" s="3112">
        <v>0.15</v>
      </c>
      <c r="F79" s="3112">
        <v>20</v>
      </c>
    </row>
    <row r="80" spans="1:7" ht="24">
      <c r="A80" s="3112">
        <v>8</v>
      </c>
      <c r="B80" s="3792"/>
      <c r="C80" s="3086" t="s">
        <v>2667</v>
      </c>
      <c r="D80" s="3086" t="s">
        <v>2668</v>
      </c>
      <c r="E80" s="3112">
        <v>0.1</v>
      </c>
      <c r="F80" s="3112">
        <v>15</v>
      </c>
    </row>
    <row r="81" spans="1:6" ht="24">
      <c r="A81" s="3112">
        <v>9</v>
      </c>
      <c r="B81" s="3792"/>
      <c r="C81" s="3086" t="s">
        <v>2669</v>
      </c>
      <c r="D81" s="3086" t="s">
        <v>2670</v>
      </c>
      <c r="E81" s="3112">
        <v>0.1</v>
      </c>
      <c r="F81" s="3112">
        <v>15</v>
      </c>
    </row>
    <row r="82" spans="1:6" ht="24">
      <c r="A82" s="3112">
        <v>10</v>
      </c>
      <c r="B82" s="3792"/>
      <c r="C82" s="3086" t="s">
        <v>2671</v>
      </c>
      <c r="D82" s="3086" t="s">
        <v>2672</v>
      </c>
      <c r="E82" s="3112">
        <v>0.1</v>
      </c>
      <c r="F82" s="3112">
        <v>15</v>
      </c>
    </row>
    <row r="83" spans="1:6" ht="24">
      <c r="A83" s="3112">
        <v>11</v>
      </c>
      <c r="B83" s="3792"/>
      <c r="C83" s="3086" t="s">
        <v>2673</v>
      </c>
      <c r="D83" s="3086" t="s">
        <v>2674</v>
      </c>
      <c r="E83" s="3112">
        <v>0.1</v>
      </c>
      <c r="F83" s="3112">
        <v>15</v>
      </c>
    </row>
    <row r="84" spans="1:6" ht="24">
      <c r="A84" s="3112">
        <v>12</v>
      </c>
      <c r="B84" s="3792"/>
      <c r="C84" s="3086" t="s">
        <v>2675</v>
      </c>
      <c r="D84" s="3086" t="s">
        <v>2676</v>
      </c>
      <c r="E84" s="3112">
        <v>0.1</v>
      </c>
      <c r="F84" s="3112">
        <v>15</v>
      </c>
    </row>
    <row r="85" spans="1:6" ht="13.5">
      <c r="A85" s="3112">
        <v>13</v>
      </c>
      <c r="B85" s="3792"/>
      <c r="C85" s="3086" t="s">
        <v>2677</v>
      </c>
      <c r="D85" s="3086" t="s">
        <v>2678</v>
      </c>
      <c r="E85" s="3112">
        <v>0.1</v>
      </c>
      <c r="F85" s="3112">
        <v>15</v>
      </c>
    </row>
    <row r="86" spans="1:6" ht="13.5">
      <c r="A86" s="3112">
        <v>14</v>
      </c>
      <c r="B86" s="3792"/>
      <c r="C86" s="3086" t="s">
        <v>2679</v>
      </c>
      <c r="D86" s="3086" t="s">
        <v>2680</v>
      </c>
      <c r="E86" s="3112">
        <v>0.1</v>
      </c>
      <c r="F86" s="3112">
        <v>15</v>
      </c>
    </row>
    <row r="87" spans="1:6" ht="13.5">
      <c r="A87" s="3112">
        <v>15</v>
      </c>
      <c r="B87" s="3792"/>
      <c r="C87" s="3086" t="s">
        <v>2681</v>
      </c>
      <c r="D87" s="3086" t="s">
        <v>2682</v>
      </c>
      <c r="E87" s="3112">
        <v>0.1</v>
      </c>
      <c r="F87" s="3112">
        <v>15</v>
      </c>
    </row>
    <row r="88" spans="1:6" ht="24">
      <c r="A88" s="3112">
        <v>16</v>
      </c>
      <c r="B88" s="3792"/>
      <c r="C88" s="3086" t="s">
        <v>2683</v>
      </c>
      <c r="D88" s="3086" t="s">
        <v>2684</v>
      </c>
      <c r="E88" s="3112">
        <v>0.1</v>
      </c>
      <c r="F88" s="3112">
        <v>15</v>
      </c>
    </row>
    <row r="89" spans="1:6" ht="24">
      <c r="A89" s="3112">
        <v>17</v>
      </c>
      <c r="B89" s="3791"/>
      <c r="C89" s="3086" t="s">
        <v>2685</v>
      </c>
      <c r="D89" s="3086" t="s">
        <v>2686</v>
      </c>
      <c r="E89" s="3112">
        <v>0.1</v>
      </c>
      <c r="F89" s="3112">
        <v>15</v>
      </c>
    </row>
    <row r="90" spans="1:6" ht="13.5">
      <c r="A90" s="3112">
        <v>18</v>
      </c>
      <c r="B90" s="3790" t="s">
        <v>2687</v>
      </c>
      <c r="C90" s="3086" t="s">
        <v>2688</v>
      </c>
      <c r="D90" s="3086" t="s">
        <v>2689</v>
      </c>
      <c r="E90" s="3112">
        <v>0.2</v>
      </c>
      <c r="F90" s="3112">
        <v>25</v>
      </c>
    </row>
    <row r="91" spans="1:6" ht="24">
      <c r="A91" s="3112">
        <v>19</v>
      </c>
      <c r="B91" s="3792"/>
      <c r="C91" s="3086" t="s">
        <v>2690</v>
      </c>
      <c r="D91" s="3086" t="s">
        <v>2691</v>
      </c>
      <c r="E91" s="3112">
        <v>0.2</v>
      </c>
      <c r="F91" s="3112">
        <v>25</v>
      </c>
    </row>
    <row r="92" spans="1:6" ht="13.5">
      <c r="A92" s="3112">
        <v>20</v>
      </c>
      <c r="B92" s="3792"/>
      <c r="C92" s="3086" t="s">
        <v>2692</v>
      </c>
      <c r="D92" s="3086" t="s">
        <v>2693</v>
      </c>
      <c r="E92" s="3112">
        <v>0.15</v>
      </c>
      <c r="F92" s="3112">
        <v>20</v>
      </c>
    </row>
    <row r="93" spans="1:6" ht="13.5">
      <c r="A93" s="3112">
        <v>21</v>
      </c>
      <c r="B93" s="3792"/>
      <c r="C93" s="3086" t="s">
        <v>2694</v>
      </c>
      <c r="D93" s="3086" t="s">
        <v>2695</v>
      </c>
      <c r="E93" s="3112">
        <v>0.15</v>
      </c>
      <c r="F93" s="3112">
        <v>20</v>
      </c>
    </row>
    <row r="94" spans="1:6" ht="13.5">
      <c r="A94" s="3112">
        <v>22</v>
      </c>
      <c r="B94" s="3792"/>
      <c r="C94" s="3086" t="s">
        <v>2696</v>
      </c>
      <c r="D94" s="3086" t="s">
        <v>2697</v>
      </c>
      <c r="E94" s="3112">
        <v>0.15</v>
      </c>
      <c r="F94" s="3112">
        <v>20</v>
      </c>
    </row>
    <row r="95" spans="1:6" ht="36">
      <c r="A95" s="3112">
        <v>23</v>
      </c>
      <c r="B95" s="3792"/>
      <c r="C95" s="3086" t="s">
        <v>2698</v>
      </c>
      <c r="D95" s="3086" t="s">
        <v>2699</v>
      </c>
      <c r="E95" s="3112">
        <v>0.15</v>
      </c>
      <c r="F95" s="3112">
        <v>20</v>
      </c>
    </row>
    <row r="96" spans="1:6" ht="13.5">
      <c r="A96" s="3112">
        <v>24</v>
      </c>
      <c r="B96" s="3792"/>
      <c r="C96" s="3086" t="s">
        <v>2700</v>
      </c>
      <c r="D96" s="3086" t="s">
        <v>2701</v>
      </c>
      <c r="E96" s="3112">
        <v>0.1</v>
      </c>
      <c r="F96" s="3112">
        <v>15</v>
      </c>
    </row>
    <row r="97" spans="1:6" ht="13.5">
      <c r="A97" s="3112">
        <v>25</v>
      </c>
      <c r="B97" s="3792"/>
      <c r="C97" s="3086" t="s">
        <v>2702</v>
      </c>
      <c r="D97" s="3086" t="s">
        <v>2703</v>
      </c>
      <c r="E97" s="3112">
        <v>0.1</v>
      </c>
      <c r="F97" s="3112">
        <v>15</v>
      </c>
    </row>
    <row r="98" spans="1:6" ht="24">
      <c r="A98" s="3112">
        <v>26</v>
      </c>
      <c r="B98" s="3792"/>
      <c r="C98" s="3086" t="s">
        <v>2704</v>
      </c>
      <c r="D98" s="3086" t="s">
        <v>2705</v>
      </c>
      <c r="E98" s="3112">
        <v>0.1</v>
      </c>
      <c r="F98" s="3112">
        <v>15</v>
      </c>
    </row>
    <row r="99" spans="1:6" ht="24">
      <c r="A99" s="3112">
        <v>27</v>
      </c>
      <c r="B99" s="3792"/>
      <c r="C99" s="3086" t="s">
        <v>2706</v>
      </c>
      <c r="D99" s="3086" t="s">
        <v>2707</v>
      </c>
      <c r="E99" s="3112">
        <v>0.1</v>
      </c>
      <c r="F99" s="3112">
        <v>15</v>
      </c>
    </row>
    <row r="100" spans="1:6" ht="13.5">
      <c r="A100" s="3112">
        <v>28</v>
      </c>
      <c r="B100" s="3792"/>
      <c r="C100" s="3086" t="s">
        <v>2708</v>
      </c>
      <c r="D100" s="3086" t="s">
        <v>2709</v>
      </c>
      <c r="E100" s="3112">
        <v>0.1</v>
      </c>
      <c r="F100" s="3112">
        <v>15</v>
      </c>
    </row>
    <row r="101" spans="1:6" ht="13.5">
      <c r="A101" s="3112">
        <v>29</v>
      </c>
      <c r="B101" s="3792"/>
      <c r="C101" s="3086" t="s">
        <v>2710</v>
      </c>
      <c r="D101" s="3086" t="s">
        <v>2711</v>
      </c>
      <c r="E101" s="3112">
        <v>0.1</v>
      </c>
      <c r="F101" s="3112">
        <v>15</v>
      </c>
    </row>
    <row r="102" spans="1:6" ht="13.5">
      <c r="A102" s="3112">
        <v>30</v>
      </c>
      <c r="B102" s="3792"/>
      <c r="C102" s="3086" t="s">
        <v>2712</v>
      </c>
      <c r="D102" s="3086" t="s">
        <v>2713</v>
      </c>
      <c r="E102" s="3112">
        <v>0.1</v>
      </c>
      <c r="F102" s="3112">
        <v>15</v>
      </c>
    </row>
    <row r="103" spans="1:6" ht="24">
      <c r="A103" s="3112">
        <v>31</v>
      </c>
      <c r="B103" s="3792"/>
      <c r="C103" s="3086" t="s">
        <v>2714</v>
      </c>
      <c r="D103" s="3086" t="s">
        <v>2715</v>
      </c>
      <c r="E103" s="3112">
        <v>0.1</v>
      </c>
      <c r="F103" s="3112">
        <v>15</v>
      </c>
    </row>
    <row r="104" spans="1:6" ht="24">
      <c r="A104" s="3112">
        <v>32</v>
      </c>
      <c r="B104" s="3792"/>
      <c r="C104" s="3086" t="s">
        <v>2716</v>
      </c>
      <c r="D104" s="3086" t="s">
        <v>2717</v>
      </c>
      <c r="E104" s="3112">
        <v>0.1</v>
      </c>
      <c r="F104" s="3112">
        <v>15</v>
      </c>
    </row>
    <row r="105" spans="1:6" ht="24">
      <c r="A105" s="3112">
        <v>33</v>
      </c>
      <c r="B105" s="3792"/>
      <c r="C105" s="3086" t="s">
        <v>2718</v>
      </c>
      <c r="D105" s="3086" t="s">
        <v>2719</v>
      </c>
      <c r="E105" s="3112">
        <v>0.1</v>
      </c>
      <c r="F105" s="3112">
        <v>15</v>
      </c>
    </row>
    <row r="106" spans="1:6" ht="24">
      <c r="A106" s="3112">
        <v>34</v>
      </c>
      <c r="B106" s="3791"/>
      <c r="C106" s="3086" t="s">
        <v>2720</v>
      </c>
      <c r="D106" s="3086" t="s">
        <v>2721</v>
      </c>
      <c r="E106" s="3112">
        <v>0.1</v>
      </c>
      <c r="F106" s="3112">
        <v>15</v>
      </c>
    </row>
    <row r="107" spans="1:6" ht="24">
      <c r="A107" s="3112">
        <v>35</v>
      </c>
      <c r="B107" s="3790" t="s">
        <v>2722</v>
      </c>
      <c r="C107" s="3112" t="s">
        <v>2723</v>
      </c>
      <c r="D107" s="3086" t="s">
        <v>2724</v>
      </c>
      <c r="E107" s="3112">
        <v>0.15</v>
      </c>
      <c r="F107" s="3112">
        <v>20</v>
      </c>
    </row>
    <row r="108" spans="1:6" ht="13.5">
      <c r="A108" s="3112">
        <v>36</v>
      </c>
      <c r="B108" s="3792"/>
      <c r="C108" s="3112" t="s">
        <v>2725</v>
      </c>
      <c r="D108" s="3086" t="s">
        <v>2726</v>
      </c>
      <c r="E108" s="3112">
        <v>0.15</v>
      </c>
      <c r="F108" s="3112">
        <v>20</v>
      </c>
    </row>
    <row r="109" spans="1:6" ht="13.5">
      <c r="A109" s="3112">
        <v>37</v>
      </c>
      <c r="B109" s="3792"/>
      <c r="C109" s="3112" t="s">
        <v>2727</v>
      </c>
      <c r="D109" s="3086" t="s">
        <v>2728</v>
      </c>
      <c r="E109" s="3112">
        <v>0.15</v>
      </c>
      <c r="F109" s="3112">
        <v>20</v>
      </c>
    </row>
    <row r="110" spans="1:6" ht="13.5">
      <c r="A110" s="3112">
        <v>38</v>
      </c>
      <c r="B110" s="3792"/>
      <c r="C110" s="3112" t="s">
        <v>2729</v>
      </c>
      <c r="D110" s="3086" t="s">
        <v>2730</v>
      </c>
      <c r="E110" s="3112">
        <v>0.1</v>
      </c>
      <c r="F110" s="3112">
        <v>15</v>
      </c>
    </row>
    <row r="111" spans="1:6" ht="24">
      <c r="A111" s="3112">
        <v>39</v>
      </c>
      <c r="B111" s="3792"/>
      <c r="C111" s="3112" t="s">
        <v>2731</v>
      </c>
      <c r="D111" s="3086" t="s">
        <v>2732</v>
      </c>
      <c r="E111" s="3112">
        <v>0.1</v>
      </c>
      <c r="F111" s="3112">
        <v>15</v>
      </c>
    </row>
    <row r="112" spans="1:6" ht="24">
      <c r="A112" s="3112">
        <v>40</v>
      </c>
      <c r="B112" s="3791"/>
      <c r="C112" s="3112" t="s">
        <v>2733</v>
      </c>
      <c r="D112" s="3086" t="s">
        <v>2734</v>
      </c>
      <c r="E112" s="3112">
        <v>0.1</v>
      </c>
      <c r="F112" s="3112">
        <v>15</v>
      </c>
    </row>
    <row r="113" spans="1:6" ht="13.5">
      <c r="A113" s="3112">
        <v>41</v>
      </c>
      <c r="B113" s="3789" t="s">
        <v>2735</v>
      </c>
      <c r="C113" s="3112" t="s">
        <v>2736</v>
      </c>
      <c r="D113" s="3086" t="s">
        <v>2737</v>
      </c>
      <c r="E113" s="3112">
        <v>0.1</v>
      </c>
      <c r="F113" s="3112">
        <v>15</v>
      </c>
    </row>
    <row r="114" spans="1:6" ht="13.5">
      <c r="A114" s="3112">
        <v>42</v>
      </c>
      <c r="B114" s="3789"/>
      <c r="C114" s="3112" t="s">
        <v>2738</v>
      </c>
      <c r="D114" s="3086" t="s">
        <v>2739</v>
      </c>
      <c r="E114" s="3112">
        <v>0.1</v>
      </c>
      <c r="F114" s="3112">
        <v>15</v>
      </c>
    </row>
    <row r="115" spans="1:6" ht="24">
      <c r="A115" s="3112">
        <v>43</v>
      </c>
      <c r="B115" s="3789"/>
      <c r="C115" s="3112" t="s">
        <v>2740</v>
      </c>
      <c r="D115" s="3086" t="s">
        <v>2741</v>
      </c>
      <c r="E115" s="3112">
        <v>0.1</v>
      </c>
      <c r="F115" s="3112">
        <v>15</v>
      </c>
    </row>
    <row r="116" spans="1:6" ht="13.5">
      <c r="A116" s="3112">
        <v>44</v>
      </c>
      <c r="B116" s="3790" t="s">
        <v>2742</v>
      </c>
      <c r="C116" s="3112" t="s">
        <v>2743</v>
      </c>
      <c r="D116" s="3086" t="s">
        <v>2744</v>
      </c>
      <c r="E116" s="3112">
        <v>0.1</v>
      </c>
      <c r="F116" s="3112">
        <v>15</v>
      </c>
    </row>
    <row r="117" spans="1:6" ht="24">
      <c r="A117" s="3112">
        <v>45</v>
      </c>
      <c r="B117" s="3791"/>
      <c r="C117" s="3086" t="s">
        <v>2745</v>
      </c>
      <c r="D117" s="3086" t="s">
        <v>2746</v>
      </c>
      <c r="E117" s="3112">
        <v>0.1</v>
      </c>
      <c r="F117" s="3112">
        <v>15</v>
      </c>
    </row>
    <row r="118" spans="1:6" ht="24">
      <c r="A118" s="3112">
        <v>46</v>
      </c>
      <c r="B118" s="3790" t="s">
        <v>2747</v>
      </c>
      <c r="C118" s="3112" t="s">
        <v>2748</v>
      </c>
      <c r="D118" s="3086" t="s">
        <v>2749</v>
      </c>
      <c r="E118" s="3112">
        <v>0.1</v>
      </c>
      <c r="F118" s="3112">
        <v>15</v>
      </c>
    </row>
    <row r="119" spans="1:6" ht="24">
      <c r="A119" s="3112">
        <v>47</v>
      </c>
      <c r="B119" s="3791"/>
      <c r="C119" s="3112" t="s">
        <v>2750</v>
      </c>
      <c r="D119" s="3086" t="s">
        <v>2751</v>
      </c>
      <c r="E119" s="3112">
        <v>0.1</v>
      </c>
      <c r="F119" s="3112">
        <v>15</v>
      </c>
    </row>
    <row r="120" spans="1:6" ht="13.5">
      <c r="A120" s="3112">
        <v>48</v>
      </c>
      <c r="B120" s="3790" t="s">
        <v>2752</v>
      </c>
      <c r="C120" s="3112" t="s">
        <v>2753</v>
      </c>
      <c r="D120" s="3086" t="s">
        <v>2754</v>
      </c>
      <c r="E120" s="3112">
        <v>0.1</v>
      </c>
      <c r="F120" s="3112">
        <v>15</v>
      </c>
    </row>
    <row r="121" spans="1:6" ht="13.5">
      <c r="A121" s="3112">
        <v>49</v>
      </c>
      <c r="B121" s="3791"/>
      <c r="C121" s="3112" t="s">
        <v>2755</v>
      </c>
      <c r="D121" s="3086" t="s">
        <v>2756</v>
      </c>
      <c r="E121" s="3112">
        <v>0.1</v>
      </c>
      <c r="F121" s="3112">
        <v>15</v>
      </c>
    </row>
    <row r="122" spans="1:6" ht="24">
      <c r="A122" s="3112">
        <v>50</v>
      </c>
      <c r="B122" s="3789" t="s">
        <v>2757</v>
      </c>
      <c r="C122" s="3112" t="s">
        <v>2758</v>
      </c>
      <c r="D122" s="3086" t="s">
        <v>2759</v>
      </c>
      <c r="E122" s="3112">
        <v>0.1</v>
      </c>
      <c r="F122" s="3112">
        <v>15</v>
      </c>
    </row>
    <row r="123" spans="1:6" ht="24">
      <c r="A123" s="3112">
        <v>51</v>
      </c>
      <c r="B123" s="3789"/>
      <c r="C123" s="3112" t="s">
        <v>2760</v>
      </c>
      <c r="D123" s="3086" t="s">
        <v>2761</v>
      </c>
      <c r="E123" s="3112">
        <v>0.1</v>
      </c>
      <c r="F123" s="3112">
        <v>15</v>
      </c>
    </row>
    <row r="124" spans="1:6" ht="24">
      <c r="A124" s="3112">
        <v>52</v>
      </c>
      <c r="B124" s="3789" t="s">
        <v>2762</v>
      </c>
      <c r="C124" s="3112" t="s">
        <v>2763</v>
      </c>
      <c r="D124" s="3086" t="s">
        <v>2764</v>
      </c>
      <c r="E124" s="3112">
        <v>0.1</v>
      </c>
      <c r="F124" s="3112">
        <v>15</v>
      </c>
    </row>
    <row r="125" spans="1:6" ht="24">
      <c r="A125" s="3112">
        <v>53</v>
      </c>
      <c r="B125" s="3789"/>
      <c r="C125" s="3112" t="s">
        <v>2765</v>
      </c>
      <c r="D125" s="3086" t="s">
        <v>2766</v>
      </c>
      <c r="E125" s="3112">
        <v>0.1</v>
      </c>
      <c r="F125" s="3112">
        <v>15</v>
      </c>
    </row>
    <row r="126" spans="1:6" ht="13.5">
      <c r="A126" s="3112">
        <v>54</v>
      </c>
      <c r="B126" s="3112" t="s">
        <v>2767</v>
      </c>
      <c r="C126" s="3112" t="s">
        <v>2768</v>
      </c>
      <c r="D126" s="3086" t="s">
        <v>2769</v>
      </c>
      <c r="E126" s="3112">
        <v>0.1</v>
      </c>
      <c r="F126" s="3112">
        <v>15</v>
      </c>
    </row>
    <row r="127" spans="1:6" ht="13.5">
      <c r="A127" s="3112">
        <v>55</v>
      </c>
      <c r="B127" s="3789" t="s">
        <v>2770</v>
      </c>
      <c r="C127" s="3112" t="s">
        <v>2771</v>
      </c>
      <c r="D127" s="3086" t="s">
        <v>2772</v>
      </c>
      <c r="E127" s="3112">
        <v>0.1</v>
      </c>
      <c r="F127" s="3112">
        <v>15</v>
      </c>
    </row>
    <row r="128" spans="1:6" ht="13.5">
      <c r="A128" s="3112">
        <v>56</v>
      </c>
      <c r="B128" s="3789"/>
      <c r="C128" s="3112" t="s">
        <v>2773</v>
      </c>
      <c r="D128" s="3086" t="s">
        <v>2774</v>
      </c>
      <c r="E128" s="3112">
        <v>0.1</v>
      </c>
      <c r="F128" s="3112">
        <v>15</v>
      </c>
    </row>
    <row r="129" spans="1:6" ht="24">
      <c r="A129" s="3112">
        <v>57</v>
      </c>
      <c r="B129" s="3789"/>
      <c r="C129" s="3112" t="s">
        <v>2775</v>
      </c>
      <c r="D129" s="3086" t="s">
        <v>2776</v>
      </c>
      <c r="E129" s="3112">
        <v>0.1</v>
      </c>
      <c r="F129" s="3112">
        <v>15</v>
      </c>
    </row>
    <row r="130" spans="1:6" ht="24">
      <c r="A130" s="3112">
        <v>58</v>
      </c>
      <c r="B130" s="3789" t="s">
        <v>2777</v>
      </c>
      <c r="C130" s="3112" t="s">
        <v>2778</v>
      </c>
      <c r="D130" s="3086" t="s">
        <v>2779</v>
      </c>
      <c r="E130" s="3112">
        <v>0.1</v>
      </c>
      <c r="F130" s="3112">
        <v>15</v>
      </c>
    </row>
    <row r="131" spans="1:6" ht="13.5">
      <c r="A131" s="3112">
        <v>59</v>
      </c>
      <c r="B131" s="3789"/>
      <c r="C131" s="3112" t="s">
        <v>2780</v>
      </c>
      <c r="D131" s="3086" t="s">
        <v>2781</v>
      </c>
      <c r="E131" s="3112">
        <v>0.1</v>
      </c>
      <c r="F131" s="3112">
        <v>15</v>
      </c>
    </row>
    <row r="132" spans="1:6" ht="13.5">
      <c r="A132" s="3112">
        <v>60</v>
      </c>
      <c r="B132" s="3790" t="s">
        <v>2782</v>
      </c>
      <c r="C132" s="3112" t="s">
        <v>2783</v>
      </c>
      <c r="D132" s="3086" t="s">
        <v>2784</v>
      </c>
      <c r="E132" s="3112">
        <v>0.1</v>
      </c>
      <c r="F132" s="3112">
        <v>15</v>
      </c>
    </row>
    <row r="133" spans="1:6" ht="13.5">
      <c r="A133" s="3112">
        <v>61</v>
      </c>
      <c r="B133" s="3791"/>
      <c r="C133" s="3112" t="s">
        <v>2785</v>
      </c>
      <c r="D133" s="3086" t="s">
        <v>2786</v>
      </c>
      <c r="E133" s="3112">
        <v>0.1</v>
      </c>
      <c r="F133" s="3112">
        <v>15</v>
      </c>
    </row>
    <row r="134" spans="1:6" ht="24">
      <c r="A134" s="3112">
        <v>62</v>
      </c>
      <c r="B134" s="3112" t="s">
        <v>2787</v>
      </c>
      <c r="C134" s="3112" t="s">
        <v>2788</v>
      </c>
      <c r="D134" s="3086" t="s">
        <v>2789</v>
      </c>
      <c r="E134" s="3112">
        <v>0.1</v>
      </c>
      <c r="F134" s="3112">
        <v>15</v>
      </c>
    </row>
    <row r="135" spans="1:6" ht="13.5">
      <c r="A135" s="3112">
        <v>63</v>
      </c>
      <c r="B135" s="3789" t="s">
        <v>2790</v>
      </c>
      <c r="C135" s="3112" t="s">
        <v>2791</v>
      </c>
      <c r="D135" s="3086" t="s">
        <v>2792</v>
      </c>
      <c r="E135" s="3112">
        <v>0.1</v>
      </c>
      <c r="F135" s="3112">
        <v>15</v>
      </c>
    </row>
    <row r="136" spans="1:6" ht="13.5">
      <c r="A136" s="3112">
        <v>64</v>
      </c>
      <c r="B136" s="3789"/>
      <c r="C136" s="3112" t="s">
        <v>2793</v>
      </c>
      <c r="D136" s="3086" t="s">
        <v>2794</v>
      </c>
      <c r="E136" s="3112">
        <v>0.1</v>
      </c>
      <c r="F136" s="3112">
        <v>15</v>
      </c>
    </row>
    <row r="137" spans="1:6" ht="13.5">
      <c r="A137" s="3112">
        <v>65</v>
      </c>
      <c r="B137" s="3112" t="s">
        <v>2795</v>
      </c>
      <c r="C137" s="3112" t="s">
        <v>2796</v>
      </c>
      <c r="D137" s="3086" t="s">
        <v>2797</v>
      </c>
      <c r="E137" s="3112">
        <v>0.1</v>
      </c>
      <c r="F137" s="3112">
        <v>15</v>
      </c>
    </row>
    <row r="138" spans="1:6" ht="13.5">
      <c r="A138" s="3112"/>
      <c r="B138" s="3112"/>
      <c r="C138" s="3112"/>
      <c r="D138" s="3112"/>
      <c r="E138" s="3112" t="s">
        <v>2798</v>
      </c>
      <c r="F138" s="3112"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2799</v>
      </c>
      <c r="B1" s="3121"/>
      <c r="C1" s="3121"/>
      <c r="D1" s="3121"/>
      <c r="E1" s="3121"/>
      <c r="F1" s="3121"/>
      <c r="G1" s="3121"/>
      <c r="H1" s="3121"/>
      <c r="I1" s="3121"/>
      <c r="J1" s="3121"/>
      <c r="K1" s="3121"/>
      <c r="L1" s="3121"/>
      <c r="M1" s="3121"/>
      <c r="N1" s="743"/>
    </row>
    <row r="2" spans="1:20">
      <c r="A2" s="3122" t="s">
        <v>2800</v>
      </c>
      <c r="B2" s="3123" t="s">
        <v>2596</v>
      </c>
      <c r="C2" s="3123" t="s">
        <v>2597</v>
      </c>
      <c r="D2" s="3123" t="s">
        <v>2598</v>
      </c>
      <c r="E2" s="3123" t="s">
        <v>2599</v>
      </c>
      <c r="F2" s="3123" t="s">
        <v>2600</v>
      </c>
      <c r="G2" s="3123" t="s">
        <v>2601</v>
      </c>
      <c r="H2" s="3124" t="s">
        <v>2602</v>
      </c>
      <c r="I2" s="3124" t="s">
        <v>2603</v>
      </c>
      <c r="J2" s="3125" t="s">
        <v>2604</v>
      </c>
      <c r="K2" s="3125" t="s">
        <v>2605</v>
      </c>
      <c r="L2" s="3125" t="s">
        <v>2606</v>
      </c>
      <c r="M2" s="3126" t="s">
        <v>2607</v>
      </c>
      <c r="Q2" s="3136" t="s">
        <v>2805</v>
      </c>
      <c r="R2" s="3136" t="s">
        <v>2806</v>
      </c>
      <c r="S2" s="3136" t="s">
        <v>2807</v>
      </c>
      <c r="T2" s="3136" t="s">
        <v>2808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2801</v>
      </c>
      <c r="B93" s="3121"/>
      <c r="C93" s="3121"/>
      <c r="D93" s="3121"/>
      <c r="E93" s="3121"/>
      <c r="F93" s="3121"/>
      <c r="G93" s="3121"/>
      <c r="H93" s="3121"/>
      <c r="I93" s="3121"/>
      <c r="J93" s="3121"/>
      <c r="K93" s="3121"/>
      <c r="L93" s="3121"/>
      <c r="M93" s="3121"/>
    </row>
    <row r="94" spans="1:20">
      <c r="A94" s="3122" t="s">
        <v>2800</v>
      </c>
      <c r="B94" s="3123" t="s">
        <v>2596</v>
      </c>
      <c r="C94" s="3123" t="s">
        <v>2597</v>
      </c>
      <c r="D94" s="3123" t="s">
        <v>2598</v>
      </c>
      <c r="E94" s="3123" t="s">
        <v>2599</v>
      </c>
      <c r="F94" s="3123" t="s">
        <v>2600</v>
      </c>
      <c r="G94" s="3123" t="s">
        <v>2601</v>
      </c>
      <c r="H94" s="3124" t="s">
        <v>2602</v>
      </c>
      <c r="I94" s="3124" t="s">
        <v>2603</v>
      </c>
      <c r="J94" s="3125" t="s">
        <v>2604</v>
      </c>
      <c r="K94" s="3125" t="s">
        <v>2605</v>
      </c>
      <c r="L94" s="3125" t="s">
        <v>2606</v>
      </c>
      <c r="M94" s="3126" t="s">
        <v>2607</v>
      </c>
      <c r="N94" s="744">
        <f>SUMPRODUCT((A95:A184=ROUNDDOWN(基准地价修正!G3,1))*(B94:M94=基准地价修正!G2)*(B95:M184))</f>
        <v>0</v>
      </c>
      <c r="Q94" s="3136" t="s">
        <v>2805</v>
      </c>
      <c r="R94" s="3136" t="s">
        <v>2806</v>
      </c>
      <c r="S94" s="3136" t="s">
        <v>2807</v>
      </c>
      <c r="T94" s="3136" t="s">
        <v>2808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2802</v>
      </c>
      <c r="B185" s="3121"/>
      <c r="C185" s="3121"/>
      <c r="D185" s="3121"/>
      <c r="E185" s="3121"/>
      <c r="F185" s="3121"/>
      <c r="G185" s="3121"/>
      <c r="H185" s="3121"/>
      <c r="I185" s="3121"/>
      <c r="J185" s="3121"/>
      <c r="K185" s="3121"/>
      <c r="L185" s="3121"/>
      <c r="M185" s="3121"/>
    </row>
    <row r="186" spans="1:20">
      <c r="A186" s="3122" t="s">
        <v>2800</v>
      </c>
      <c r="B186" s="3123" t="s">
        <v>2596</v>
      </c>
      <c r="C186" s="3123" t="s">
        <v>2597</v>
      </c>
      <c r="D186" s="3123" t="s">
        <v>2598</v>
      </c>
      <c r="E186" s="3123" t="s">
        <v>2599</v>
      </c>
      <c r="F186" s="3123" t="s">
        <v>2600</v>
      </c>
      <c r="G186" s="3123" t="s">
        <v>2601</v>
      </c>
      <c r="H186" s="3124" t="s">
        <v>2602</v>
      </c>
      <c r="I186" s="3124" t="s">
        <v>2603</v>
      </c>
      <c r="J186" s="3125" t="s">
        <v>2604</v>
      </c>
      <c r="K186" s="3125" t="s">
        <v>2605</v>
      </c>
      <c r="L186" s="3125" t="s">
        <v>2606</v>
      </c>
      <c r="M186" s="3126" t="s">
        <v>2607</v>
      </c>
      <c r="Q186" s="3136" t="s">
        <v>2805</v>
      </c>
      <c r="R186" s="3136" t="s">
        <v>2806</v>
      </c>
      <c r="S186" s="3136" t="s">
        <v>2807</v>
      </c>
      <c r="T186" s="3136" t="s">
        <v>2808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2803</v>
      </c>
      <c r="B277" s="3121"/>
      <c r="C277" s="3121"/>
      <c r="D277" s="3121"/>
      <c r="E277" s="3121"/>
      <c r="F277" s="3121"/>
      <c r="G277" s="3121"/>
      <c r="H277" s="3121"/>
      <c r="I277" s="3121"/>
      <c r="J277" s="3121"/>
      <c r="K277" s="3121"/>
      <c r="L277" s="3121"/>
      <c r="M277" s="3121"/>
    </row>
    <row r="278" spans="1:21">
      <c r="A278" s="3122" t="s">
        <v>2800</v>
      </c>
      <c r="B278" s="3123" t="s">
        <v>2596</v>
      </c>
      <c r="C278" s="3123" t="s">
        <v>2597</v>
      </c>
      <c r="D278" s="3123" t="s">
        <v>2598</v>
      </c>
      <c r="E278" s="3123" t="s">
        <v>2599</v>
      </c>
      <c r="F278" s="3123" t="s">
        <v>2600</v>
      </c>
      <c r="G278" s="3123" t="s">
        <v>2601</v>
      </c>
      <c r="H278" s="3124" t="s">
        <v>2602</v>
      </c>
      <c r="I278" s="3124" t="s">
        <v>2603</v>
      </c>
      <c r="J278" s="3125" t="s">
        <v>2604</v>
      </c>
      <c r="K278" s="3125" t="s">
        <v>2605</v>
      </c>
      <c r="L278" s="3125" t="s">
        <v>2606</v>
      </c>
      <c r="M278" s="3126" t="s">
        <v>2607</v>
      </c>
      <c r="Q278" s="3136" t="s">
        <v>2805</v>
      </c>
      <c r="R278" s="3136" t="s">
        <v>2806</v>
      </c>
      <c r="S278" s="3136" t="s">
        <v>2809</v>
      </c>
      <c r="T278" s="3136" t="s">
        <v>2810</v>
      </c>
      <c r="U278" s="3136" t="s">
        <v>2808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2804</v>
      </c>
      <c r="B369" s="3134"/>
      <c r="C369" s="3134"/>
      <c r="D369" s="3134"/>
      <c r="E369" s="3134"/>
      <c r="F369" s="3134"/>
      <c r="G369" s="3134"/>
      <c r="H369" s="3134"/>
      <c r="I369" s="3134"/>
      <c r="J369" s="3134"/>
      <c r="K369" s="3134"/>
      <c r="L369" s="3134"/>
      <c r="M369" s="3134"/>
    </row>
    <row r="370" spans="1:20">
      <c r="A370" s="3122" t="s">
        <v>2800</v>
      </c>
      <c r="B370" s="3123" t="s">
        <v>2596</v>
      </c>
      <c r="C370" s="3123" t="s">
        <v>2597</v>
      </c>
      <c r="D370" s="3123" t="s">
        <v>2598</v>
      </c>
      <c r="E370" s="3123" t="s">
        <v>2599</v>
      </c>
      <c r="F370" s="3123" t="s">
        <v>2600</v>
      </c>
      <c r="G370" s="3123" t="s">
        <v>2601</v>
      </c>
      <c r="H370" s="3124" t="s">
        <v>2602</v>
      </c>
      <c r="I370" s="3124" t="s">
        <v>2603</v>
      </c>
      <c r="J370" s="3125" t="s">
        <v>2604</v>
      </c>
      <c r="K370" s="3125" t="s">
        <v>2605</v>
      </c>
      <c r="L370" s="3125" t="s">
        <v>2606</v>
      </c>
      <c r="M370" s="3126" t="s">
        <v>2607</v>
      </c>
      <c r="N370" s="744">
        <f>SUMPRODUCT((A371:A460=ROUNDDOWN(基准地价修正!G3,1))*(B370:M370=基准地价修正!G2)*(B371:M460))</f>
        <v>0</v>
      </c>
      <c r="Q370" s="3136" t="s">
        <v>2805</v>
      </c>
      <c r="R370" s="3136" t="s">
        <v>2806</v>
      </c>
      <c r="S370" s="3136" t="s">
        <v>2807</v>
      </c>
      <c r="T370" s="3136" t="s">
        <v>2808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28135</v>
      </c>
      <c r="C2" s="2" t="s">
        <v>106</v>
      </c>
      <c r="D2" s="199"/>
      <c r="E2" s="199"/>
      <c r="F2" s="199"/>
      <c r="G2" s="199"/>
    </row>
    <row r="3" spans="1:7" s="200" customFormat="1" ht="18" customHeight="1" thickBot="1">
      <c r="A3" s="203" t="s">
        <v>58</v>
      </c>
      <c r="B3" s="204">
        <f ca="1">ROUND(B2*10000/'数据-汇总表'!E3,0)</f>
        <v>409159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14</v>
      </c>
      <c r="D10" s="839">
        <f>'数据-汇总表'!E6</f>
        <v>687.62999999999988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14</v>
      </c>
      <c r="D19" s="843">
        <f>'数据-汇总表'!E3</f>
        <v>687.62999999999988</v>
      </c>
      <c r="E19" s="211">
        <f>'数据-取费表'!B31</f>
        <v>200</v>
      </c>
      <c r="F19" s="231"/>
      <c r="G19" s="1" t="s">
        <v>436</v>
      </c>
    </row>
    <row r="20" spans="1:7" s="214" customFormat="1" ht="13.5" customHeight="1">
      <c r="A20" s="771" t="s">
        <v>419</v>
      </c>
      <c r="B20" s="210" t="s">
        <v>77</v>
      </c>
      <c r="C20" s="232">
        <f>ROUND((C5+C19)*F20,0)</f>
        <v>412</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1419</v>
      </c>
      <c r="D22" s="235">
        <f ca="1">C26</f>
        <v>6.9999999999999999E-4</v>
      </c>
      <c r="E22" s="236" t="s">
        <v>99</v>
      </c>
      <c r="F22" s="237">
        <f ca="1">'数据-取费表'!B40</f>
        <v>3.3500000000000002E-2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1404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v>
      </c>
      <c r="D24" s="238"/>
      <c r="E24" s="238"/>
      <c r="F24" s="239"/>
      <c r="G24" s="240" t="s">
        <v>82</v>
      </c>
    </row>
    <row r="25" spans="1:7" s="214" customFormat="1" ht="24">
      <c r="A25" s="774" t="s">
        <v>348</v>
      </c>
      <c r="B25" s="215" t="s">
        <v>420</v>
      </c>
      <c r="C25" s="1099">
        <f ca="1">ROUND(IF('数据-取费表'!B22&lt;=1,C20*F22*'数据-取费表'!B23/2,C20*(POWER((1+F22),'数据-取费表'!B23/2)-1)),0)</f>
        <v>14</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3155</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3155</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74" t="s">
        <v>351</v>
      </c>
      <c r="B35" s="215" t="s">
        <v>33</v>
      </c>
      <c r="C35" s="220">
        <f>ROUND(C34*F35,0)</f>
        <v>9</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14</v>
      </c>
      <c r="D37" s="217">
        <f>'数据-汇总表'!E3</f>
        <v>687.62999999999988</v>
      </c>
      <c r="E37" s="249">
        <f>'数据-取费表'!B35</f>
        <v>200</v>
      </c>
      <c r="F37" s="259"/>
      <c r="G37" s="261" t="s">
        <v>92</v>
      </c>
    </row>
    <row r="38" spans="1:7" ht="13.5" customHeight="1">
      <c r="A38" s="774" t="s">
        <v>354</v>
      </c>
      <c r="B38" s="215" t="s">
        <v>36</v>
      </c>
      <c r="C38" s="220">
        <f>ROUND(C34*F38,0)</f>
        <v>6</v>
      </c>
      <c r="D38" s="220"/>
      <c r="E38" s="220"/>
      <c r="F38" s="259">
        <f>'数据-取费表'!B36</f>
        <v>0.02</v>
      </c>
      <c r="G38" s="219" t="s">
        <v>90</v>
      </c>
    </row>
    <row r="39" spans="1:7" s="214" customFormat="1" ht="13.5" customHeight="1">
      <c r="A39" s="771" t="s">
        <v>338</v>
      </c>
      <c r="B39" s="210" t="s">
        <v>77</v>
      </c>
      <c r="C39" s="232">
        <f>ROUND(C33*F20,0)</f>
        <v>7</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11</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11</v>
      </c>
      <c r="D42" s="238"/>
      <c r="E42" s="238"/>
      <c r="F42" s="239"/>
      <c r="G42" s="3663" t="s">
        <v>94</v>
      </c>
    </row>
    <row r="43" spans="1:7" ht="13.5" customHeight="1">
      <c r="A43" s="774" t="s">
        <v>347</v>
      </c>
      <c r="B43" s="215" t="s">
        <v>426</v>
      </c>
      <c r="C43" s="238">
        <f ca="1">ROUND(IF('数据-取费表'!B22&lt;=1,C39*F22*'数据-取费表'!B21/2,C39*(POWER((1+F22),'数据-取费表'!B21/2)-1)),0)</f>
        <v>0</v>
      </c>
      <c r="D43" s="238"/>
      <c r="E43" s="238"/>
      <c r="F43" s="239"/>
      <c r="G43" s="3664"/>
    </row>
    <row r="44" spans="1:7" ht="13.5" customHeight="1">
      <c r="A44" s="774" t="s">
        <v>348</v>
      </c>
      <c r="B44" s="215" t="s">
        <v>428</v>
      </c>
      <c r="C44" s="238">
        <f ca="1">ROUND(IF('数据-取费表'!B22&lt;=1,C40*F22*'数据-取费表'!B21/2,C40*(POWER((1+F22),'数据-取费表'!B21/2)-1)),4)</f>
        <v>6.9999999999999999E-4</v>
      </c>
      <c r="D44" s="238"/>
      <c r="E44" s="238"/>
      <c r="F44" s="239"/>
      <c r="G44" s="3665"/>
    </row>
    <row r="45" spans="1:7" s="214" customFormat="1" ht="13.5" customHeight="1">
      <c r="A45" s="771" t="s">
        <v>341</v>
      </c>
      <c r="B45" s="244" t="s">
        <v>85</v>
      </c>
      <c r="C45" s="245">
        <f>C46</f>
        <v>52</v>
      </c>
      <c r="D45" s="235">
        <f>C47</f>
        <v>3.0000000000000001E-3</v>
      </c>
      <c r="E45" s="236" t="s">
        <v>102</v>
      </c>
      <c r="F45" s="246"/>
      <c r="G45" s="247" t="s">
        <v>434</v>
      </c>
    </row>
    <row r="46" spans="1:7" s="214" customFormat="1" ht="13.5" customHeight="1">
      <c r="A46" s="774" t="s">
        <v>349</v>
      </c>
      <c r="B46" s="248" t="s">
        <v>427</v>
      </c>
      <c r="C46" s="249">
        <f>ROUND((C33+C39)*F27,0)</f>
        <v>52</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441</v>
      </c>
      <c r="D49" s="232"/>
      <c r="E49" s="232"/>
      <c r="F49" s="264"/>
      <c r="G49" s="234" t="s">
        <v>435</v>
      </c>
    </row>
    <row r="50" spans="1:7" s="258" customFormat="1" ht="24">
      <c r="A50" s="771" t="s">
        <v>344</v>
      </c>
      <c r="B50" s="210" t="s">
        <v>97</v>
      </c>
      <c r="C50" s="232"/>
      <c r="D50" s="232"/>
      <c r="E50" s="232"/>
      <c r="F50" s="264">
        <f>IF('数据-取费表'!B24=0,'数据-取费表'!N16,1)</f>
        <v>0.88</v>
      </c>
      <c r="G50" s="247" t="s">
        <v>98</v>
      </c>
    </row>
    <row r="51" spans="1:7" ht="16.5" customHeight="1">
      <c r="A51" s="771" t="s">
        <v>345</v>
      </c>
      <c r="B51" s="210" t="s">
        <v>105</v>
      </c>
      <c r="C51" s="232">
        <f ca="1">ROUND(C49*F50,0)</f>
        <v>388</v>
      </c>
      <c r="D51" s="232"/>
      <c r="E51" s="232"/>
      <c r="F51" s="264"/>
      <c r="G51" s="234" t="s">
        <v>37</v>
      </c>
    </row>
    <row r="52" spans="1:7" s="208" customFormat="1" ht="16.5" thickBot="1">
      <c r="A52" s="265" t="s">
        <v>38</v>
      </c>
      <c r="B52" s="266"/>
      <c r="C52" s="267">
        <f ca="1">C31+C51</f>
        <v>28135</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'结果表-1803'!D116</f>
        <v>出让国有建设用地使用权价值</v>
      </c>
      <c r="E2" s="3499"/>
      <c r="F2" s="3499" t="str">
        <f>'结果表-1803'!F116</f>
        <v>在建建筑物价值</v>
      </c>
      <c r="G2" s="3499"/>
      <c r="H2" s="3499" t="str">
        <f>IF(项目基本情况!B9="房地产市场价值","房地产市场价值","房地产价值")</f>
        <v>房地产价值</v>
      </c>
      <c r="I2" s="3499"/>
    </row>
    <row r="3" spans="1:9" ht="15">
      <c r="A3" s="3494"/>
      <c r="B3" s="3494"/>
      <c r="C3" s="3494"/>
      <c r="D3" s="848" t="s">
        <v>925</v>
      </c>
      <c r="E3" s="848" t="s">
        <v>931</v>
      </c>
      <c r="F3" s="848" t="s">
        <v>925</v>
      </c>
      <c r="G3" s="848" t="s">
        <v>926</v>
      </c>
      <c r="H3" s="848" t="s">
        <v>925</v>
      </c>
      <c r="I3" s="848" t="s">
        <v>926</v>
      </c>
    </row>
    <row r="4" spans="1:9" ht="15">
      <c r="A4" s="1499" t="str">
        <f>项目基本情况!S2</f>
        <v>房地产</v>
      </c>
      <c r="B4" s="848">
        <f>项目基本情况!C17</f>
        <v>687.62999999999988</v>
      </c>
      <c r="C4" s="848">
        <f>项目基本情况!C18</f>
        <v>0</v>
      </c>
      <c r="D4" s="848" t="e">
        <f ca="1">'结果表-1803'!D118</f>
        <v>#REF!</v>
      </c>
      <c r="E4" s="848" t="e">
        <f ca="1">'结果表-1803'!E118</f>
        <v>#REF!</v>
      </c>
      <c r="F4" s="848" t="e">
        <f ca="1">'结果表-1803'!F118</f>
        <v>#REF!</v>
      </c>
      <c r="G4" s="848" t="e">
        <f ca="1">'结果表-1803'!G118</f>
        <v>#REF!</v>
      </c>
      <c r="H4" s="848">
        <f ca="1">'结果表-1803'!H118</f>
        <v>395</v>
      </c>
      <c r="I4" s="848">
        <f ca="1">'结果表-1803'!I118</f>
        <v>26774</v>
      </c>
    </row>
    <row r="5" spans="1:9" ht="30" customHeight="1">
      <c r="A5" s="3494" t="s">
        <v>927</v>
      </c>
      <c r="B5" s="3494"/>
      <c r="C5" s="3494"/>
      <c r="D5" s="3494" t="e">
        <f ca="1">'结果表-1803'!D119</f>
        <v>#REF!</v>
      </c>
      <c r="E5" s="3494"/>
      <c r="F5" s="3494" t="e">
        <f ca="1">'结果表-1803'!F119</f>
        <v>#REF!</v>
      </c>
      <c r="G5" s="3494"/>
      <c r="H5" s="3494" t="str">
        <f ca="1">'结果表-1803'!H119</f>
        <v>叁佰玖拾伍万元整</v>
      </c>
      <c r="I5" s="3494"/>
    </row>
    <row r="6" spans="1:9" ht="15.75">
      <c r="A6" s="3493" t="str">
        <f>'结果表-1803'!A120</f>
        <v>估价师知悉的法定优先受偿款</v>
      </c>
      <c r="B6" s="3493"/>
      <c r="C6" s="3493"/>
      <c r="D6" s="3493">
        <f>'结果表-1803'!D120</f>
        <v>0</v>
      </c>
      <c r="E6" s="3493"/>
      <c r="F6" s="3493"/>
      <c r="G6" s="3493"/>
      <c r="H6" s="3493"/>
      <c r="I6" s="3493"/>
    </row>
    <row r="7" spans="1:9" ht="15">
      <c r="A7" s="3494" t="s">
        <v>927</v>
      </c>
      <c r="B7" s="3494"/>
      <c r="C7" s="3494"/>
      <c r="D7" s="3495" t="str">
        <f>'结果表-1803'!D121</f>
        <v>零元整</v>
      </c>
      <c r="E7" s="3496"/>
      <c r="F7" s="3496"/>
      <c r="G7" s="3496"/>
      <c r="H7" s="3496"/>
      <c r="I7" s="3497"/>
    </row>
    <row r="8" spans="1:9" ht="15.75">
      <c r="A8" s="3493" t="str">
        <f>'结果表-1803'!A122</f>
        <v>房地产抵押价值</v>
      </c>
      <c r="B8" s="3493"/>
      <c r="C8" s="3493"/>
      <c r="D8" s="3493">
        <f ca="1">'结果表-1803'!D122</f>
        <v>395</v>
      </c>
      <c r="E8" s="3493"/>
      <c r="F8" s="3493"/>
      <c r="G8" s="3493"/>
      <c r="H8" s="3493"/>
      <c r="I8" s="3493"/>
    </row>
    <row r="9" spans="1:9" ht="15">
      <c r="A9" s="3494" t="s">
        <v>927</v>
      </c>
      <c r="B9" s="3494"/>
      <c r="C9" s="3494"/>
      <c r="D9" s="3494" t="str">
        <f ca="1">'结果表-1803'!D123</f>
        <v>叁佰玖拾伍万元整</v>
      </c>
      <c r="E9" s="3494"/>
      <c r="F9" s="3494"/>
      <c r="G9" s="3494"/>
      <c r="H9" s="3494"/>
      <c r="I9" s="3494"/>
    </row>
    <row r="10" spans="1:9" ht="15.75">
      <c r="A10" s="3493" t="str">
        <f>'结果表-1803'!A124</f>
        <v/>
      </c>
      <c r="B10" s="3493"/>
      <c r="C10" s="3493"/>
      <c r="D10" s="3493" t="str">
        <f>'结果表-1803'!D124</f>
        <v>——</v>
      </c>
      <c r="E10" s="3493"/>
      <c r="F10" s="3493"/>
      <c r="G10" s="3493"/>
      <c r="H10" s="3493"/>
      <c r="I10" s="3493"/>
    </row>
    <row r="11" spans="1:9" ht="15">
      <c r="A11" s="3494" t="s">
        <v>927</v>
      </c>
      <c r="B11" s="3494"/>
      <c r="C11" s="3494"/>
      <c r="D11" s="3494" t="e">
        <f>'结果表-1803'!D125</f>
        <v>#VALUE!</v>
      </c>
      <c r="E11" s="3494"/>
      <c r="F11" s="3494"/>
      <c r="G11" s="3494"/>
      <c r="H11" s="3494"/>
      <c r="I11" s="3494"/>
    </row>
    <row r="12" spans="1:9" ht="15.75">
      <c r="A12" s="3493" t="str">
        <f>'结果表-1803'!A126</f>
        <v>抵押净值</v>
      </c>
      <c r="B12" s="3493"/>
      <c r="C12" s="3493"/>
      <c r="D12" s="3493">
        <f ca="1">'结果表-1803'!D126</f>
        <v>395</v>
      </c>
      <c r="E12" s="3493"/>
      <c r="F12" s="3493"/>
      <c r="G12" s="3493"/>
      <c r="H12" s="3493"/>
      <c r="I12" s="3493"/>
    </row>
    <row r="13" spans="1:9" ht="15.75" thickBot="1">
      <c r="A13" s="3491" t="s">
        <v>927</v>
      </c>
      <c r="B13" s="3491"/>
      <c r="C13" s="3491"/>
      <c r="D13" s="3491" t="str">
        <f ca="1">'结果表-1803'!D127</f>
        <v>叁佰玖拾伍万元整</v>
      </c>
      <c r="E13" s="3491"/>
      <c r="F13" s="3491"/>
      <c r="G13" s="3491"/>
      <c r="H13" s="3491"/>
      <c r="I13" s="3491"/>
    </row>
    <row r="14" spans="1:9" ht="15" thickTop="1">
      <c r="A14" s="3492" t="s">
        <v>932</v>
      </c>
      <c r="B14" s="3492"/>
      <c r="C14" s="3492"/>
      <c r="D14" s="3492"/>
      <c r="E14" s="3492"/>
      <c r="F14" s="3492"/>
      <c r="G14" s="3492"/>
      <c r="H14" s="3492"/>
      <c r="I14" s="349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3" t="s">
        <v>2840</v>
      </c>
      <c r="B1" s="3803"/>
      <c r="C1" s="3803"/>
      <c r="D1" s="3803"/>
      <c r="E1" s="3803"/>
      <c r="F1" s="3803"/>
      <c r="G1" s="3804"/>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1" t="s">
        <v>2867</v>
      </c>
      <c r="B3" s="3224"/>
      <c r="C3" s="3225" t="s">
        <v>2812</v>
      </c>
      <c r="D3" s="3225" t="s">
        <v>2868</v>
      </c>
      <c r="E3" s="3225" t="s">
        <v>2814</v>
      </c>
      <c r="F3" s="3225" t="s">
        <v>2869</v>
      </c>
      <c r="G3" s="3225" t="s">
        <v>2632</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02"/>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5" t="s">
        <v>3182</v>
      </c>
      <c r="B1" s="3805"/>
    </row>
    <row r="2" spans="1:7" ht="14.25" thickBot="1">
      <c r="A2" s="3249"/>
      <c r="B2" s="3249"/>
    </row>
    <row r="3" spans="1:7" ht="14.25" thickBot="1">
      <c r="A3" s="3249"/>
      <c r="B3" s="3249"/>
      <c r="C3" s="3250" t="s">
        <v>2812</v>
      </c>
      <c r="D3" s="3250" t="s">
        <v>2868</v>
      </c>
      <c r="E3" s="3250" t="s">
        <v>2814</v>
      </c>
      <c r="F3" s="3250" t="s">
        <v>2869</v>
      </c>
      <c r="G3" s="3250" t="s">
        <v>2632</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6" t="s">
        <v>3233</v>
      </c>
      <c r="B1" s="3806"/>
      <c r="C1" s="3806"/>
      <c r="D1" s="3806"/>
      <c r="E1" s="3806"/>
      <c r="F1" s="3807"/>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5">
        <f>基准地价修正!G23</f>
        <v>45506</v>
      </c>
      <c r="B1" s="3204" t="s">
        <v>3372</v>
      </c>
      <c r="C1" s="3205"/>
      <c r="D1" s="3205"/>
      <c r="E1" s="3205"/>
      <c r="F1" s="3205"/>
      <c r="G1" s="3205"/>
      <c r="H1" s="3205"/>
      <c r="I1" s="3205"/>
      <c r="J1" s="3159"/>
      <c r="K1" s="3205" t="s">
        <v>454</v>
      </c>
      <c r="L1" s="3205"/>
      <c r="M1" s="3205"/>
      <c r="N1" s="3205"/>
      <c r="O1" s="3205"/>
      <c r="P1" s="3205"/>
      <c r="Q1" s="3159"/>
      <c r="R1" s="3808" t="s">
        <v>456</v>
      </c>
      <c r="S1" s="3809"/>
      <c r="T1" s="3809"/>
      <c r="U1" s="3809"/>
      <c r="V1" s="3809"/>
      <c r="W1" s="3809"/>
      <c r="X1" s="3159"/>
      <c r="Y1" s="3808" t="s">
        <v>457</v>
      </c>
      <c r="Z1" s="3809"/>
      <c r="AA1" s="3809"/>
      <c r="AB1" s="3809"/>
      <c r="AC1" s="3809"/>
      <c r="AD1" s="3809"/>
    </row>
    <row r="2" spans="1:30" s="3137" customFormat="1" ht="14.25" thickBot="1">
      <c r="B2" s="3138"/>
      <c r="C2" s="3139"/>
      <c r="D2" s="3140" t="s">
        <v>2811</v>
      </c>
      <c r="E2" s="3141" t="s">
        <v>2812</v>
      </c>
      <c r="F2" s="3141" t="s">
        <v>2813</v>
      </c>
      <c r="G2" s="3141" t="s">
        <v>2814</v>
      </c>
      <c r="H2" s="3141" t="s">
        <v>2815</v>
      </c>
      <c r="I2" s="3141" t="s">
        <v>2632</v>
      </c>
      <c r="J2" s="3142"/>
      <c r="K2" s="3140" t="s">
        <v>2811</v>
      </c>
      <c r="L2" s="3141" t="s">
        <v>2812</v>
      </c>
      <c r="M2" s="3141" t="s">
        <v>2813</v>
      </c>
      <c r="N2" s="3141" t="s">
        <v>2814</v>
      </c>
      <c r="O2" s="3141" t="s">
        <v>2816</v>
      </c>
      <c r="P2" s="3141" t="s">
        <v>2632</v>
      </c>
      <c r="Q2" s="3142"/>
      <c r="R2" s="3140" t="s">
        <v>2811</v>
      </c>
      <c r="S2" s="3141" t="s">
        <v>2812</v>
      </c>
      <c r="T2" s="3141" t="s">
        <v>2813</v>
      </c>
      <c r="U2" s="3141" t="s">
        <v>2817</v>
      </c>
      <c r="V2" s="3141" t="s">
        <v>2818</v>
      </c>
      <c r="W2" s="3141" t="s">
        <v>2632</v>
      </c>
      <c r="X2" s="3142"/>
      <c r="Y2" s="3140" t="s">
        <v>2811</v>
      </c>
      <c r="Z2" s="3141" t="s">
        <v>2812</v>
      </c>
      <c r="AA2" s="3141" t="s">
        <v>2813</v>
      </c>
      <c r="AB2" s="3141" t="s">
        <v>2819</v>
      </c>
      <c r="AC2" s="3141" t="s">
        <v>2818</v>
      </c>
      <c r="AD2" s="3141" t="s">
        <v>2632</v>
      </c>
    </row>
    <row r="3" spans="1:30" s="3155" customFormat="1" ht="12.75">
      <c r="A3" s="3143" t="s">
        <v>2820</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3378</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3379</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3381</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3376</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3371</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3370</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3369</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3365</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3356</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2821</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2822</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2823</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2824</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2825</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3367</v>
      </c>
    </row>
    <row r="22" spans="1:30" s="3003" customFormat="1">
      <c r="I22" s="3202" t="s">
        <v>2826</v>
      </c>
    </row>
    <row r="23" spans="1:30" s="3003" customFormat="1"/>
    <row r="24" spans="1:30" s="3203" customFormat="1" ht="12.75">
      <c r="B24" s="3204" t="s">
        <v>3373</v>
      </c>
      <c r="C24" s="3205"/>
      <c r="D24" s="3205"/>
      <c r="E24" s="3205"/>
      <c r="F24" s="3205"/>
      <c r="G24" s="3205"/>
      <c r="H24" s="3205"/>
      <c r="I24" s="3205"/>
      <c r="J24" s="3159"/>
      <c r="K24" s="3205" t="s">
        <v>2827</v>
      </c>
      <c r="L24" s="3205"/>
      <c r="M24" s="3205"/>
      <c r="N24" s="3205"/>
      <c r="O24" s="3205"/>
      <c r="P24" s="3205"/>
      <c r="Q24" s="3159"/>
      <c r="R24" s="3808" t="s">
        <v>2828</v>
      </c>
      <c r="S24" s="3809"/>
      <c r="T24" s="3809"/>
      <c r="U24" s="3809"/>
      <c r="V24" s="3809"/>
      <c r="W24" s="3809"/>
      <c r="X24" s="3159"/>
      <c r="Y24" s="3808" t="s">
        <v>2829</v>
      </c>
      <c r="Z24" s="3809"/>
      <c r="AA24" s="3809"/>
      <c r="AB24" s="3809"/>
      <c r="AC24" s="3809"/>
      <c r="AD24" s="3809"/>
    </row>
    <row r="25" spans="1:30" s="3137" customFormat="1" ht="14.25" thickBot="1">
      <c r="B25" s="3138"/>
      <c r="C25" s="3139"/>
      <c r="D25" s="3140" t="s">
        <v>2830</v>
      </c>
      <c r="E25" s="3141" t="s">
        <v>2831</v>
      </c>
      <c r="F25" s="3141" t="s">
        <v>2832</v>
      </c>
      <c r="G25" s="3141" t="s">
        <v>2833</v>
      </c>
      <c r="H25" s="3141"/>
      <c r="I25" s="3141" t="s">
        <v>2834</v>
      </c>
      <c r="J25" s="3142"/>
      <c r="K25" s="3140" t="s">
        <v>2830</v>
      </c>
      <c r="L25" s="3141" t="s">
        <v>2831</v>
      </c>
      <c r="M25" s="3141" t="s">
        <v>2832</v>
      </c>
      <c r="N25" s="3141" t="s">
        <v>2833</v>
      </c>
      <c r="O25" s="3141"/>
      <c r="P25" s="3141" t="s">
        <v>2834</v>
      </c>
      <c r="Q25" s="3142"/>
      <c r="R25" s="3140" t="s">
        <v>2830</v>
      </c>
      <c r="S25" s="3141" t="s">
        <v>2831</v>
      </c>
      <c r="T25" s="3141" t="s">
        <v>2832</v>
      </c>
      <c r="U25" s="3141" t="s">
        <v>2833</v>
      </c>
      <c r="V25" s="3141"/>
      <c r="W25" s="3141" t="s">
        <v>2834</v>
      </c>
      <c r="X25" s="3142"/>
      <c r="Y25" s="3140" t="s">
        <v>2830</v>
      </c>
      <c r="Z25" s="3141" t="s">
        <v>2831</v>
      </c>
      <c r="AA25" s="3141" t="s">
        <v>2832</v>
      </c>
      <c r="AB25" s="3141" t="s">
        <v>2833</v>
      </c>
      <c r="AC25" s="3141"/>
      <c r="AD25" s="3141" t="s">
        <v>2834</v>
      </c>
    </row>
    <row r="26" spans="1:30" s="3155" customFormat="1" ht="12.75">
      <c r="A26" s="3143" t="s">
        <v>2835</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199" t="s">
        <v>3378</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3379</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3380</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3377</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3374</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3370</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3369</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3366</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3356</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2836</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2837</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2838</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2839</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2825</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3364</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3361</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3362</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3363</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2437</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2310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1">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1"/>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1"/>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0"/>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16">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1"/>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1"/>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0"/>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6">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1"/>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1"/>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2"/>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0">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1"/>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1"/>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2"/>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0">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1"/>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1"/>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2"/>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7">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8"/>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8"/>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9"/>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0">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1"/>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1"/>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2"/>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0">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1">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1">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2">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0">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1">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1">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2">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0">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1">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1">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2">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0">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1">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1">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2">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0">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1">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1">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2">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0">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1">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1">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2">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0">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1">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1">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2">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0">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1">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1">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2">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0">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1">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1">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2">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0">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1">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1">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2">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45506</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0" t="s">
        <v>2312</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6" t="s">
        <v>949</v>
      </c>
      <c r="B1" s="3506"/>
      <c r="C1" s="3506"/>
      <c r="D1" s="3506"/>
    </row>
    <row r="2" spans="1:4" ht="18">
      <c r="A2" s="3507" t="s">
        <v>933</v>
      </c>
      <c r="B2" s="3507"/>
      <c r="C2" s="3507"/>
      <c r="D2" s="3507"/>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07" t="s">
        <v>939</v>
      </c>
      <c r="B6" s="3507"/>
      <c r="C6" s="3507"/>
      <c r="D6" s="3507"/>
    </row>
    <row r="7" spans="1:4" ht="18.75">
      <c r="A7" s="1503" t="s">
        <v>934</v>
      </c>
      <c r="B7" s="1505" t="s">
        <v>940</v>
      </c>
      <c r="C7" s="1503" t="s">
        <v>936</v>
      </c>
      <c r="D7" s="1503" t="s">
        <v>937</v>
      </c>
    </row>
    <row r="8" spans="1:4" ht="56.25" customHeight="1">
      <c r="A8" s="1509" t="s">
        <v>390</v>
      </c>
      <c r="B8" s="1509" t="s">
        <v>0</v>
      </c>
      <c r="C8" s="1506"/>
      <c r="D8" s="1507" t="s">
        <v>938</v>
      </c>
    </row>
    <row r="9" spans="1:4">
      <c r="A9" s="673"/>
      <c r="B9" s="673"/>
      <c r="C9" s="673"/>
      <c r="D9" s="673"/>
    </row>
    <row r="10" spans="1:4" ht="18.75">
      <c r="A10" s="1510" t="s">
        <v>941</v>
      </c>
      <c r="B10" s="673"/>
      <c r="C10" s="673"/>
      <c r="D10" s="673"/>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IF(项目基本情况!B8="抵押",'结果表-1803'!K120,"——")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-1803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-1803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4" t="s">
        <v>956</v>
      </c>
      <c r="B15" s="3509" t="s">
        <v>109</v>
      </c>
      <c r="C15" s="3510"/>
    </row>
    <row r="16" spans="1:7" ht="13.5">
      <c r="A16" s="3515"/>
      <c r="B16" s="3509" t="s">
        <v>42</v>
      </c>
      <c r="C16" s="3510"/>
    </row>
    <row r="17" spans="1:3" ht="13.5">
      <c r="A17" s="3515"/>
      <c r="B17" s="3512" t="s">
        <v>957</v>
      </c>
      <c r="C17" s="1526" t="s">
        <v>956</v>
      </c>
    </row>
    <row r="18" spans="1:3" ht="13.5">
      <c r="A18" s="3515"/>
      <c r="B18" s="3512"/>
      <c r="C18" s="1526" t="s">
        <v>958</v>
      </c>
    </row>
    <row r="19" spans="1:3" ht="13.5">
      <c r="A19" s="3515"/>
      <c r="B19" s="3512"/>
      <c r="C19" s="1526" t="s">
        <v>959</v>
      </c>
    </row>
    <row r="20" spans="1:3" ht="13.5">
      <c r="A20" s="3516"/>
      <c r="B20" s="3511" t="s">
        <v>960</v>
      </c>
      <c r="C20" s="3510"/>
    </row>
    <row r="21" spans="1:3" ht="13.5">
      <c r="A21" s="1527" t="s">
        <v>961</v>
      </c>
      <c r="B21" s="1528"/>
      <c r="C21" s="1529"/>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26" t="s">
        <v>967</v>
      </c>
    </row>
    <row r="26" spans="1:3" ht="13.5">
      <c r="A26" s="3513"/>
      <c r="B26" s="3512"/>
      <c r="C26" s="1526" t="s">
        <v>968</v>
      </c>
    </row>
    <row r="27" spans="1:3" ht="13.5">
      <c r="A27" s="3513"/>
      <c r="B27" s="3512"/>
      <c r="C27" s="1526" t="s">
        <v>969</v>
      </c>
    </row>
    <row r="28" spans="1:3" ht="13.5">
      <c r="A28" s="3513"/>
      <c r="B28" s="3512"/>
      <c r="C28" s="1526" t="s">
        <v>970</v>
      </c>
    </row>
    <row r="29" spans="1:3" ht="13.5">
      <c r="A29" s="3513"/>
      <c r="B29" s="3512"/>
      <c r="C29" s="1526" t="s">
        <v>971</v>
      </c>
    </row>
    <row r="30" spans="1:3" ht="13.5">
      <c r="A30" s="3513"/>
      <c r="B30" s="3512"/>
      <c r="C30" s="1526" t="s">
        <v>972</v>
      </c>
    </row>
    <row r="31" spans="1:3" ht="13.5">
      <c r="A31" s="3513"/>
      <c r="B31" s="3512"/>
      <c r="C31" s="1526" t="s">
        <v>973</v>
      </c>
    </row>
    <row r="32" spans="1:3" ht="13.5">
      <c r="A32" s="3513"/>
      <c r="B32" s="3512"/>
      <c r="C32" s="1526" t="s">
        <v>974</v>
      </c>
    </row>
    <row r="33" spans="1:3" ht="13.5">
      <c r="A33" s="3513"/>
      <c r="B33" s="3512"/>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45511</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t="str">
        <f ca="1">IF(C6&lt;B2,"已过期",1120050019)</f>
        <v>已过期</v>
      </c>
      <c r="C6" s="2339">
        <v>45410</v>
      </c>
      <c r="D6" s="2340" t="str">
        <f t="shared" ca="1" si="0"/>
        <v>王鹏（注册号：已过期）</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t="str">
        <f ca="1">IF(C13&lt;B2,"已过期",1120020033)</f>
        <v>已过期</v>
      </c>
      <c r="C13" s="2339">
        <v>45375</v>
      </c>
      <c r="D13" s="2340" t="str">
        <f t="shared" ca="1" si="0"/>
        <v>刘敬东（注册号：已过期）</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2438</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17" t="s">
        <v>2159</v>
      </c>
      <c r="B17" s="3517"/>
      <c r="C17" s="3517"/>
      <c r="D17" s="3517"/>
      <c r="E17" s="3517"/>
      <c r="F17" s="3517"/>
      <c r="G17" s="3517"/>
      <c r="H17" s="3517"/>
    </row>
    <row r="18" spans="1:8" ht="24" customHeight="1">
      <c r="A18" s="3518" t="s">
        <v>2160</v>
      </c>
      <c r="B18" s="3518"/>
      <c r="C18" s="3518"/>
      <c r="D18" s="2337"/>
      <c r="E18" s="3519" t="s">
        <v>2161</v>
      </c>
      <c r="F18" s="3518"/>
      <c r="G18" s="3518"/>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2439</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336" priority="53">
      <formula>AND($C4-TODAY()&lt;30,TODAY()&lt;$C4)</formula>
    </cfRule>
  </conditionalFormatting>
  <conditionalFormatting sqref="C20:D20">
    <cfRule type="expression" dxfId="335" priority="52">
      <formula>AND($C20-TODAY()&lt;30,TODAY()&lt;$C20)</formula>
    </cfRule>
  </conditionalFormatting>
  <conditionalFormatting sqref="C20:D20 G4 C4:D5 C13:D13">
    <cfRule type="cellIs" dxfId="334" priority="54" stopIfTrue="1" operator="lessThan">
      <formula>$B$2</formula>
    </cfRule>
  </conditionalFormatting>
  <conditionalFormatting sqref="G5 G7 G9">
    <cfRule type="cellIs" dxfId="333" priority="51" stopIfTrue="1" operator="lessThan">
      <formula>$B$2</formula>
    </cfRule>
  </conditionalFormatting>
  <conditionalFormatting sqref="C6:D6 D14 D16">
    <cfRule type="expression" dxfId="332" priority="49">
      <formula>AND($C6-TODAY()&lt;30,TODAY()&lt;$C6)</formula>
    </cfRule>
  </conditionalFormatting>
  <conditionalFormatting sqref="G6 G8 G10 C6:D6 D7:D12 D14 D16">
    <cfRule type="cellIs" dxfId="331" priority="50" stopIfTrue="1" operator="lessThan">
      <formula>$B$2</formula>
    </cfRule>
  </conditionalFormatting>
  <conditionalFormatting sqref="D12">
    <cfRule type="expression" dxfId="330" priority="47">
      <formula>AND($C12-TODAY()&lt;30,TODAY()&lt;$C12)</formula>
    </cfRule>
  </conditionalFormatting>
  <conditionalFormatting sqref="D12">
    <cfRule type="cellIs" dxfId="329" priority="48" stopIfTrue="1" operator="lessThan">
      <formula>$B$2</formula>
    </cfRule>
  </conditionalFormatting>
  <conditionalFormatting sqref="C13:D13">
    <cfRule type="expression" dxfId="328" priority="45">
      <formula>AND($C13-TODAY()&lt;30,TODAY()&lt;$C13)</formula>
    </cfRule>
  </conditionalFormatting>
  <conditionalFormatting sqref="C13:D13">
    <cfRule type="cellIs" dxfId="327" priority="46" stopIfTrue="1" operator="lessThan">
      <formula>$B$2</formula>
    </cfRule>
  </conditionalFormatting>
  <conditionalFormatting sqref="D14">
    <cfRule type="expression" dxfId="326" priority="43">
      <formula>AND($C14-TODAY()&lt;30,TODAY()&lt;$C14)</formula>
    </cfRule>
  </conditionalFormatting>
  <conditionalFormatting sqref="D14">
    <cfRule type="cellIs" dxfId="325" priority="44" stopIfTrue="1" operator="lessThan">
      <formula>$B$2</formula>
    </cfRule>
  </conditionalFormatting>
  <conditionalFormatting sqref="G13">
    <cfRule type="cellIs" dxfId="324" priority="42" stopIfTrue="1" operator="lessThan">
      <formula>$B$2</formula>
    </cfRule>
  </conditionalFormatting>
  <conditionalFormatting sqref="B4:B11 F4:F11 B13 F13:F14">
    <cfRule type="cellIs" dxfId="323" priority="41" stopIfTrue="1" operator="equal">
      <formula>"已过期"</formula>
    </cfRule>
  </conditionalFormatting>
  <conditionalFormatting sqref="C7">
    <cfRule type="cellIs" dxfId="322" priority="38" stopIfTrue="1" operator="lessThan">
      <formula>$B$2</formula>
    </cfRule>
  </conditionalFormatting>
  <conditionalFormatting sqref="C7">
    <cfRule type="expression" dxfId="321" priority="37">
      <formula>AND($C7-TODAY()&lt;30,TODAY()&lt;$C7)</formula>
    </cfRule>
  </conditionalFormatting>
  <conditionalFormatting sqref="C8">
    <cfRule type="expression" dxfId="320" priority="35">
      <formula>AND($C8-TODAY()&lt;30,TODAY()&lt;$C8)</formula>
    </cfRule>
  </conditionalFormatting>
  <conditionalFormatting sqref="C8">
    <cfRule type="cellIs" dxfId="319" priority="36" stopIfTrue="1" operator="lessThan">
      <formula>$B$2</formula>
    </cfRule>
  </conditionalFormatting>
  <conditionalFormatting sqref="C11">
    <cfRule type="expression" dxfId="318" priority="33">
      <formula>AND($C11-TODAY()&lt;30,TODAY()&lt;$C11)</formula>
    </cfRule>
  </conditionalFormatting>
  <conditionalFormatting sqref="C11">
    <cfRule type="cellIs" dxfId="317" priority="34"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G11">
    <cfRule type="cellIs" dxfId="314" priority="30" stopIfTrue="1" operator="lessThan">
      <formula>$B$2</formula>
    </cfRule>
  </conditionalFormatting>
  <conditionalFormatting sqref="F12">
    <cfRule type="cellIs" dxfId="313" priority="29" stopIfTrue="1" operator="equal">
      <formula>"已过期"</formula>
    </cfRule>
  </conditionalFormatting>
  <conditionalFormatting sqref="G12">
    <cfRule type="cellIs" dxfId="312" priority="28" stopIfTrue="1" operator="lessThan">
      <formula>$B$2</formula>
    </cfRule>
  </conditionalFormatting>
  <conditionalFormatting sqref="C12">
    <cfRule type="cellIs" dxfId="311" priority="27" stopIfTrue="1" operator="lessThan">
      <formula>$B$2</formula>
    </cfRule>
  </conditionalFormatting>
  <conditionalFormatting sqref="C12">
    <cfRule type="expression" dxfId="310" priority="25">
      <formula>AND($C12-TODAY()&lt;30,TODAY()&lt;$C12)</formula>
    </cfRule>
  </conditionalFormatting>
  <conditionalFormatting sqref="C12">
    <cfRule type="cellIs" dxfId="309" priority="26" stopIfTrue="1" operator="lessThan">
      <formula>$B$2</formula>
    </cfRule>
  </conditionalFormatting>
  <conditionalFormatting sqref="B12">
    <cfRule type="cellIs" dxfId="308" priority="24" stopIfTrue="1" operator="equal">
      <formula>"已过期"</formula>
    </cfRule>
  </conditionalFormatting>
  <conditionalFormatting sqref="C9:C10">
    <cfRule type="expression" dxfId="307" priority="22">
      <formula>AND($C9-TODAY()&lt;30,TODAY()&lt;$C9)</formula>
    </cfRule>
  </conditionalFormatting>
  <conditionalFormatting sqref="C9:C10">
    <cfRule type="cellIs" dxfId="306" priority="23" stopIfTrue="1" operator="lessThan">
      <formula>$B$2</formula>
    </cfRule>
  </conditionalFormatting>
  <conditionalFormatting sqref="G21">
    <cfRule type="expression" dxfId="305" priority="20" stopIfTrue="1">
      <formula>AND(#REF!-TODAY()&lt;30,TODAY()&lt;#REF!)</formula>
    </cfRule>
  </conditionalFormatting>
  <conditionalFormatting sqref="G21">
    <cfRule type="cellIs" dxfId="304" priority="21" stopIfTrue="1" operator="lessThan">
      <formula>$B$2</formula>
    </cfRule>
  </conditionalFormatting>
  <conditionalFormatting sqref="C14">
    <cfRule type="expression" dxfId="303" priority="18">
      <formula>AND($C14-TODAY()&lt;30,TODAY()&lt;$C14)</formula>
    </cfRule>
  </conditionalFormatting>
  <conditionalFormatting sqref="C14">
    <cfRule type="cellIs" dxfId="302" priority="19" stopIfTrue="1" operator="lessThan">
      <formula>$B$2</formula>
    </cfRule>
  </conditionalFormatting>
  <conditionalFormatting sqref="C14">
    <cfRule type="expression" dxfId="301" priority="16">
      <formula>AND($C14-TODAY()&lt;30,TODAY()&lt;$C14)</formula>
    </cfRule>
  </conditionalFormatting>
  <conditionalFormatting sqref="C14">
    <cfRule type="cellIs" dxfId="300" priority="17" stopIfTrue="1" operator="lessThan">
      <formula>$B$2</formula>
    </cfRule>
  </conditionalFormatting>
  <conditionalFormatting sqref="B14">
    <cfRule type="cellIs" dxfId="299" priority="15" stopIfTrue="1" operator="equal">
      <formula>"已过期"</formula>
    </cfRule>
  </conditionalFormatting>
  <conditionalFormatting sqref="G14">
    <cfRule type="cellIs" dxfId="298" priority="14" stopIfTrue="1" operator="lessThan">
      <formula>$B$2</formula>
    </cfRule>
  </conditionalFormatting>
  <conditionalFormatting sqref="D15">
    <cfRule type="expression" dxfId="297" priority="12">
      <formula>AND($C15-TODAY()&lt;30,TODAY()&lt;$C15)</formula>
    </cfRule>
  </conditionalFormatting>
  <conditionalFormatting sqref="D15">
    <cfRule type="cellIs" dxfId="296" priority="13" stopIfTrue="1" operator="lessThan">
      <formula>$B$2</formula>
    </cfRule>
  </conditionalFormatting>
  <conditionalFormatting sqref="D15">
    <cfRule type="expression" dxfId="295" priority="10">
      <formula>AND($C15-TODAY()&lt;30,TODAY()&lt;$C15)</formula>
    </cfRule>
  </conditionalFormatting>
  <conditionalFormatting sqref="D15">
    <cfRule type="cellIs" dxfId="294" priority="11" stopIfTrue="1" operator="lessThan">
      <formula>$B$2</formula>
    </cfRule>
  </conditionalFormatting>
  <conditionalFormatting sqref="F15">
    <cfRule type="cellIs" dxfId="293" priority="9" stopIfTrue="1" operator="equal">
      <formula>"已过期"</formula>
    </cfRule>
  </conditionalFormatting>
  <conditionalFormatting sqref="C15">
    <cfRule type="expression" dxfId="292" priority="7">
      <formula>AND($C15-TODAY()&lt;30,TODAY()&lt;$C15)</formula>
    </cfRule>
  </conditionalFormatting>
  <conditionalFormatting sqref="C15">
    <cfRule type="cellIs" dxfId="291" priority="8" stopIfTrue="1" operator="lessThan">
      <formula>$B$2</formula>
    </cfRule>
  </conditionalFormatting>
  <conditionalFormatting sqref="C15">
    <cfRule type="expression" dxfId="290" priority="5">
      <formula>AND($C15-TODAY()&lt;30,TODAY()&lt;$C15)</formula>
    </cfRule>
  </conditionalFormatting>
  <conditionalFormatting sqref="C15">
    <cfRule type="cellIs" dxfId="289" priority="6" stopIfTrue="1" operator="lessThan">
      <formula>$B$2</formula>
    </cfRule>
  </conditionalFormatting>
  <conditionalFormatting sqref="B15">
    <cfRule type="cellIs" dxfId="288" priority="4" stopIfTrue="1" operator="equal">
      <formula>"已过期"</formula>
    </cfRule>
  </conditionalFormatting>
  <conditionalFormatting sqref="G15">
    <cfRule type="cellIs" dxfId="287" priority="3" stopIfTrue="1" operator="lessThan">
      <formula>$B$2</formula>
    </cfRule>
  </conditionalFormatting>
  <conditionalFormatting sqref="G20">
    <cfRule type="expression" dxfId="286" priority="1" stopIfTrue="1">
      <formula>AND(#REF!-TODAY()&lt;30,TODAY()&lt;#REF!)</formula>
    </cfRule>
  </conditionalFormatting>
  <conditionalFormatting sqref="G20">
    <cfRule type="cellIs" dxfId="2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200</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结果汇总及案例</vt:lpstr>
      <vt:lpstr>结果表-1803</vt:lpstr>
      <vt:lpstr>成本法</vt:lpstr>
      <vt:lpstr>成本法 (元)</vt:lpstr>
      <vt:lpstr>假设开发法</vt:lpstr>
      <vt:lpstr>收益法</vt:lpstr>
      <vt:lpstr>收益法-酒店模型</vt:lpstr>
      <vt:lpstr>收益法（汇总）</vt:lpstr>
      <vt:lpstr>比较法-住宅</vt:lpstr>
      <vt:lpstr>比较法-商业</vt:lpstr>
      <vt:lpstr>比较法-办公-1803</vt:lpstr>
      <vt:lpstr>收益法-1803</vt:lpstr>
      <vt:lpstr>结果表-1804</vt:lpstr>
      <vt:lpstr>比较法-办公-1804</vt:lpstr>
      <vt:lpstr>收益法-1804</vt:lpstr>
      <vt:lpstr>结果表-1805</vt:lpstr>
      <vt:lpstr>比较法-办公-1805</vt:lpstr>
      <vt:lpstr>收益法-1805</vt:lpstr>
      <vt:lpstr>结果表1806</vt:lpstr>
      <vt:lpstr>比较法-办公-1806</vt:lpstr>
      <vt:lpstr>比较法-工业</vt:lpstr>
      <vt:lpstr>比较法-车位</vt:lpstr>
      <vt:lpstr>比较法-仓储</vt:lpstr>
      <vt:lpstr>土地比较法-住宅、综合</vt:lpstr>
      <vt:lpstr>土地比较法-工业</vt:lpstr>
      <vt:lpstr>收益法-1806</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'比较法-办公-1803'!Print_Area</vt:lpstr>
      <vt:lpstr>'比较法-办公-1804'!Print_Area</vt:lpstr>
      <vt:lpstr>'比较法-办公-1805'!Print_Area</vt:lpstr>
      <vt:lpstr>'比较法-办公-1806'!Print_Area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'结果表-1803'!Print_Area</vt:lpstr>
      <vt:lpstr>'结果表-1804'!Print_Area</vt:lpstr>
      <vt:lpstr>'结果表-1805'!Print_Area</vt:lpstr>
      <vt:lpstr>结果表1806!Print_Area</vt:lpstr>
      <vt:lpstr>收益法!Print_Area</vt:lpstr>
      <vt:lpstr>'收益法（汇总）'!Print_Area</vt:lpstr>
      <vt:lpstr>'收益法-1803'!Print_Area</vt:lpstr>
      <vt:lpstr>'收益法-1804'!Print_Area</vt:lpstr>
      <vt:lpstr>'收益法-1805'!Print_Area</vt:lpstr>
      <vt:lpstr>'收益法-1806'!Print_Area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'比较法-办公-1803'!办公层高</vt:lpstr>
      <vt:lpstr>'比较法-办公-1804'!办公层高</vt:lpstr>
      <vt:lpstr>'比较法-办公-1805'!办公层高</vt:lpstr>
      <vt:lpstr>办公层高</vt:lpstr>
      <vt:lpstr>'比较法-办公-1803'!办公朝向</vt:lpstr>
      <vt:lpstr>'比较法-办公-1804'!办公朝向</vt:lpstr>
      <vt:lpstr>'比较法-办公-1805'!办公朝向</vt:lpstr>
      <vt:lpstr>办公朝向</vt:lpstr>
      <vt:lpstr>'比较法-办公-1803'!办公道路级别</vt:lpstr>
      <vt:lpstr>'比较法-办公-1804'!办公道路级别</vt:lpstr>
      <vt:lpstr>'比较法-办公-1805'!办公道路级别</vt:lpstr>
      <vt:lpstr>办公道路级别</vt:lpstr>
      <vt:lpstr>'比较法-办公-1803'!办公公共部分装修</vt:lpstr>
      <vt:lpstr>'比较法-办公-1804'!办公公共部分装修</vt:lpstr>
      <vt:lpstr>'比较法-办公-1805'!办公公共部分装修</vt:lpstr>
      <vt:lpstr>办公公共部分装修</vt:lpstr>
      <vt:lpstr>'比较法-办公-1803'!办公基础设施水平</vt:lpstr>
      <vt:lpstr>'比较法-办公-1804'!办公基础设施水平</vt:lpstr>
      <vt:lpstr>'比较法-办公-1805'!办公基础设施水平</vt:lpstr>
      <vt:lpstr>办公基础设施水平</vt:lpstr>
      <vt:lpstr>办公集聚程度</vt:lpstr>
      <vt:lpstr>'比较法-办公-1803'!办公建筑结构</vt:lpstr>
      <vt:lpstr>'比较法-办公-1804'!办公建筑结构</vt:lpstr>
      <vt:lpstr>'比较法-办公-1805'!办公建筑结构</vt:lpstr>
      <vt:lpstr>办公建筑结构</vt:lpstr>
      <vt:lpstr>'比较法-办公-1803'!办公建筑类型</vt:lpstr>
      <vt:lpstr>'比较法-办公-1804'!办公建筑类型</vt:lpstr>
      <vt:lpstr>'比较法-办公-1805'!办公建筑类型</vt:lpstr>
      <vt:lpstr>办公建筑类型</vt:lpstr>
      <vt:lpstr>'比较法-办公-1803'!办公交易情况</vt:lpstr>
      <vt:lpstr>'比较法-办公-1804'!办公交易情况</vt:lpstr>
      <vt:lpstr>'比较法-办公-1805'!办公交易情况</vt:lpstr>
      <vt:lpstr>办公交易情况</vt:lpstr>
      <vt:lpstr>'比较法-办公-1803'!办公楼层</vt:lpstr>
      <vt:lpstr>'比较法-办公-1804'!办公楼层</vt:lpstr>
      <vt:lpstr>'比较法-办公-1805'!办公楼层</vt:lpstr>
      <vt:lpstr>办公楼层</vt:lpstr>
      <vt:lpstr>'比较法-办公-1803'!办公内部装修</vt:lpstr>
      <vt:lpstr>'比较法-办公-1804'!办公内部装修</vt:lpstr>
      <vt:lpstr>'比较法-办公-1805'!办公内部装修</vt:lpstr>
      <vt:lpstr>办公内部装修</vt:lpstr>
      <vt:lpstr>'比较法-办公-1803'!办公物业管理</vt:lpstr>
      <vt:lpstr>'比较法-办公-1804'!办公物业管理</vt:lpstr>
      <vt:lpstr>'比较法-办公-1805'!办公物业管理</vt:lpstr>
      <vt:lpstr>办公物业管理</vt:lpstr>
      <vt:lpstr>'比较法-办公-1803'!办公用途</vt:lpstr>
      <vt:lpstr>'比较法-办公-1804'!办公用途</vt:lpstr>
      <vt:lpstr>'比较法-办公-1805'!办公用途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'比较法-办公-1803'!写字楼等级</vt:lpstr>
      <vt:lpstr>'比较法-办公-1804'!写字楼等级</vt:lpstr>
      <vt:lpstr>'比较法-办公-1805'!写字楼等级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2024-08-07T02:07:52Z</dcterms:modified>
</cp:coreProperties>
</file>