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商业（租金）" sheetId="33" r:id="rId44"/>
    <sheet name="Sheet1" sheetId="78"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3"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修正!$C$59:$C$119</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36" i="33" l="1"/>
  <c r="E36" i="33"/>
  <c r="J49" i="15"/>
  <c r="AD6" i="1"/>
  <c r="I47" i="33"/>
  <c r="D111" i="33"/>
  <c r="F36" i="33"/>
  <c r="AA36" i="33"/>
  <c r="B98" i="33"/>
  <c r="F31" i="33"/>
  <c r="AA31" i="33"/>
  <c r="B96" i="33"/>
  <c r="F30" i="33"/>
  <c r="AA30" i="33"/>
  <c r="B94" i="33"/>
  <c r="F29" i="33"/>
  <c r="AA29" i="33"/>
  <c r="B92" i="33"/>
  <c r="F28" i="33"/>
  <c r="AA28" i="33"/>
  <c r="D106" i="33"/>
  <c r="F34" i="33"/>
  <c r="AA34" i="33"/>
  <c r="F33" i="33"/>
  <c r="AA33" i="33"/>
  <c r="D108" i="33"/>
  <c r="E108" i="33"/>
  <c r="F35" i="33"/>
  <c r="AA35" i="33"/>
  <c r="F38" i="33"/>
  <c r="AA38" i="33"/>
  <c r="G66" i="33"/>
  <c r="F10" i="33"/>
  <c r="AA10" i="33"/>
  <c r="E47" i="33"/>
  <c r="R47" i="33"/>
  <c r="B2" i="1"/>
  <c r="C7" i="33"/>
  <c r="E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F25" i="33"/>
  <c r="AA25" i="33"/>
  <c r="B88" i="33"/>
  <c r="F26" i="33"/>
  <c r="AA26" i="33"/>
  <c r="B90" i="33"/>
  <c r="F27" i="33"/>
  <c r="AA27" i="33"/>
  <c r="F32" i="33"/>
  <c r="AA32" i="33"/>
  <c r="F37" i="33"/>
  <c r="AA37" i="33"/>
  <c r="F39" i="33"/>
  <c r="AA39" i="33"/>
  <c r="F40" i="33"/>
  <c r="AA40" i="33"/>
  <c r="F41" i="33"/>
  <c r="AA41" i="33"/>
  <c r="F42" i="33"/>
  <c r="AA42" i="33"/>
  <c r="F43" i="33"/>
  <c r="AA43" i="33"/>
  <c r="B126" i="33"/>
  <c r="F44" i="33"/>
  <c r="AA44" i="33"/>
  <c r="B128" i="33"/>
  <c r="F45" i="33"/>
  <c r="AA45" i="33"/>
  <c r="B130" i="33"/>
  <c r="F46" i="33"/>
  <c r="AA46" i="33"/>
  <c r="R48" i="33"/>
  <c r="E111" i="33"/>
  <c r="F111" i="33"/>
  <c r="H36" i="33"/>
  <c r="AB36" i="33"/>
  <c r="H10" i="33"/>
  <c r="AB10" i="33"/>
  <c r="H31" i="33"/>
  <c r="AB31" i="33"/>
  <c r="H30" i="33"/>
  <c r="AB30" i="33"/>
  <c r="H29" i="33"/>
  <c r="AB29" i="33"/>
  <c r="H28" i="33"/>
  <c r="AB28" i="33"/>
  <c r="H34" i="33"/>
  <c r="AB34" i="33"/>
  <c r="H33" i="33"/>
  <c r="AB33" i="33"/>
  <c r="H35" i="33"/>
  <c r="AB35" i="33"/>
  <c r="D115" i="33"/>
  <c r="H38" i="33"/>
  <c r="AB38" i="33"/>
  <c r="G47" i="33"/>
  <c r="T47" i="33"/>
  <c r="G7" i="33"/>
  <c r="H7" i="33"/>
  <c r="AB7" i="33"/>
  <c r="H8" i="33"/>
  <c r="AB8" i="33"/>
  <c r="H9" i="33"/>
  <c r="AB9"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32" i="33"/>
  <c r="AB32" i="33"/>
  <c r="H37" i="33"/>
  <c r="AB37" i="33"/>
  <c r="H39" i="33"/>
  <c r="AB39" i="33"/>
  <c r="H40" i="33"/>
  <c r="AB40" i="33"/>
  <c r="H41" i="33"/>
  <c r="AB41" i="33"/>
  <c r="H42" i="33"/>
  <c r="AB42" i="33"/>
  <c r="H43" i="33"/>
  <c r="AB43" i="33"/>
  <c r="H44" i="33"/>
  <c r="AB44" i="33"/>
  <c r="H45" i="33"/>
  <c r="AB45" i="33"/>
  <c r="H46" i="33"/>
  <c r="AB46" i="33"/>
  <c r="T48" i="33"/>
  <c r="J36" i="33"/>
  <c r="AC36" i="33"/>
  <c r="J31" i="33"/>
  <c r="AC31" i="33"/>
  <c r="J30" i="33"/>
  <c r="AC30" i="33"/>
  <c r="J29" i="33"/>
  <c r="AC29" i="33"/>
  <c r="J28" i="33"/>
  <c r="AC28" i="33"/>
  <c r="J34" i="33"/>
  <c r="AC34" i="33"/>
  <c r="J33" i="33"/>
  <c r="AC33" i="33"/>
  <c r="J35" i="33"/>
  <c r="AC35" i="33"/>
  <c r="J38" i="33"/>
  <c r="AC38" i="33"/>
  <c r="J10" i="33"/>
  <c r="AC10" i="33"/>
  <c r="V47" i="33"/>
  <c r="I7" i="33"/>
  <c r="J7" i="33"/>
  <c r="AC7" i="33"/>
  <c r="J8" i="33"/>
  <c r="AC8" i="33"/>
  <c r="J9" i="33"/>
  <c r="AC9"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32" i="33"/>
  <c r="AC32" i="33"/>
  <c r="J37" i="33"/>
  <c r="AC37" i="33"/>
  <c r="J39" i="33"/>
  <c r="AC39" i="33"/>
  <c r="J40" i="33"/>
  <c r="AC40" i="33"/>
  <c r="J41" i="33"/>
  <c r="AC41" i="33"/>
  <c r="J42" i="33"/>
  <c r="AC42" i="33"/>
  <c r="J43" i="33"/>
  <c r="AC43" i="33"/>
  <c r="J44" i="33"/>
  <c r="AC44" i="33"/>
  <c r="J45" i="33"/>
  <c r="AC45" i="33"/>
  <c r="J46" i="33"/>
  <c r="AC46" i="33"/>
  <c r="V48" i="33"/>
  <c r="R49" i="33"/>
  <c r="C48" i="33"/>
  <c r="F49" i="15"/>
  <c r="C49" i="33"/>
  <c r="B3" i="33"/>
  <c r="Z6" i="1"/>
  <c r="C1" i="73"/>
  <c r="J1" i="73"/>
  <c r="D4" i="73"/>
  <c r="E20" i="43"/>
  <c r="M17" i="43"/>
  <c r="G20" i="43"/>
  <c r="J20" i="43"/>
  <c r="E15" i="4"/>
  <c r="F6" i="1"/>
  <c r="I20" i="43"/>
  <c r="C20" i="43"/>
  <c r="I13" i="3"/>
  <c r="I14"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G2" i="43"/>
  <c r="S2" i="43"/>
  <c r="I2" i="43"/>
  <c r="M2" i="43"/>
  <c r="C6" i="43"/>
  <c r="C10" i="43"/>
  <c r="C11" i="43"/>
  <c r="E8" i="43"/>
  <c r="E9" i="43"/>
  <c r="E10" i="43"/>
  <c r="E11" i="43"/>
  <c r="C9" i="43"/>
  <c r="C7" i="43"/>
  <c r="G17" i="43"/>
  <c r="H17" i="43"/>
  <c r="I17" i="43"/>
  <c r="J17" i="43"/>
  <c r="C17" i="43"/>
  <c r="C16" i="43"/>
  <c r="C5" i="43"/>
  <c r="C18" i="43"/>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N2" i="43"/>
  <c r="F48" i="43"/>
  <c r="H48" i="43"/>
  <c r="G48" i="43"/>
  <c r="K48" i="43"/>
  <c r="D48" i="43"/>
  <c r="H49" i="43"/>
  <c r="G49" i="43"/>
  <c r="K49" i="43"/>
  <c r="D49" i="43"/>
  <c r="H50" i="43"/>
  <c r="G50" i="43"/>
  <c r="K50" i="43"/>
  <c r="D50" i="43"/>
  <c r="H51" i="43"/>
  <c r="G51" i="43"/>
  <c r="K51" i="43"/>
  <c r="D51" i="43"/>
  <c r="D52" i="43"/>
  <c r="H53" i="43"/>
  <c r="G53" i="43"/>
  <c r="K53" i="43"/>
  <c r="D53" i="43"/>
  <c r="H54" i="43"/>
  <c r="G54" i="43"/>
  <c r="K54" i="43"/>
  <c r="D54" i="43"/>
  <c r="H55" i="43"/>
  <c r="G55" i="43"/>
  <c r="K55" i="43"/>
  <c r="J55" i="43"/>
  <c r="D55" i="43"/>
  <c r="H56" i="43"/>
  <c r="G56" i="43"/>
  <c r="K56" i="43"/>
  <c r="D56" i="43"/>
  <c r="E48" i="43"/>
  <c r="B46" i="43"/>
  <c r="C24" i="43"/>
  <c r="T2" i="43"/>
  <c r="V2" i="43"/>
  <c r="S3" i="43"/>
  <c r="T3" i="43"/>
  <c r="V3" i="43"/>
  <c r="C6" i="68"/>
  <c r="I6" i="33"/>
  <c r="G6" i="33"/>
  <c r="E6" i="33"/>
  <c r="C6" i="33"/>
  <c r="L52" i="15"/>
  <c r="C23" i="43"/>
  <c r="C21" i="43"/>
  <c r="C29" i="4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F19" i="6"/>
  <c r="D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F7" i="68"/>
  <c r="C7" i="68"/>
  <c r="A6" i="1"/>
  <c r="G1" i="68"/>
  <c r="D9" i="68"/>
  <c r="E9" i="68"/>
  <c r="C9" i="68"/>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D10" i="68"/>
  <c r="E10" i="68"/>
  <c r="C10" i="68"/>
  <c r="C8" i="68"/>
  <c r="C5" i="68"/>
  <c r="F70" i="15"/>
  <c r="F52" i="15"/>
  <c r="H52" i="43"/>
  <c r="G52" i="43"/>
  <c r="B29" i="1"/>
  <c r="Y6" i="1"/>
  <c r="I19"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G33" i="43"/>
  <c r="H33" i="43"/>
  <c r="I33" i="43"/>
  <c r="E7" i="76"/>
  <c r="E8" i="76"/>
  <c r="E9" i="76"/>
  <c r="E10" i="76"/>
  <c r="E11" i="76"/>
  <c r="E12" i="76"/>
  <c r="E13" i="76"/>
  <c r="AH5" i="71"/>
  <c r="AG5" i="71"/>
  <c r="AE5" i="71"/>
  <c r="AF5" i="71"/>
  <c r="AD5" i="71"/>
  <c r="L3" i="71"/>
  <c r="K3" i="71"/>
  <c r="I3" i="71"/>
  <c r="J3"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AY6" i="3"/>
  <c r="D3" i="6"/>
  <c r="E3" i="6"/>
  <c r="D19" i="6"/>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23" i="33"/>
  <c r="D117" i="33"/>
  <c r="E117" i="33"/>
  <c r="F117" i="33"/>
  <c r="G117" i="33"/>
  <c r="E115" i="33"/>
  <c r="F115" i="33"/>
  <c r="G115" i="33"/>
  <c r="H115" i="33"/>
  <c r="I115" i="33"/>
  <c r="J115" i="33"/>
  <c r="K115" i="33"/>
  <c r="L115" i="33"/>
  <c r="M115" i="33"/>
  <c r="F108" i="33"/>
  <c r="E106" i="33"/>
  <c r="M102" i="33"/>
  <c r="L102" i="33"/>
  <c r="K102" i="33"/>
  <c r="J102" i="33"/>
  <c r="I102" i="33"/>
  <c r="H102" i="33"/>
  <c r="G102" i="33"/>
  <c r="F102" i="33"/>
  <c r="E102" i="33"/>
  <c r="D102" i="33"/>
  <c r="C102" i="33"/>
  <c r="D101"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BO5" i="3"/>
  <c r="BM5" i="3"/>
  <c r="F29" i="6"/>
  <c r="BJ5" i="3"/>
  <c r="BH5" i="3"/>
  <c r="BF5" i="3"/>
  <c r="BD5" i="3"/>
  <c r="BP5" i="3"/>
  <c r="BN5" i="3"/>
  <c r="BK5" i="3"/>
  <c r="BI5" i="3"/>
  <c r="BG5" i="3"/>
  <c r="BE5" i="3"/>
  <c r="BC5" i="3"/>
  <c r="BB5" i="3"/>
  <c r="E8" i="6"/>
  <c r="F27" i="6"/>
  <c r="U36" i="40"/>
  <c r="N4" i="43"/>
  <c r="F81" i="43"/>
  <c r="H83" i="43"/>
  <c r="H113"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6" i="15"/>
  <c r="C10" i="15"/>
  <c r="F51" i="15"/>
  <c r="F50" i="15"/>
  <c r="C49"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65" i="15"/>
  <c r="J57" i="15"/>
  <c r="J55" i="15"/>
  <c r="J58" i="15"/>
  <c r="Q50" i="15"/>
  <c r="F68" i="15"/>
  <c r="M7"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7" i="43"/>
  <c r="V7" i="43"/>
  <c r="T8" i="43"/>
  <c r="V8" i="43"/>
  <c r="T15" i="43"/>
  <c r="V15" i="43"/>
  <c r="T13" i="43"/>
  <c r="V13" i="43"/>
  <c r="T10" i="43"/>
  <c r="V10" i="43"/>
  <c r="T5" i="43"/>
  <c r="V5" i="43"/>
  <c r="T6" i="43"/>
  <c r="V6" i="43"/>
  <c r="T4" i="43"/>
  <c r="V4" i="43"/>
  <c r="F1" i="15"/>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E2" i="68"/>
  <c r="B2" i="68"/>
  <c r="B3" i="67"/>
  <c r="D2" i="37"/>
  <c r="D2" i="36"/>
  <c r="D2" i="21"/>
  <c r="F20" i="31"/>
  <c r="D2" i="34"/>
  <c r="D2" i="33"/>
  <c r="C19" i="9"/>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<sst xmlns="http://schemas.openxmlformats.org/spreadsheetml/2006/main" count="7409" uniqueCount="3139">
  <si>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</si>
  <si>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</si>
  <si>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</si>
  <si>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</si>
  <si>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</si>
  <si>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</si>
  <si>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</si>
  <si>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</si>
  <si>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</si>
  <si>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</si>
  <si>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</si>
  <si>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</si>
  <si>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</si>
  <si>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</si>
  <si>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</si>
  <si>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</si>
  <si>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</si>
  <si>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</si>
  <si>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</si>
  <si>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</si>
  <si>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</si>
  <si>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</si>
  <si>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</si>
  <si>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</si>
  <si>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</si>
  <si>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</si>
  <si>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</si>
  <si>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</si>
  <si>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</si>
  <si>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</si>
  <si>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</si>
  <si>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</si>
  <si>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</si>
  <si>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</si>
  <si>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</si>
  <si>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</si>
  <si>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</si>
  <si>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</si>
  <si>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</si>
  <si>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</si>
  <si>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</si>
  <si>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</si>
  <si>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</si>
  <si>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</si>
  <si>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</si>
  <si>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</si>
  <si>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</si>
  <si>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</si>
  <si>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</si>
  <si>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</si>
  <si>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</si>
  <si>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</si>
  <si>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</si>
  <si>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</si>
  <si>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</si>
  <si>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</si>
  <si>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</si>
  <si>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</si>
  <si>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</si>
  <si>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</si>
  <si>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</si>
  <si>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</si>
  <si>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</si>
  <si>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</si>
  <si>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</si>
  <si>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</si>
  <si>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</si>
  <si>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</si>
  <si>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</si>
  <si>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</si>
  <si>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</si>
  <si>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</si>
  <si>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</si>
  <si>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</si>
  <si>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</si>
  <si>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</si>
  <si>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</si>
  <si>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</si>
  <si>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</si>
  <si>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</si>
  <si>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</si>
  <si>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</si>
  <si>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</si>
  <si>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</si>
  <si>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</si>
  <si>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</si>
  <si>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</si>
  <si>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</si>
  <si>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</si>
  <si>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</si>
  <si>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</si>
  <si>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</si>
  <si>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</si>
  <si>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</si>
  <si>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</si>
  <si>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</si>
  <si>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</si>
  <si>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</si>
  <si>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</si>
  <si>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</si>
  <si>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</si>
  <si>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</si>
  <si>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</si>
  <si>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</si>
  <si>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</si>
  <si>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</si>
  <si>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</si>
  <si>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</si>
  <si>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</si>
  <si>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</si>
  <si>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</si>
  <si>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</si>
  <si>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</si>
  <si>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</si>
  <si>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</si>
  <si>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</si>
  <si>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</si>
  <si>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</si>
  <si>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</si>
  <si>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</si>
  <si>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</si>
  <si>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</si>
  <si>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</si>
  <si>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</si>
  <si>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</si>
  <si>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</si>
  <si>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</si>
  <si>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</si>
  <si>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</si>
  <si>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</si>
  <si>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</si>
  <si>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</si>
  <si>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</si>
  <si>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</si>
  <si>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</si>
  <si>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</si>
  <si>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</si>
  <si>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</si>
  <si>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</si>
  <si>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</si>
  <si>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</si>
  <si>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</si>
  <si>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</si>
  <si>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</si>
  <si>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</si>
  <si>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</si>
  <si>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</si>
  <si>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</si>
  <si>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</si>
  <si>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</si>
  <si>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</si>
  <si>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</si>
  <si>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</si>
  <si>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</si>
  <si>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</si>
  <si>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</si>
  <si>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</si>
  <si>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</si>
  <si>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</si>
  <si>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</si>
  <si>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</si>
  <si>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</si>
  <si>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</si>
  <si>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</si>
  <si>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</si>
  <si>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</si>
  <si>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</si>
  <si>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</si>
  <si>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</si>
  <si>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</si>
  <si>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</si>
  <si>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</si>
  <si>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</si>
  <si>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</si>
  <si>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</si>
  <si>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</si>
  <si>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</si>
  <si>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</si>
  <si>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</si>
  <si>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</si>
  <si>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</si>
  <si>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</si>
  <si>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</si>
  <si>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</si>
  <si>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</si>
  <si>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</si>
  <si>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</si>
  <si>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</si>
  <si>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</si>
  <si>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</si>
  <si>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</si>
  <si>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</si>
  <si>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</si>
  <si>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</si>
  <si>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</si>
  <si>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</si>
  <si>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</si>
  <si>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</si>
  <si>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</si>
  <si>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</si>
  <si>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</si>
  <si>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</si>
  <si>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</si>
  <si>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</si>
  <si>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</si>
  <si>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</si>
  <si>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</si>
  <si>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</si>
  <si>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</si>
  <si>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</si>
  <si>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</si>
  <si>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</si>
  <si>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</si>
  <si>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</si>
  <si>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</si>
  <si>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</si>
  <si>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</si>
  <si>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</si>
  <si>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</si>
  <si>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</si>
  <si>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</si>
  <si>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</si>
  <si>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</si>
  <si>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</si>
  <si>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</si>
  <si>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</si>
  <si>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</si>
  <si>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</si>
  <si>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</si>
  <si>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</si>
  <si>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</si>
  <si>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</si>
  <si>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</si>
  <si>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</si>
  <si>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</si>
  <si>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</si>
  <si>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</si>
  <si>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</si>
  <si>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</si>
  <si>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</si>
  <si>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</si>
  <si>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</si>
  <si>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</si>
  <si>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</si>
  <si>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</si>
  <si>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</si>
  <si>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</si>
  <si>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</si>
  <si>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</si>
  <si>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</si>
  <si>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</si>
  <si>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</si>
  <si>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</si>
  <si>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</si>
  <si>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</si>
  <si>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</si>
  <si>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</si>
  <si>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</si>
  <si>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</si>
  <si>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</si>
  <si>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</si>
  <si>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</si>
  <si>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</si>
  <si>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</si>
  <si>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</si>
  <si>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</si>
  <si>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</si>
  <si>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</si>
  <si>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</si>
  <si>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</si>
  <si>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</si>
  <si>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</si>
  <si>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</si>
  <si>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</si>
  <si>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</si>
  <si>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</si>
  <si>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</si>
  <si>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</si>
  <si>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</si>
  <si>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</si>
  <si>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</si>
  <si>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</si>
  <si>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</si>
  <si>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</si>
  <si>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</si>
  <si>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</si>
  <si>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</si>
  <si>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</si>
  <si>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</si>
  <si>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</si>
  <si>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</si>
  <si>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</si>
  <si>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</si>
  <si>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</si>
  <si>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</si>
  <si>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</si>
  <si>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</si>
  <si>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</si>
  <si>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</si>
  <si>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</si>
  <si>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</si>
  <si>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</si>
  <si>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</si>
  <si>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</si>
  <si>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</si>
  <si>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</si>
  <si>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</si>
  <si>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</si>
  <si>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</si>
  <si>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</si>
  <si>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</si>
  <si>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</si>
  <si>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</si>
  <si>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</si>
  <si>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</si>
  <si>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</si>
  <si>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</si>
  <si>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</si>
  <si>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</si>
  <si>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</si>
  <si>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</si>
  <si>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</si>
  <si>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</si>
  <si>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</si>
  <si>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</si>
  <si>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</si>
  <si>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</si>
  <si>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</si>
  <si>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</si>
  <si>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</si>
  <si>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</si>
  <si>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</si>
  <si>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</si>
  <si>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</si>
  <si>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</si>
  <si>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</si>
  <si>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</si>
  <si>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</si>
  <si>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</si>
  <si>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</si>
  <si>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</si>
  <si>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</si>
  <si>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</si>
  <si>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</si>
  <si>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</si>
  <si>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</si>
  <si>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</si>
  <si>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</si>
  <si>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</si>
  <si>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</si>
  <si>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</si>
  <si>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</si>
  <si>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</si>
  <si>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</si>
  <si>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</si>
  <si>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</si>
  <si>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</si>
  <si>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</si>
  <si>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</si>
  <si>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</si>
  <si>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</si>
  <si>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</si>
  <si>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</si>
  <si>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</si>
  <si>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</si>
  <si>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</si>
  <si>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</si>
  <si>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</si>
  <si>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</si>
  <si>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</si>
  <si>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</si>
  <si>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</si>
  <si>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</si>
  <si>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</si>
  <si>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</si>
  <si>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</si>
  <si>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</si>
  <si>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</si>
  <si>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</si>
  <si>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</si>
  <si>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</si>
  <si>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</si>
  <si>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</si>
  <si>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</si>
  <si>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</si>
  <si>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</si>
  <si>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</si>
  <si>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</si>
  <si>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</si>
  <si>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</si>
  <si>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</si>
  <si>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</si>
  <si>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</si>
  <si>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</si>
  <si>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</si>
  <si>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</si>
  <si>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</si>
  <si>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</si>
  <si>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</si>
  <si>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</si>
  <si>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</si>
  <si>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</si>
  <si>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</si>
  <si>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</si>
  <si>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</si>
  <si>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</si>
  <si>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</si>
  <si>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</si>
  <si>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</si>
  <si>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</si>
  <si>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</si>
  <si>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</si>
  <si>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</si>
  <si>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</si>
  <si>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</si>
  <si>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</si>
  <si>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</si>
  <si>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</si>
  <si>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</si>
  <si>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</si>
  <si>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</si>
  <si>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</si>
  <si>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</si>
  <si>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</si>
  <si>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</si>
  <si>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</si>
  <si>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</si>
  <si>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</si>
  <si>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</si>
  <si>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</si>
  <si>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</si>
  <si>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</si>
  <si>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</si>
  <si>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</si>
  <si>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</si>
  <si>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</si>
  <si>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</si>
  <si>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</si>
  <si>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</si>
  <si>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</si>
  <si>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</si>
  <si>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</si>
  <si>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</si>
  <si>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</si>
  <si>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</si>
  <si>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</si>
  <si>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</si>
  <si>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</si>
  <si>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</si>
  <si>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</si>
  <si>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</si>
  <si>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</si>
  <si>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</si>
  <si>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</si>
  <si>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</si>
  <si>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</si>
  <si>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</si>
  <si>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</si>
  <si>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</si>
  <si>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</si>
  <si>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</si>
  <si>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</si>
  <si>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</si>
  <si>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</si>
  <si>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</si>
  <si>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</si>
  <si>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</si>
  <si>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</si>
  <si>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</si>
  <si>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</si>
  <si>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</si>
  <si>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</si>
  <si>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</si>
  <si>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</si>
  <si>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</si>
  <si>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</si>
  <si>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</si>
  <si>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</si>
  <si>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</si>
  <si>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</si>
  <si>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</si>
  <si>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</si>
  <si>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</si>
  <si>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</si>
  <si>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</si>
  <si>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</si>
  <si>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</si>
  <si>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</si>
  <si>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</si>
  <si>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</si>
  <si>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</si>
  <si>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</si>
  <si>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</si>
  <si>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</si>
  <si>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</si>
  <si>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</si>
  <si>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</si>
  <si>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</si>
  <si>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</si>
  <si>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</si>
  <si>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</si>
  <si>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</si>
  <si>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</si>
  <si>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</si>
  <si>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</si>
  <si>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</si>
  <si>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</si>
  <si>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</si>
  <si>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</si>
  <si>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</si>
  <si>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</si>
  <si>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</si>
  <si>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</si>
  <si>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</si>
  <si>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</si>
  <si>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</si>
  <si>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</si>
  <si>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</si>
  <si>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</si>
  <si>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</si>
  <si>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</si>
  <si>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</si>
  <si>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</si>
  <si>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</si>
  <si>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</si>
  <si>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</si>
  <si>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</si>
  <si>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</si>
  <si>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</si>
  <si>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</si>
  <si>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</si>
  <si>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</si>
  <si>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</si>
  <si>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</si>
  <si>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</si>
  <si>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</si>
  <si>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</si>
  <si>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</si>
  <si>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</si>
  <si>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</si>
  <si>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</si>
  <si>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</si>
  <si>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</si>
  <si>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</si>
  <si>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</si>
  <si>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</si>
  <si>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</si>
  <si>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</si>
  <si>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</si>
  <si>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</si>
  <si>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</si>
  <si>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</si>
  <si>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</si>
  <si>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</si>
  <si>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</si>
  <si>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</si>
  <si>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</si>
  <si>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</si>
  <si>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</si>
  <si>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</si>
  <si>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</si>
  <si>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</si>
  <si>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</si>
  <si>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</si>
  <si>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</si>
  <si>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</si>
  <si>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</si>
  <si>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</si>
  <si>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</si>
  <si>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</si>
  <si>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</si>
  <si>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</si>
  <si>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</si>
  <si>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</si>
  <si>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</si>
  <si>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</si>
  <si>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</si>
  <si>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</si>
  <si>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</si>
  <si>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</si>
  <si>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</si>
  <si>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</si>
  <si>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</si>
  <si>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</si>
  <si>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</si>
  <si>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</si>
  <si>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</si>
  <si>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</si>
  <si>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</si>
  <si>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</si>
  <si>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</si>
  <si>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</si>
  <si>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</si>
  <si>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</si>
  <si>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</si>
  <si>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</si>
  <si>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</si>
  <si>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</si>
  <si>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</si>
  <si>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</si>
  <si>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</si>
  <si>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</si>
  <si>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</si>
  <si>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</si>
  <si>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</si>
  <si>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</si>
  <si>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</si>
  <si>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</si>
  <si>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</si>
  <si>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</si>
  <si>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</si>
  <si>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</si>
  <si>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</si>
  <si>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</si>
  <si>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</si>
  <si>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</si>
  <si>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</si>
  <si>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</si>
  <si>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</si>
  <si>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</si>
  <si>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</si>
  <si>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</si>
  <si>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</si>
  <si>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</si>
  <si>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</si>
  <si>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</si>
  <si>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</si>
  <si>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</si>
  <si>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</si>
  <si>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</si>
  <si>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</si>
  <si>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</si>
  <si>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</si>
  <si>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</si>
  <si>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</si>
  <si>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</si>
  <si>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</si>
  <si>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</si>
  <si>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</si>
  <si>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</si>
  <si>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</si>
  <si>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</si>
  <si>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</si>
  <si>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</si>
  <si>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</si>
  <si>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</si>
  <si>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</si>
  <si>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</si>
  <si>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</si>
  <si>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</si>
  <si>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</si>
  <si>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</si>
  <si>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</si>
  <si>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</si>
  <si>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</si>
  <si>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</si>
  <si>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</si>
  <si>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</si>
  <si>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</si>
  <si>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</si>
  <si>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</si>
  <si>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</si>
  <si>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</si>
  <si>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</si>
  <si>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</si>
  <si>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</si>
  <si>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</si>
  <si>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</si>
  <si>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</si>
  <si>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</si>
  <si>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</si>
  <si>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</si>
  <si>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</si>
  <si>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</si>
  <si>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</si>
  <si>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</si>
  <si>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</si>
  <si>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</si>
  <si>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</si>
  <si>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</si>
  <si>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</si>
  <si>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</si>
  <si>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</si>
  <si>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</si>
  <si>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</si>
  <si>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</si>
  <si>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</si>
  <si>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</si>
  <si>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</si>
  <si>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</si>
  <si>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</si>
  <si>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</si>
  <si>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</si>
  <si>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</si>
  <si>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</si>
  <si>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</si>
  <si>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</si>
  <si>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</si>
  <si>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</si>
  <si>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</si>
  <si>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</si>
  <si>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</si>
  <si>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</si>
  <si>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</si>
  <si>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</si>
  <si>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</si>
  <si>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</si>
  <si>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</si>
  <si>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</si>
  <si>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</si>
  <si>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</si>
  <si>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</si>
  <si>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</si>
  <si>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</si>
  <si>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</si>
  <si>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</si>
  <si>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</si>
  <si>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</si>
  <si>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</si>
  <si>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</si>
  <si>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</si>
  <si>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</si>
  <si>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</si>
  <si>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</si>
  <si>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</si>
  <si>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</si>
  <si>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</si>
  <si>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</si>
  <si>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</si>
  <si>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</si>
  <si>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</si>
  <si>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</si>
  <si>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</si>
  <si>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</si>
  <si>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</si>
  <si>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</si>
  <si>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</si>
  <si>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</si>
  <si>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</si>
  <si>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</si>
  <si>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</si>
  <si>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</si>
  <si>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</si>
  <si>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</si>
  <si>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</si>
  <si>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</si>
  <si>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</si>
  <si>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</si>
  <si>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</si>
  <si>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</si>
  <si>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</si>
  <si>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</si>
  <si>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</si>
  <si>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</si>
  <si>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</si>
  <si>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</si>
  <si>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</si>
  <si>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</si>
  <si>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</si>
  <si>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</si>
  <si>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</si>
  <si>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</si>
  <si>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</si>
  <si>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</si>
  <si>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</si>
  <si>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</si>
  <si>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</si>
  <si>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</si>
  <si>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</si>
  <si>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</si>
  <si>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</si>
  <si>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</si>
  <si>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</si>
  <si>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</si>
  <si>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</si>
  <si>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</si>
  <si>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</si>
  <si>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</si>
  <si>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</si>
  <si>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</si>
  <si>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</si>
  <si>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</si>
  <si>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</si>
  <si>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</si>
  <si>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</si>
  <si>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</si>
  <si>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</si>
  <si>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</si>
  <si>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</si>
  <si>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</si>
  <si>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</si>
  <si>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</si>
  <si>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</si>
  <si>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</si>
  <si>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</si>
  <si>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</si>
  <si>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</si>
  <si>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</si>
  <si>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</si>
  <si>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</si>
  <si>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</si>
  <si>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</si>
  <si>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</si>
  <si>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</si>
  <si>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</si>
  <si>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</si>
  <si>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</si>
  <si>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</si>
  <si>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</si>
  <si>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</si>
  <si>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</si>
  <si>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</si>
  <si>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</si>
  <si>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</si>
  <si>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</si>
  <si>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</si>
  <si>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</si>
  <si>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</si>
  <si>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</si>
  <si>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</si>
  <si>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</si>
  <si>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</si>
  <si>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</si>
  <si>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</si>
  <si>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</si>
  <si>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</si>
  <si>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</si>
  <si>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</si>
  <si>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</si>
  <si>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</si>
  <si>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</si>
  <si>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</si>
  <si>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</si>
  <si>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</si>
  <si>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</si>
  <si>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</si>
  <si>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</si>
  <si>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</si>
  <si>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</si>
  <si>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</si>
  <si>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</si>
  <si>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</si>
  <si>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</si>
  <si>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</si>
  <si>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</si>
  <si>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</si>
  <si>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</si>
  <si>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</si>
  <si>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</si>
  <si>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</si>
  <si>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</si>
  <si>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</si>
  <si>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</si>
  <si>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</si>
  <si>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</si>
  <si>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</si>
  <si>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</si>
  <si>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</si>
  <si>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</si>
  <si>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</si>
  <si>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</si>
  <si>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</si>
  <si>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</si>
  <si>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</si>
  <si>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</si>
  <si>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</si>
  <si>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</si>
  <si>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</si>
  <si>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</si>
  <si>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</si>
  <si>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</si>
  <si>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</si>
  <si>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</si>
  <si>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</si>
  <si>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</si>
  <si>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</si>
  <si>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</si>
  <si>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</si>
  <si>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</si>
  <si>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</si>
  <si>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</si>
  <si>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</si>
  <si>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</si>
  <si>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</si>
  <si>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</si>
  <si>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</si>
  <si>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</si>
  <si>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</si>
  <si>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</si>
  <si>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</si>
  <si>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</si>
  <si>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</si>
  <si>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</si>
  <si>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</si>
  <si>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</si>
  <si>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</si>
  <si>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</si>
  <si>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</si>
  <si>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</si>
  <si>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</si>
  <si>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</si>
  <si>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</si>
  <si>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</si>
  <si>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</si>
  <si>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</si>
  <si>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</si>
  <si>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</si>
  <si>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</si>
  <si>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</si>
  <si>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</si>
  <si>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</si>
  <si>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</si>
  <si>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</si>
  <si>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</si>
  <si>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</si>
  <si>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</si>
  <si>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</si>
  <si>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</si>
  <si>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</si>
  <si>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</si>
  <si>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</si>
  <si>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</si>
  <si>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</si>
  <si>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</si>
  <si>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</si>
  <si>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</si>
  <si>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</si>
  <si>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</si>
  <si>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</si>
  <si>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</si>
  <si>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</si>
  <si>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</si>
  <si>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</si>
  <si>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</si>
  <si>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</si>
  <si>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</si>
  <si>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</si>
  <si>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</si>
  <si>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</si>
  <si>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</si>
  <si>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</si>
  <si>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</si>
  <si>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</si>
  <si>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</si>
  <si>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</si>
  <si>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</si>
  <si>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</si>
  <si>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</si>
  <si>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</si>
  <si>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</si>
  <si>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</si>
  <si>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</si>
  <si>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</si>
  <si>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</si>
  <si>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</si>
  <si>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</si>
  <si>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</si>
  <si>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</si>
  <si>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</si>
  <si>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</si>
  <si>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</si>
  <si>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</si>
  <si>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</si>
  <si>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</si>
  <si>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</si>
  <si>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</si>
  <si>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</si>
  <si>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</si>
  <si>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</si>
  <si>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</si>
  <si>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</si>
  <si>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</si>
  <si>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</si>
  <si>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</si>
  <si>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</si>
  <si>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</si>
  <si>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</si>
  <si>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</si>
  <si>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</si>
  <si>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</si>
  <si>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</si>
  <si>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</si>
  <si>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</si>
  <si>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</si>
  <si>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</si>
  <si>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</si>
  <si>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</si>
  <si>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</si>
  <si>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</si>
  <si>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</si>
  <si>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</si>
  <si>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</si>
  <si>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</si>
  <si>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</si>
  <si>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</si>
  <si>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</si>
  <si>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</si>
  <si>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</si>
  <si>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</si>
  <si>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</si>
  <si>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</si>
  <si>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</si>
  <si>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</si>
  <si>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</si>
  <si>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</si>
  <si>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</si>
  <si>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</si>
  <si>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</si>
  <si>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</si>
  <si>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</si>
  <si>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</si>
  <si>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</si>
  <si>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</si>
  <si>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</si>
  <si>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</si>
  <si>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</si>
  <si>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</si>
  <si>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</si>
  <si>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</si>
  <si>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</si>
  <si>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</si>
  <si>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</si>
  <si>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</si>
  <si>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</si>
  <si>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</si>
  <si>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</si>
  <si>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</si>
  <si>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</si>
  <si>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</si>
  <si>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</si>
  <si>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</si>
  <si>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</si>
  <si>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</si>
  <si>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</si>
  <si>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</si>
  <si>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</si>
  <si>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</si>
  <si>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</si>
  <si>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</si>
  <si>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</si>
  <si>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</si>
  <si>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</si>
  <si>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</si>
  <si>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</si>
  <si>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</si>
  <si>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</si>
  <si>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</si>
  <si>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</si>
  <si>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</si>
  <si>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</si>
  <si>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</si>
  <si>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</si>
  <si>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</si>
  <si>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</si>
  <si>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</si>
  <si>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</si>
  <si>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</si>
  <si>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</si>
  <si>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</si>
  <si>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</si>
  <si>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</si>
  <si>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</si>
  <si>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</si>
  <si>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</si>
  <si>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</si>
  <si>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</si>
  <si>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</si>
  <si>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</si>
  <si>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</si>
  <si>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</si>
  <si>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</si>
  <si>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</si>
  <si>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</si>
  <si>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</si>
  <si>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</si>
  <si>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</si>
  <si>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</si>
  <si>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</si>
  <si>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</si>
  <si>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</si>
  <si>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</si>
  <si>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</si>
  <si>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</si>
  <si>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</si>
  <si>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</si>
  <si>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</si>
  <si>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</si>
  <si>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</si>
  <si>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</si>
  <si>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</si>
  <si>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</si>
  <si>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</si>
  <si>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</si>
  <si>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</si>
  <si>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</si>
  <si>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</si>
  <si>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</si>
  <si>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</si>
  <si>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</si>
  <si>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</si>
  <si>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</si>
  <si>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</si>
  <si>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</si>
  <si>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</si>
  <si>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</si>
  <si>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</si>
  <si>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</si>
  <si>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</si>
  <si>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</si>
  <si>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</si>
  <si>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</si>
  <si>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</si>
  <si>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</si>
  <si>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</si>
  <si>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</si>
  <si>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</si>
  <si>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</si>
  <si>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</si>
  <si>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</si>
  <si>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</si>
  <si>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</si>
  <si>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</si>
  <si>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</si>
  <si>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</si>
  <si>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</si>
  <si>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</si>
  <si>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</si>
  <si>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</si>
  <si>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</si>
  <si>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</si>
  <si>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</si>
  <si>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</si>
  <si>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</si>
  <si>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</si>
  <si>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</si>
  <si>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</si>
  <si>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</si>
  <si>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</si>
  <si>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</si>
  <si>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</si>
  <si>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</si>
  <si>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</si>
  <si>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</si>
  <si>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</si>
  <si>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</si>
  <si>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</si>
  <si>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</si>
  <si>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</si>
  <si>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</si>
  <si>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</si>
  <si>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</si>
  <si>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</si>
  <si>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</si>
  <si>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</si>
  <si>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</si>
  <si>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</si>
  <si>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</si>
  <si>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</si>
  <si>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</si>
  <si>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</si>
  <si>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</si>
  <si>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</si>
  <si>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</si>
  <si>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</si>
  <si>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</si>
  <si>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</si>
  <si>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</si>
  <si>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</si>
  <si>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</si>
  <si>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</si>
  <si>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</si>
  <si>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</si>
  <si>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</si>
  <si>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</si>
  <si>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</si>
  <si>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</si>
  <si>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</si>
  <si>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</si>
  <si>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</si>
  <si>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</si>
  <si>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</si>
  <si>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</si>
  <si>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</si>
  <si>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</si>
  <si>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</si>
  <si>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</si>
  <si>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</si>
  <si>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</si>
  <si>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</si>
  <si>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</si>
  <si>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</si>
  <si>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</si>
  <si>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</si>
  <si>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</si>
  <si>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</si>
  <si>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</si>
  <si>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</si>
  <si>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</si>
  <si>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</si>
  <si>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</si>
  <si>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</si>
  <si>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</si>
  <si>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</si>
  <si>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</si>
  <si>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</si>
  <si>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</si>
  <si>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</si>
  <si>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</si>
  <si>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</si>
  <si>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</si>
  <si>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</si>
  <si>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</si>
  <si>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</si>
  <si>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</si>
  <si>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</si>
  <si>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</si>
  <si>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</si>
  <si>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</si>
  <si>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</si>
  <si>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</si>
  <si>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</si>
  <si>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</si>
  <si>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</si>
  <si>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</si>
  <si>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</si>
  <si>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</si>
  <si>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</si>
  <si>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</si>
  <si>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</si>
  <si>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</si>
  <si>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</si>
  <si>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</si>
  <si>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</si>
  <si>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</si>
  <si>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</si>
  <si>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</si>
  <si>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</si>
  <si>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</si>
  <si>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</si>
  <si>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</si>
  <si>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</si>
  <si>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</si>
  <si>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</si>
  <si>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</si>
  <si>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</si>
  <si>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</si>
  <si>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</si>
  <si>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</si>
  <si>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</si>
  <si>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</si>
  <si>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</si>
  <si>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</si>
  <si>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</si>
  <si>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</si>
  <si>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</si>
  <si>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</si>
  <si>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</si>
  <si>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</si>
  <si>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</si>
  <si>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</si>
  <si>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</si>
  <si>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</si>
  <si>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</si>
  <si>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</si>
  <si>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</si>
  <si>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</si>
  <si>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</si>
  <si>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</si>
  <si>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</si>
  <si>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</si>
  <si>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</si>
  <si>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</si>
  <si>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</si>
  <si>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</si>
  <si>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</si>
  <si>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</si>
  <si>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</si>
  <si>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</si>
  <si>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</si>
  <si>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</si>
  <si>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</si>
  <si>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</si>
  <si>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</si>
  <si>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</si>
  <si>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</si>
  <si>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</si>
  <si>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</si>
  <si>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</si>
  <si>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</si>
  <si>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</si>
  <si>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</si>
  <si>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</si>
  <si>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</si>
  <si>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</si>
  <si>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</si>
  <si>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</si>
  <si>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</si>
  <si>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</si>
  <si>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</si>
  <si>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</si>
  <si>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</si>
  <si>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</si>
  <si>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</si>
  <si>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</si>
  <si>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</si>
  <si>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</si>
  <si>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</si>
  <si>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</si>
  <si>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</si>
  <si>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</si>
  <si>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</si>
  <si>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</si>
  <si>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</si>
  <si>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</si>
  <si>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</si>
  <si>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</si>
  <si>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</si>
  <si>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</si>
  <si>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</si>
  <si>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</si>
  <si>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</si>
  <si>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</si>
  <si>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</si>
  <si>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</si>
  <si>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</si>
  <si>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</si>
  <si>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</si>
  <si>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</si>
  <si>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</si>
  <si>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</si>
  <si>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</si>
  <si>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</si>
  <si>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</si>
  <si>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</si>
  <si>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</si>
  <si>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</si>
  <si>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</si>
  <si>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</si>
  <si>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</si>
  <si>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</si>
  <si>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</si>
  <si>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</si>
  <si>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</si>
  <si>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</si>
  <si>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</si>
  <si>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</si>
  <si>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</si>
  <si>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</si>
  <si>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</si>
  <si>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</si>
  <si>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</si>
  <si>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</si>
  <si>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</si>
  <si>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</si>
  <si>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</si>
  <si>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</si>
  <si>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</si>
  <si>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</si>
  <si>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</si>
  <si>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</si>
  <si>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</si>
  <si>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</si>
  <si>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</si>
  <si>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</si>
  <si>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</si>
  <si>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</si>
  <si>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</si>
  <si>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</si>
  <si>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</si>
  <si>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</si>
  <si>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</si>
  <si>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</si>
  <si>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</si>
  <si>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</si>
  <si>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</si>
  <si>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</si>
  <si>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</si>
  <si>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</si>
  <si>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</si>
  <si>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</si>
  <si>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</si>
  <si>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</si>
  <si>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</si>
  <si>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</si>
  <si>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</si>
  <si>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</si>
  <si>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</si>
  <si>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</si>
  <si>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</si>
  <si>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</si>
  <si>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</si>
  <si>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</si>
  <si>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</si>
  <si>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</si>
  <si>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</si>
  <si>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</si>
  <si>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</si>
  <si>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</si>
  <si>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</si>
  <si>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</si>
  <si>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</si>
  <si>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</si>
  <si>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</si>
  <si>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</si>
  <si>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</si>
  <si>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</si>
  <si>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</si>
  <si>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</si>
  <si>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</si>
  <si>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</si>
  <si>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</si>
  <si>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</si>
  <si>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</si>
  <si>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</si>
  <si>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</si>
  <si>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</si>
  <si>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</si>
  <si>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</si>
  <si>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</si>
  <si>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</si>
  <si>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</si>
  <si>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</si>
  <si>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</si>
  <si>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</si>
  <si>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</si>
  <si>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</si>
  <si>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</si>
  <si>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</si>
  <si>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</si>
  <si>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</si>
  <si>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</si>
  <si>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</si>
  <si>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</si>
  <si>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</si>
  <si>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</si>
  <si>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</si>
  <si>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</si>
  <si>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</si>
  <si>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</si>
  <si>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</si>
  <si>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</si>
  <si>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</si>
  <si>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</si>
  <si>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</si>
  <si>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</si>
  <si>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</si>
  <si>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</si>
  <si>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</si>
  <si>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</si>
  <si>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</si>
  <si>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</si>
  <si>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</si>
  <si>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</si>
  <si>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</si>
  <si>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</si>
  <si>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</si>
  <si>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</si>
  <si>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</si>
  <si>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</si>
  <si>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</si>
  <si>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</si>
  <si>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</si>
  <si>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</si>
  <si>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</si>
  <si>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</si>
  <si>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</si>
  <si>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</si>
  <si>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</si>
  <si>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</si>
  <si>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</si>
  <si>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</si>
  <si>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</si>
  <si>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</si>
  <si>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</si>
  <si>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</si>
  <si>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</si>
  <si>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</si>
  <si>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</si>
  <si>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</si>
  <si>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</si>
  <si>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</si>
  <si>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</si>
  <si>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</si>
  <si>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</si>
  <si>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</si>
  <si>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</si>
  <si>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</si>
  <si>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</si>
  <si>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</si>
  <si>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</si>
  <si>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</si>
  <si>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</si>
  <si>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</si>
  <si>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</si>
  <si>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</si>
  <si>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</si>
  <si>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</si>
  <si>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</si>
  <si>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</si>
  <si>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</si>
  <si>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</si>
  <si>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</si>
  <si>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</si>
  <si>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</si>
  <si>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</si>
  <si>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</si>
  <si>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</si>
  <si>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</si>
  <si>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</si>
  <si>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</si>
  <si>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</si>
  <si>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</si>
  <si>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</si>
  <si>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</si>
  <si>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</si>
  <si>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</si>
  <si>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</si>
  <si>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</si>
  <si>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</si>
  <si>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</si>
  <si>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</si>
  <si>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</si>
  <si>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</si>
  <si>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</si>
  <si>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</si>
  <si>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</si>
  <si>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</si>
  <si>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</si>
  <si>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</si>
  <si>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</si>
  <si>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</si>
  <si>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</si>
  <si>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</si>
  <si>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</si>
  <si>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</si>
  <si>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</si>
  <si>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</si>
  <si>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</si>
  <si>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</si>
  <si>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</si>
  <si>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</si>
  <si>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</si>
  <si>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</si>
  <si>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</si>
  <si>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</si>
  <si>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</si>
  <si>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</si>
  <si>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</si>
  <si>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</si>
  <si>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</si>
  <si>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</si>
  <si>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</si>
  <si>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</si>
  <si>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</si>
  <si>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</si>
  <si>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</si>
  <si>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</si>
  <si>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</si>
  <si>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</si>
  <si>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</si>
  <si>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</si>
  <si>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</si>
  <si>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</si>
  <si>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</si>
  <si>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</si>
  <si>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</si>
  <si>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</si>
  <si>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</si>
  <si>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</si>
  <si>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</si>
  <si>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</si>
  <si>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</si>
  <si>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</si>
  <si>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</si>
  <si>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</si>
  <si>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</si>
  <si>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</si>
  <si>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</si>
  <si>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</si>
  <si>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</si>
  <si>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</si>
  <si>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</si>
  <si>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</si>
  <si>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</si>
  <si>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</si>
  <si>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</si>
  <si>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</si>
  <si>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</si>
  <si>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</si>
  <si>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</si>
  <si>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</si>
  <si>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</si>
  <si>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</si>
  <si>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</si>
  <si>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</si>
  <si>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</si>
  <si>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</si>
  <si>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</si>
  <si>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</si>
  <si>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</si>
  <si>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</si>
  <si>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</si>
  <si>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</si>
  <si>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</si>
  <si>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</si>
  <si>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</si>
  <si>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</si>
  <si>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</si>
  <si>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</si>
  <si>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</si>
  <si>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</si>
  <si>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</si>
  <si>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</si>
  <si>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</si>
  <si>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</si>
  <si>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</si>
  <si>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</si>
  <si>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</si>
  <si>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</si>
  <si>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</si>
  <si>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</si>
  <si>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</si>
  <si>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</si>
  <si>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</si>
  <si>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</si>
  <si>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</si>
  <si>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</si>
  <si>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</si>
  <si>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</si>
  <si>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</si>
  <si>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</si>
  <si>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</si>
  <si>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</si>
  <si>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</si>
  <si>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</si>
  <si>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</si>
  <si>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</si>
  <si>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</si>
  <si>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</si>
  <si>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</si>
  <si>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</si>
  <si>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</si>
  <si>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</si>
  <si>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</si>
  <si>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</si>
  <si>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</si>
  <si>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</si>
  <si>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</si>
  <si>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</si>
  <si>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</si>
  <si>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</si>
  <si>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</si>
  <si>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</si>
  <si>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</si>
  <si>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</si>
  <si>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</si>
  <si>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</si>
  <si>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</si>
  <si>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</si>
  <si>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</si>
  <si>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</si>
  <si>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</si>
  <si>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</si>
  <si>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</si>
  <si>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</si>
  <si>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</si>
  <si>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</si>
  <si>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</si>
  <si>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</si>
  <si>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</si>
  <si>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</si>
  <si>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</si>
  <si>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</si>
  <si>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</si>
  <si>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</si>
  <si>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</si>
  <si>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</si>
  <si>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</si>
  <si>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</si>
  <si>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</si>
  <si>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</si>
  <si>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</si>
  <si>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</si>
  <si>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</si>
  <si>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</si>
  <si>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</si>
  <si>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</si>
  <si>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</si>
  <si>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</si>
  <si>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</si>
  <si>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</si>
  <si>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</si>
  <si>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</si>
  <si>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</si>
  <si>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</si>
  <si>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</si>
  <si>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</si>
  <si>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</si>
  <si>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</si>
  <si>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</si>
  <si>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</si>
  <si>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</si>
  <si>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</si>
  <si>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</si>
  <si>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</si>
  <si>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</si>
  <si>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</si>
  <si>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</si>
  <si>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</si>
  <si>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</si>
  <si>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</si>
  <si>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</si>
  <si>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</si>
  <si>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</si>
  <si>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</si>
  <si>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</si>
  <si>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</si>
  <si>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</si>
  <si>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</si>
  <si>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</si>
  <si>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</si>
  <si>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</si>
  <si>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</si>
  <si>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</si>
  <si>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</si>
  <si>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</si>
  <si>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</si>
  <si>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</si>
  <si>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</si>
  <si>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</si>
  <si>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</si>
  <si>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</si>
  <si>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</si>
  <si>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</si>
  <si>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</si>
  <si>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</si>
  <si>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</si>
  <si>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</si>
  <si>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</si>
  <si>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</si>
  <si>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</si>
  <si>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</si>
  <si>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</si>
  <si>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</si>
  <si>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</si>
  <si>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</si>
  <si>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</si>
  <si>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</si>
  <si>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</si>
  <si>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</si>
  <si>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</si>
  <si>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</si>
  <si>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</si>
  <si>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</si>
  <si>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</si>
  <si>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</si>
  <si>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</si>
  <si>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</si>
  <si>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</si>
  <si>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</si>
  <si>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</si>
  <si>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</si>
  <si>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</si>
  <si>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</si>
  <si>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</si>
  <si>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</si>
  <si>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</si>
  <si>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</si>
  <si>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</si>
  <si>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</si>
  <si>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</si>
  <si>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</si>
  <si>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</si>
  <si>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</si>
  <si>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</si>
  <si>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</si>
  <si>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</si>
  <si>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</si>
  <si>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</si>
  <si>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</si>
  <si>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</si>
  <si>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</si>
  <si>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</si>
  <si>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</si>
  <si>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</si>
  <si>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</si>
  <si>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</si>
  <si>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</si>
  <si>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</si>
  <si>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</si>
  <si>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</si>
  <si>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</si>
  <si>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</si>
  <si>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</si>
  <si>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</si>
  <si>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</si>
  <si>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</si>
  <si>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</si>
  <si>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</si>
  <si>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</si>
  <si>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</si>
  <si>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</si>
  <si>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</si>
  <si>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</si>
  <si>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</si>
  <si>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</si>
  <si>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</si>
  <si>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</si>
  <si>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</si>
  <si>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</si>
  <si>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</si>
  <si>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</si>
  <si>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</si>
  <si>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</si>
  <si>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</si>
  <si>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</si>
  <si>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</si>
  <si>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</si>
  <si>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</si>
  <si>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</si>
  <si>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</si>
  <si>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</si>
  <si>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</si>
  <si>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</si>
  <si>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</si>
  <si>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</si>
  <si>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</si>
  <si>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</si>
  <si>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</si>
  <si>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</si>
  <si>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</si>
  <si>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</si>
  <si>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</si>
  <si>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</si>
  <si>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</si>
  <si>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</si>
  <si>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</si>
  <si>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</si>
  <si>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</si>
  <si>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</si>
  <si>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</si>
  <si>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</si>
  <si>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</si>
  <si>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</si>
  <si>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</si>
  <si>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</si>
  <si>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</si>
  <si>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</si>
  <si>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</si>
  <si>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</si>
  <si>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</si>
  <si>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</si>
  <si>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</si>
  <si>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</si>
  <si>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</si>
  <si>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</si>
  <si>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</si>
  <si>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</si>
  <si>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</si>
  <si>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</si>
  <si>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</si>
  <si>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</si>
  <si>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</si>
  <si>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</si>
  <si>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</si>
  <si>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</si>
  <si>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</si>
  <si>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</si>
  <si>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</si>
  <si>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</si>
  <si>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</si>
  <si>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</si>
  <si>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</si>
  <si>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</si>
  <si>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</si>
  <si>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</si>
  <si>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</si>
  <si>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</si>
  <si>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</si>
  <si>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</si>
  <si>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</si>
  <si>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</si>
  <si>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</si>
  <si>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</si>
  <si>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</si>
  <si>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</si>
  <si>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</si>
  <si>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</si>
  <si>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</si>
  <si>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</si>
  <si>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</si>
  <si>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</si>
  <si>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</si>
  <si>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</si>
  <si>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</si>
  <si>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</si>
  <si>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</si>
  <si>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</si>
  <si>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</si>
  <si>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</si>
  <si>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</si>
  <si>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</si>
  <si>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</si>
  <si>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</si>
  <si>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</si>
  <si>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</si>
  <si>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</si>
  <si>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</si>
  <si>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</si>
  <si>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</si>
  <si>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</si>
  <si>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</si>
  <si>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</si>
  <si>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</si>
  <si>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</si>
  <si>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</si>
  <si>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</si>
  <si>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</si>
  <si>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</si>
  <si>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</si>
  <si>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</si>
  <si>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</si>
  <si>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</si>
  <si>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</si>
  <si>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</si>
  <si>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</si>
  <si>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</si>
  <si>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</si>
  <si>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</si>
  <si>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</si>
  <si>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</si>
  <si>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</si>
  <si>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</si>
  <si>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</si>
  <si>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</si>
  <si>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</si>
  <si>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</si>
  <si>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</si>
  <si>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</si>
  <si>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</si>
  <si>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</si>
  <si>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</si>
  <si>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</si>
  <si>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</si>
  <si>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</si>
  <si>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</si>
  <si>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</si>
  <si>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</si>
  <si>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</si>
  <si>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</si>
  <si>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</si>
  <si>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</si>
  <si>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</si>
  <si>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</si>
  <si>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</si>
  <si>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</si>
  <si>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</si>
  <si>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</si>
  <si>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</si>
  <si>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</si>
  <si>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</si>
  <si>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</si>
  <si>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</si>
  <si>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</si>
  <si>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</si>
  <si>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</si>
  <si>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</si>
  <si>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</si>
  <si>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</si>
  <si>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</si>
  <si>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</si>
  <si>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</si>
  <si>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</si>
  <si>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</si>
  <si>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</si>
  <si>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</si>
  <si>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</si>
  <si>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</si>
  <si>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</si>
  <si>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</si>
  <si>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</si>
  <si>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</si>
  <si>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</si>
  <si>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</si>
  <si>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</si>
  <si>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</si>
  <si>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</si>
  <si>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</si>
  <si>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</si>
  <si>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</si>
  <si>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</si>
  <si>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</si>
  <si>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</si>
  <si>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</si>
  <si>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</si>
  <si>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</si>
  <si>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</si>
  <si>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</si>
  <si>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</si>
  <si>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</si>
  <si>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</si>
  <si>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</si>
  <si>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</si>
  <si>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</si>
  <si>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</si>
  <si>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</si>
  <si>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</si>
  <si>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</si>
  <si>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</si>
  <si>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</si>
  <si>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</si>
  <si>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</si>
  <si>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</si>
  <si>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</si>
  <si>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</si>
  <si>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</si>
  <si>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</si>
  <si>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</si>
  <si>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</si>
  <si>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</si>
  <si>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</si>
  <si>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</si>
  <si>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</si>
  <si>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</si>
  <si>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</si>
  <si>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</si>
  <si>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</si>
  <si>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</si>
  <si>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</si>
  <si>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</si>
  <si>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</si>
  <si>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</si>
  <si>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</si>
  <si>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</si>
  <si>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</si>
  <si>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</si>
  <si>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</si>
  <si>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</si>
  <si>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</si>
  <si>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</si>
  <si>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</si>
  <si>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</si>
  <si>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</si>
  <si>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</si>
  <si>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</si>
  <si>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</si>
  <si>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</si>
  <si>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</si>
  <si>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</si>
  <si>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</si>
  <si>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</si>
  <si>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</si>
  <si>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</si>
  <si>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</si>
  <si>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</si>
  <si>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</si>
  <si>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</si>
  <si>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</si>
  <si>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</si>
  <si>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</si>
  <si>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</si>
  <si>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</si>
  <si>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</si>
  <si>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</si>
  <si>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</si>
  <si>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</si>
  <si>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</si>
  <si>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</si>
  <si>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</si>
  <si>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</si>
  <si>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</si>
  <si>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</si>
  <si>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</si>
  <si>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</si>
  <si>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</si>
  <si>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</si>
  <si>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</si>
  <si>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</si>
  <si>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</si>
  <si>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</si>
  <si>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</si>
  <si>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</si>
  <si>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</si>
  <si>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</si>
  <si>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</si>
  <si>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</si>
  <si>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</si>
  <si>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</si>
  <si>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</si>
  <si>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</si>
  <si>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</si>
  <si>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</si>
  <si>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</si>
  <si>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</si>
  <si>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</si>
  <si>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</si>
  <si>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</si>
  <si>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</si>
  <si>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</si>
  <si>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</si>
  <si>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</si>
  <si>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</si>
  <si>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</si>
  <si>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</si>
  <si>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</si>
  <si>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</si>
  <si>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</si>
  <si>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</si>
  <si>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</si>
  <si>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</si>
  <si>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</si>
  <si>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</si>
  <si>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</si>
  <si>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</si>
  <si>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</si>
  <si>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</si>
  <si>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</si>
  <si>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</si>
  <si>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</si>
  <si>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</si>
  <si>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</si>
  <si>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</si>
  <si>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</si>
  <si>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</si>
  <si>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</si>
  <si>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</si>
  <si>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</si>
  <si>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</si>
  <si>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</si>
  <si>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</si>
  <si>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</si>
  <si>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</si>
  <si>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</si>
  <si>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</si>
  <si>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</si>
  <si>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</si>
  <si>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</si>
  <si>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</si>
  <si>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</si>
  <si>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</si>
  <si>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</si>
  <si>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</si>
  <si>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</si>
  <si>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</si>
  <si>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</si>
  <si>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</si>
  <si>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</si>
  <si>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</si>
  <si>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</si>
  <si>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</si>
  <si>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</si>
  <si>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</si>
  <si>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</si>
  <si>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</si>
  <si>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</si>
  <si>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</si>
  <si>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</si>
  <si>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</si>
  <si>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</si>
  <si>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</si>
  <si>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</si>
  <si>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</si>
  <si>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</si>
  <si>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</si>
  <si>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</si>
  <si>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</si>
  <si>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</si>
  <si>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</si>
  <si>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</si>
  <si>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</si>
  <si>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</si>
  <si>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</si>
  <si>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</si>
  <si>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</si>
  <si>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</si>
  <si>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</si>
  <si>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</si>
  <si>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</si>
  <si>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</si>
  <si>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</si>
  <si>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</si>
  <si>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</si>
  <si>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</si>
  <si>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</si>
  <si>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</si>
  <si>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</si>
  <si>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</si>
  <si>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</si>
  <si>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</si>
  <si>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</si>
  <si>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</si>
  <si>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</si>
  <si>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</si>
  <si>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</si>
  <si>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</si>
  <si>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</si>
  <si>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</si>
  <si>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</si>
  <si>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</si>
  <si>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</si>
  <si>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</si>
  <si>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</si>
  <si>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</si>
  <si>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</si>
  <si>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</si>
  <si>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</si>
  <si>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</si>
  <si>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</si>
  <si>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</si>
  <si>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</si>
  <si>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</si>
  <si>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</si>
  <si>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</si>
  <si>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</si>
  <si>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</si>
  <si>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</si>
  <si>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</si>
  <si>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</si>
  <si>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</si>
  <si>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</si>
  <si>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</si>
  <si>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</si>
  <si>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</si>
  <si>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</si>
  <si>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</si>
  <si>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</si>
  <si>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</si>
  <si>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</si>
  <si>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</si>
  <si>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</si>
  <si>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</si>
  <si>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</si>
  <si>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</si>
  <si>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</si>
  <si>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</si>
  <si>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</si>
  <si>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</si>
  <si>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</si>
  <si>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</si>
  <si>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</si>
  <si>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</si>
  <si>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</si>
  <si>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</si>
  <si>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</si>
  <si>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</si>
  <si>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</si>
  <si>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</si>
  <si>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</si>
  <si>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</si>
  <si>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</si>
  <si>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</si>
  <si>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</si>
  <si>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</si>
  <si>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</si>
  <si>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</si>
  <si>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</si>
  <si>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</si>
  <si>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</si>
  <si>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</si>
  <si>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</si>
  <si>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</si>
  <si>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</si>
  <si>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</si>
  <si>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</si>
  <si>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</si>
  <si>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</si>
  <si>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</si>
  <si>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</si>
  <si>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</si>
  <si>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</si>
  <si>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</si>
  <si>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</si>
  <si>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</si>
  <si>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</si>
  <si>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</si>
  <si>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</si>
  <si>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</si>
  <si>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</si>
  <si>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</si>
  <si>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</si>
  <si>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</si>
  <si>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</si>
  <si>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</si>
  <si>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</si>
  <si>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</si>
  <si>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</si>
  <si>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</si>
  <si>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</si>
  <si>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</si>
  <si>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</si>
  <si>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</si>
  <si>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</si>
  <si>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</si>
  <si>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</si>
  <si>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</si>
  <si>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</si>
  <si>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</si>
  <si>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</si>
  <si>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</si>
  <si>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</si>
  <si>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</si>
  <si>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</si>
  <si>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</si>
  <si>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</si>
  <si>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</si>
  <si>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</si>
  <si>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</si>
  <si>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</si>
  <si>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</si>
  <si>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</si>
  <si>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</si>
  <si>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</si>
  <si>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</si>
  <si>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</si>
  <si>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</si>
  <si>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</si>
  <si>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</si>
  <si>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</si>
  <si>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</si>
  <si>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</si>
  <si>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</si>
  <si>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</si>
  <si>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</si>
  <si>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</si>
  <si>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</si>
  <si>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</si>
  <si>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</si>
  <si>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</si>
  <si>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</si>
  <si>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</si>
  <si>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</si>
  <si>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</si>
  <si>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</si>
  <si>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</si>
  <si>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</si>
  <si>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</si>
  <si>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</si>
  <si>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</si>
  <si>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</si>
  <si>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</si>
  <si>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</si>
  <si>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</si>
  <si>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</si>
  <si>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</si>
  <si>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</si>
  <si>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</si>
  <si>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</si>
  <si>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</si>
  <si>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</si>
  <si>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</si>
  <si>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</si>
  <si>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</si>
  <si>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</si>
  <si>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</si>
  <si>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</si>
  <si>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</si>
  <si>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</si>
  <si>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</si>
  <si>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</si>
  <si>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</si>
  <si>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</si>
  <si>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</si>
  <si>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</si>
  <si>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</si>
  <si>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</si>
  <si>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</si>
  <si>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</si>
  <si>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</si>
  <si>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</si>
  <si>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</si>
  <si>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</si>
  <si>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</si>
  <si>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</si>
  <si>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</si>
  <si>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</si>
  <si>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</si>
  <si>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</si>
  <si>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</si>
  <si>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</si>
  <si>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</si>
  <si>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</si>
  <si>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</si>
  <si>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</si>
  <si>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</si>
  <si>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</si>
  <si>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</si>
  <si>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</si>
  <si>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</si>
  <si>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</si>
  <si>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</si>
  <si>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</si>
  <si>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</si>
  <si>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</si>
  <si>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</si>
  <si>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</si>
  <si>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</si>
  <si>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</si>
  <si>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</si>
  <si>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</si>
  <si>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</si>
  <si>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</si>
  <si>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</si>
  <si>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</si>
  <si>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</si>
  <si>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</si>
  <si>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</si>
  <si>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</si>
  <si>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</si>
  <si>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</si>
  <si>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</si>
  <si>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</si>
  <si>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</si>
  <si>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</si>
  <si>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</si>
  <si>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</si>
  <si>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</si>
  <si>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</si>
  <si>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</si>
  <si>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</si>
  <si>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</si>
  <si>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</si>
  <si>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</si>
  <si>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</si>
  <si>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</si>
  <si>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</si>
  <si>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</si>
  <si>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</si>
  <si>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</si>
  <si>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</si>
  <si>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</si>
  <si>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</si>
  <si>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</si>
  <si>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</si>
  <si>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</si>
  <si>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</si>
  <si>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</si>
  <si>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</si>
  <si>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</si>
  <si>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</si>
  <si>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</si>
  <si>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</si>
  <si>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</si>
  <si>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</si>
  <si>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</si>
  <si>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</si>
  <si>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</si>
  <si>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</si>
  <si>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</si>
  <si>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</si>
  <si>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</si>
  <si>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</si>
  <si>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</si>
  <si>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</si>
  <si>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</si>
  <si>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</si>
  <si>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</si>
  <si>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</si>
  <si>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</si>
  <si>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</si>
  <si>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</si>
  <si>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</si>
  <si>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</si>
  <si>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</si>
  <si>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</si>
  <si>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</si>
  <si>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</si>
  <si>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</si>
  <si>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</si>
  <si>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</si>
  <si>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</si>
  <si>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</si>
  <si>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</si>
  <si>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</si>
  <si>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</si>
  <si>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</si>
  <si>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</si>
  <si>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</si>
  <si>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</si>
  <si>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</si>
  <si>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</si>
  <si>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</si>
  <si>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</si>
  <si>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</si>
  <si>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</si>
  <si>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</si>
  <si>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</si>
  <si>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</si>
  <si>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</si>
  <si>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</si>
  <si>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</si>
  <si>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</si>
  <si>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</si>
  <si>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</si>
  <si>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</si>
  <si>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</si>
  <si>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</si>
  <si>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</si>
  <si>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</si>
  <si>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</si>
  <si>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</si>
  <si>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</si>
  <si>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</si>
  <si>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</si>
  <si>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</si>
  <si>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</si>
  <si>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</si>
  <si>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</si>
  <si>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</si>
  <si>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</si>
  <si>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</si>
  <si>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</si>
  <si>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</si>
  <si>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</si>
  <si>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</si>
  <si>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</si>
  <si>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</si>
  <si>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</si>
  <si>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</si>
  <si>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</si>
  <si>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</si>
  <si>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</si>
  <si>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</si>
  <si>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</si>
  <si>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</si>
  <si>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</si>
  <si>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</si>
  <si>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</si>
  <si>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</si>
  <si>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</si>
  <si>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</si>
  <si>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</si>
  <si>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</si>
  <si>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</si>
  <si>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</si>
  <si>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</si>
  <si>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</si>
  <si>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</si>
  <si>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</si>
  <si>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</si>
  <si>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</si>
  <si>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</si>
  <si>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</si>
  <si>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</si>
  <si>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</si>
  <si>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</si>
  <si>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</si>
  <si>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</si>
  <si>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</si>
  <si>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</si>
  <si>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</si>
  <si>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</si>
  <si>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</si>
  <si>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</si>
  <si>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</si>
  <si>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</si>
  <si>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</si>
  <si>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</si>
  <si>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</si>
  <si>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</si>
  <si>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</si>
  <si>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</si>
  <si>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</si>
  <si>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</si>
  <si>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</si>
  <si>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</si>
  <si>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</si>
  <si>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</si>
  <si>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</si>
  <si>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</si>
  <si>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</si>
  <si>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</si>
  <si>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</si>
  <si>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</si>
  <si>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</si>
  <si>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</si>
  <si>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</si>
  <si>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</si>
  <si>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</si>
  <si>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</si>
  <si>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</si>
  <si>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</si>
  <si>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</si>
  <si>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</si>
  <si>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</si>
  <si>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</si>
  <si>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</si>
  <si>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</si>
  <si>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</si>
  <si>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</si>
  <si>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</si>
  <si>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</si>
  <si>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</si>
  <si>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</si>
  <si>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</si>
  <si>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</si>
  <si>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</si>
  <si>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</si>
  <si>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</si>
  <si>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</si>
  <si>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</si>
  <si>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</si>
  <si>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</si>
  <si>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</si>
  <si>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</si>
  <si>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</si>
  <si>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</si>
  <si>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</si>
  <si>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</si>
  <si>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</si>
  <si>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</si>
  <si>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</si>
  <si>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</si>
  <si>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</si>
  <si>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</si>
  <si>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</si>
  <si>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</si>
  <si>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</si>
  <si>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</si>
  <si>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</si>
  <si>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</si>
  <si>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</si>
  <si>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</si>
  <si>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</si>
  <si>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</si>
  <si>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</si>
  <si>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</si>
  <si>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</si>
  <si>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</si>
  <si>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</si>
  <si>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</si>
  <si>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</si>
  <si>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</si>
  <si>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</si>
  <si>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</si>
  <si>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</si>
  <si>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</si>
  <si>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</si>
  <si>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</si>
  <si>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</si>
  <si>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</si>
  <si>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</si>
  <si>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</si>
  <si>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</si>
  <si>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</si>
  <si>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</si>
  <si>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</si>
  <si>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</si>
  <si>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</si>
  <si>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</si>
  <si>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</si>
  <si>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</si>
  <si>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</si>
  <si>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</si>
  <si>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</si>
  <si>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</si>
  <si>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</si>
  <si>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</si>
  <si>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</si>
  <si>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</si>
  <si>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</si>
  <si>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</si>
  <si>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</si>
  <si>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</si>
  <si>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</si>
  <si>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</si>
  <si>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</si>
  <si>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</si>
  <si>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</si>
  <si>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</si>
  <si>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</si>
  <si>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</si>
  <si>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</si>
  <si>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</si>
  <si>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</si>
  <si>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</si>
  <si>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</si>
  <si>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</si>
  <si>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</si>
  <si>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</si>
  <si>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</si>
  <si>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</si>
  <si>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</si>
  <si>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</si>
  <si>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</si>
  <si>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</si>
  <si>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</si>
  <si>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</si>
  <si>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</si>
  <si>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</si>
  <si>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</si>
  <si>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</si>
  <si>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</si>
  <si>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</si>
  <si>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</si>
  <si>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</si>
  <si>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</si>
  <si>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</si>
  <si>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</si>
  <si>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</si>
  <si>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</si>
  <si>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</si>
  <si>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</si>
  <si>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</si>
  <si>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</si>
  <si>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</si>
  <si>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</si>
  <si>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</si>
  <si>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</si>
  <si>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</si>
  <si>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</si>
  <si>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</si>
  <si>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</si>
  <si>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</si>
  <si>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</si>
  <si>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</si>
  <si>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</si>
  <si>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</si>
  <si>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</si>
  <si>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</si>
  <si>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</si>
  <si>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</si>
  <si>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</si>
  <si>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</si>
  <si>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</si>
  <si>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</si>
  <si>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</si>
  <si>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</si>
  <si>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</si>
  <si>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</si>
  <si>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</si>
  <si>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</si>
  <si>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</si>
  <si>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</si>
  <si>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</si>
  <si>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</si>
  <si>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</si>
  <si>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</si>
  <si>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</si>
  <si>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</si>
  <si>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</si>
  <si>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</si>
  <si>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</si>
  <si>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</si>
  <si>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</si>
  <si>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</si>
  <si>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</si>
  <si>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</si>
  <si>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</si>
  <si>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</si>
  <si>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</si>
  <si>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</si>
  <si>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</si>
  <si>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</si>
  <si>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</si>
  <si>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</si>
  <si>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</si>
  <si>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</si>
  <si>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</si>
  <si>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</si>
  <si>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</si>
  <si>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</si>
  <si>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</si>
  <si>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</si>
  <si>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</si>
  <si>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</si>
  <si>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</si>
  <si>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</si>
  <si>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</si>
  <si>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</si>
  <si>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</si>
  <si>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</si>
  <si>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</si>
  <si>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</si>
  <si>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</si>
  <si>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</si>
  <si>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</si>
  <si>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</si>
  <si>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</si>
  <si>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</si>
  <si>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</si>
  <si>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</si>
  <si>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</si>
  <si>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</si>
  <si>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</si>
  <si>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</si>
  <si>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</si>
  <si>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</si>
  <si>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</si>
  <si>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</si>
  <si>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</si>
  <si>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</si>
  <si>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</si>
  <si>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</si>
  <si>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</si>
  <si>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</si>
  <si>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</si>
  <si>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</si>
  <si>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</si>
  <si>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</si>
  <si>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</si>
  <si>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</si>
  <si>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</si>
  <si>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</si>
  <si>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</si>
  <si>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</si>
  <si>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</si>
  <si>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</si>
  <si>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</si>
  <si>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</si>
  <si>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</si>
  <si>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</si>
  <si>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</si>
  <si>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</si>
  <si>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</si>
  <si>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</si>
  <si>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</si>
  <si>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</si>
  <si>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</si>
  <si>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</si>
  <si>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</si>
  <si>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</si>
  <si>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</si>
  <si>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</si>
  <si>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</si>
  <si>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</si>
  <si>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</si>
  <si>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</si>
  <si>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</si>
  <si>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</si>
  <si>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</si>
  <si>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</si>
  <si>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</si>
  <si>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</si>
  <si>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</si>
  <si>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</si>
  <si>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</si>
  <si>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</si>
  <si>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</si>
  <si>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</si>
  <si>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</si>
  <si>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</si>
  <si>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</si>
  <si>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</si>
  <si>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</si>
  <si>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</si>
  <si>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</si>
  <si>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</si>
  <si>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</si>
  <si>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</si>
  <si>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</si>
  <si>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</si>
  <si>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</si>
  <si>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</si>
  <si>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</si>
  <si>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</si>
  <si>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</si>
  <si>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</si>
  <si>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</si>
  <si>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</si>
  <si>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</si>
  <si>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</si>
  <si>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</si>
  <si>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</si>
  <si>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</si>
  <si>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</si>
  <si>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</si>
  <si>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</si>
  <si>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</si>
  <si>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</si>
  <si>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</si>
  <si>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</si>
  <si>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</si>
  <si>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</si>
  <si>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</si>
  <si>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</si>
  <si>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</si>
  <si>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</si>
  <si>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</si>
  <si>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</si>
  <si>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</si>
  <si>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</si>
  <si>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</si>
  <si>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</si>
  <si>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</si>
  <si>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</si>
  <si>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</si>
  <si>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</si>
  <si>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</si>
  <si>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</si>
  <si>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</si>
  <si>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</si>
  <si>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</si>
  <si>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</si>
  <si>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</si>
  <si>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</si>
  <si>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</si>
  <si>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</si>
  <si>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</si>
  <si>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</si>
  <si>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</si>
  <si>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</si>
  <si>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</si>
  <si>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</si>
  <si>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</si>
  <si>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</si>
  <si>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</si>
  <si>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</si>
  <si>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</si>
  <si>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</si>
  <si>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</si>
  <si>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</si>
  <si>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</si>
  <si>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</si>
  <si>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</si>
  <si>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</si>
  <si>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</si>
  <si>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</si>
  <si>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</si>
  <si>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</si>
  <si>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</si>
  <si>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</si>
  <si>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</si>
  <si>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</si>
  <si>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</si>
  <si>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</si>
  <si>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</si>
  <si>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</si>
  <si>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</si>
  <si>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</si>
  <si>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</si>
  <si>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</si>
  <si>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</si>
  <si>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</si>
  <si>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</si>
  <si>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</si>
  <si>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</si>
  <si>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</si>
  <si>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</si>
  <si>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</si>
  <si>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</si>
  <si>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</si>
  <si>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</si>
  <si>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</si>
  <si>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</si>
  <si>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</si>
  <si>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</si>
  <si>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</si>
  <si>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</si>
  <si>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</si>
  <si>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</si>
  <si>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</si>
  <si>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</si>
  <si>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</si>
  <si>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</si>
  <si>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</si>
  <si>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</si>
  <si>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</si>
  <si>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</si>
  <si>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</si>
  <si>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</si>
  <si>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</si>
  <si>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</si>
  <si>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</si>
  <si>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</si>
  <si>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</si>
  <si>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</si>
  <si>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</si>
  <si>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</si>
  <si>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</si>
  <si>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</si>
  <si>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</si>
  <si>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</si>
  <si>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</si>
  <si>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</si>
  <si>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</si>
  <si>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</si>
  <si>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</si>
  <si>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</si>
  <si>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</si>
  <si>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</si>
  <si>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</si>
  <si>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</si>
  <si>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</si>
  <si>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</si>
  <si>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</si>
  <si>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</si>
  <si>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</si>
  <si>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</si>
  <si>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</si>
  <si>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</si>
  <si>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</si>
  <si>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</si>
  <si>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</si>
  <si>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</si>
  <si>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</si>
  <si>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</si>
  <si>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</si>
  <si>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</si>
  <si>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</si>
  <si>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</si>
  <si>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</si>
  <si>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</si>
  <si>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</si>
  <si>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</si>
  <si>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</si>
  <si>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</si>
  <si>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</si>
  <si>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</si>
  <si>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</si>
  <si>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</si>
  <si>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</si>
  <si>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</si>
  <si>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</si>
  <si>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</si>
  <si>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</si>
  <si>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</si>
  <si>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</si>
  <si>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</si>
  <si>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</si>
  <si>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</si>
  <si>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</si>
  <si>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</si>
  <si>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</si>
  <si>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</si>
  <si>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</si>
  <si>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</si>
  <si>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</si>
  <si>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</si>
  <si>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</si>
  <si>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</si>
  <si>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</si>
  <si>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</si>
  <si>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</si>
  <si>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</si>
  <si>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</si>
  <si>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</si>
  <si>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</si>
  <si>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</si>
  <si>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</si>
  <si>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</si>
  <si>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</si>
  <si>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</si>
  <si>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</si>
  <si>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</si>
  <si>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</si>
  <si>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中国工商银行股份有限公司北京地安门支行</t>
    <phoneticPr fontId="6" type="noConversion"/>
  </si>
  <si>
    <t>抵押</t>
  </si>
  <si>
    <t>房地产抵押价值</t>
  </si>
  <si>
    <t>北京市</t>
  </si>
  <si>
    <t>企业</t>
  </si>
  <si>
    <t>出让</t>
  </si>
  <si>
    <t>商业</t>
    <phoneticPr fontId="6" type="noConversion"/>
  </si>
  <si>
    <t>是</t>
  </si>
  <si>
    <t>商业项目</t>
  </si>
  <si>
    <t>现房</t>
  </si>
  <si>
    <t>通路</t>
  </si>
  <si>
    <t>通电</t>
  </si>
  <si>
    <t>通讯</t>
  </si>
  <si>
    <t>通上水</t>
  </si>
  <si>
    <t>通下水</t>
  </si>
  <si>
    <t>通热</t>
  </si>
  <si>
    <t>燃气</t>
  </si>
  <si>
    <t>房屋所有权证</t>
    <phoneticPr fontId="3" type="noConversion"/>
  </si>
  <si>
    <t>地上</t>
  </si>
  <si>
    <t>商业街</t>
  </si>
  <si>
    <t>商业</t>
    <phoneticPr fontId="7" type="noConversion"/>
  </si>
  <si>
    <t>无</t>
  </si>
  <si>
    <t>五通一平</t>
  </si>
  <si>
    <t>缺少</t>
  </si>
  <si>
    <t>全部缴纳</t>
  </si>
  <si>
    <t>已包含在土地取得成本中</t>
  </si>
  <si>
    <t>成本法</t>
  </si>
  <si>
    <t>押一</t>
  </si>
  <si>
    <t>砖混</t>
  </si>
  <si>
    <t>非生产用房</t>
  </si>
  <si>
    <t>收益法</t>
  </si>
  <si>
    <t>项目全部</t>
  </si>
  <si>
    <t>北京万方达隆物业管理有限公司</t>
    <phoneticPr fontId="6" type="noConversion"/>
  </si>
  <si>
    <t>西城区鼓楼西大街207号</t>
    <phoneticPr fontId="6" type="noConversion"/>
  </si>
  <si>
    <t>商业28.97年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</si>
  <si>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京西国用（</t>
    </r>
    <r>
      <rPr>
        <sz val="12"/>
        <color theme="9" tint="-0.249977111117893"/>
        <rFont val="Arial"/>
        <family val="2"/>
      </rPr>
      <t>2007</t>
    </r>
    <r>
      <rPr>
        <sz val="12"/>
        <color theme="9" tint="-0.249977111117893"/>
        <rFont val="宋体"/>
        <family val="3"/>
        <charset val="134"/>
      </rPr>
      <t>出）第</t>
    </r>
    <r>
      <rPr>
        <sz val="12"/>
        <color theme="9" tint="-0.249977111117893"/>
        <rFont val="Arial"/>
        <family val="2"/>
      </rPr>
      <t>20416</t>
    </r>
    <r>
      <rPr>
        <sz val="12"/>
        <color theme="9" tint="-0.249977111117893"/>
        <rFont val="宋体"/>
        <family val="3"/>
        <charset val="134"/>
      </rPr>
      <t>号</t>
    </r>
    <r>
      <rPr>
        <sz val="12"/>
        <color theme="9" tint="-0.249977111117893"/>
        <rFont val="Arial"/>
        <family val="2"/>
      </rPr>
      <t>]</t>
    </r>
    <phoneticPr fontId="6" type="noConversion"/>
  </si>
  <si>
    <t>否</t>
  </si>
  <si>
    <t>原件</t>
  </si>
  <si>
    <t>Ⅱ—01</t>
  </si>
  <si>
    <r>
      <rPr>
        <sz val="10"/>
        <color indexed="8"/>
        <rFont val="宋体"/>
        <family val="3"/>
        <charset val="134"/>
      </rPr>
      <t>京西国用（</t>
    </r>
    <r>
      <rPr>
        <sz val="10"/>
        <color indexed="8"/>
        <rFont val="Arial"/>
        <family val="2"/>
      </rPr>
      <t>2007</t>
    </r>
    <r>
      <rPr>
        <sz val="10"/>
        <color indexed="8"/>
        <rFont val="宋体"/>
        <family val="3"/>
        <charset val="134"/>
      </rPr>
      <t>出）第</t>
    </r>
    <r>
      <rPr>
        <sz val="10"/>
        <color indexed="8"/>
        <rFont val="Arial"/>
        <family val="2"/>
      </rPr>
      <t>20416</t>
    </r>
    <r>
      <rPr>
        <sz val="10"/>
        <color indexed="8"/>
        <rFont val="宋体"/>
        <family val="3"/>
        <charset val="134"/>
      </rPr>
      <t>号</t>
    </r>
    <phoneticPr fontId="3" type="noConversion"/>
  </si>
  <si>
    <t>1-1</t>
    <phoneticPr fontId="3" type="noConversion"/>
  </si>
  <si>
    <t>1-2</t>
    <phoneticPr fontId="3" type="noConversion"/>
  </si>
  <si>
    <t>成新度</t>
  </si>
  <si>
    <t>鼓楼东、西大街</t>
  </si>
  <si>
    <t>500-1000米</t>
  </si>
  <si>
    <t>有</t>
  </si>
  <si>
    <t>按公示增长率计算</t>
  </si>
  <si>
    <t>未包含在土地购买价格中</t>
  </si>
  <si>
    <t>较好</t>
  </si>
  <si>
    <t>一般</t>
  </si>
  <si>
    <t>好</t>
  </si>
  <si>
    <t>按租金收入计税</t>
  </si>
  <si>
    <t>收益还原</t>
  </si>
  <si>
    <t>住宿餐饮用地</t>
  </si>
  <si>
    <t>租金</t>
  </si>
  <si>
    <t>正常</t>
  </si>
  <si>
    <t>商业</t>
    <phoneticPr fontId="31" type="noConversion"/>
  </si>
  <si>
    <t>20-30（含）</t>
  </si>
  <si>
    <t>五通</t>
  </si>
  <si>
    <t>临街</t>
  </si>
  <si>
    <t>临街</t>
    <phoneticPr fontId="31" type="noConversion"/>
  </si>
  <si>
    <r>
      <t>1</t>
    </r>
    <r>
      <rPr>
        <sz val="11"/>
        <color indexed="8"/>
        <rFont val="宋体"/>
        <family val="3"/>
        <charset val="134"/>
      </rPr>
      <t>层</t>
    </r>
    <phoneticPr fontId="31" type="noConversion"/>
  </si>
  <si>
    <t>配套商业</t>
  </si>
  <si>
    <t>配套商业</t>
    <phoneticPr fontId="31" type="noConversion"/>
  </si>
  <si>
    <t>钢混</t>
  </si>
  <si>
    <t>钢混</t>
    <phoneticPr fontId="31" type="noConversion"/>
  </si>
  <si>
    <t>混合</t>
  </si>
  <si>
    <t>混合</t>
    <phoneticPr fontId="31" type="noConversion"/>
  </si>
  <si>
    <t>七通</t>
  </si>
  <si>
    <t>五通</t>
    <phoneticPr fontId="31" type="noConversion"/>
  </si>
  <si>
    <t>可餐饮</t>
  </si>
  <si>
    <t>可餐饮</t>
    <phoneticPr fontId="31" type="noConversion"/>
  </si>
  <si>
    <t>不可餐饮</t>
    <phoneticPr fontId="31" type="noConversion"/>
  </si>
  <si>
    <t>一般</t>
    <phoneticPr fontId="31" type="noConversion"/>
  </si>
  <si>
    <t>鼓楼西大街207号</t>
    <phoneticPr fontId="3" type="noConversion"/>
  </si>
  <si>
    <t>较好</t>
    <phoneticPr fontId="31" type="noConversion"/>
  </si>
  <si>
    <t>鼓楼东大街</t>
    <phoneticPr fontId="3" type="noConversion"/>
  </si>
  <si>
    <t>需扣减承租人权益</t>
  </si>
  <si>
    <t>1-2层</t>
  </si>
  <si>
    <r>
      <t>1-2</t>
    </r>
    <r>
      <rPr>
        <sz val="11"/>
        <color indexed="8"/>
        <rFont val="宋体"/>
        <family val="3"/>
        <charset val="134"/>
      </rPr>
      <t>层</t>
    </r>
    <phoneticPr fontId="31" type="noConversion"/>
  </si>
  <si>
    <r>
      <t>1-3</t>
    </r>
    <r>
      <rPr>
        <sz val="11"/>
        <color indexed="8"/>
        <rFont val="宋体"/>
        <family val="3"/>
        <charset val="134"/>
      </rPr>
      <t>层</t>
    </r>
    <phoneticPr fontId="31" type="noConversion"/>
  </si>
  <si>
    <t>1-3层</t>
  </si>
  <si>
    <t>好</t>
    <phoneticPr fontId="31" type="noConversion"/>
  </si>
  <si>
    <t>较差</t>
    <phoneticPr fontId="31" type="noConversion"/>
  </si>
  <si>
    <t>差</t>
    <phoneticPr fontId="31" type="noConversion"/>
  </si>
  <si>
    <t>2018-1-0403-P01DYGJ2</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</si>
  <si>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京房权证西股字第</t>
    </r>
    <r>
      <rPr>
        <sz val="12"/>
        <color theme="9" tint="-0.249977111117893"/>
        <rFont val="Arial"/>
        <family val="2"/>
      </rPr>
      <t>160782</t>
    </r>
    <r>
      <rPr>
        <sz val="12"/>
        <color theme="9" tint="-0.249977111117893"/>
        <rFont val="宋体"/>
        <family val="3"/>
        <charset val="134"/>
      </rPr>
      <t>号、京房权证西股字第</t>
    </r>
    <r>
      <rPr>
        <sz val="12"/>
        <color theme="9" tint="-0.249977111117893"/>
        <rFont val="Arial"/>
        <family val="2"/>
      </rPr>
      <t>160685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</si>
  <si>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估价对象位于德内商圈，周边商业氛围成熟，人流量较大，商业繁华较好</t>
    <phoneticPr fontId="25" type="noConversion"/>
  </si>
  <si>
    <t>估价对象周边交通路网密集、公共交通通达情况较好、停车便捷程度一般，综合评价交通便捷度较好</t>
    <phoneticPr fontId="41" type="noConversion"/>
  </si>
  <si>
    <t>估价对象所在区域公共配套设施齐备情况较好</t>
    <phoneticPr fontId="41" type="noConversion"/>
  </si>
  <si>
    <t>七通一平</t>
    <phoneticPr fontId="25" type="noConversion"/>
  </si>
  <si>
    <t>区域自然环境：什刹海公园、后海公园；人文环境：北京古钱币博物馆；综合评价环境状况较好</t>
    <phoneticPr fontId="41" type="noConversion"/>
  </si>
  <si>
    <t>城市次干道</t>
    <phoneticPr fontId="25" type="noConversion"/>
  </si>
  <si>
    <t>宗地形状规整，对宗地利用无不良影响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</si>
</sst>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50" fillId="7" borderId="1" xfId="1" applyNumberFormat="1" applyFont="1" applyFill="1" applyBorder="1" applyAlignment="1" applyProtection="1">
      <alignment horizontal="center" vertical="center"/>
      <protection locked="0"/>
    </xf>
    <xf numFmtId="181" fontId="47" fillId="7" borderId="5" xfId="0" applyNumberFormat="1" applyFont="1" applyFill="1" applyBorder="1" applyAlignment="1" applyProtection="1">
      <alignment vertical="center"/>
      <protection locked="0"/>
    </xf>
    <xf numFmtId="181" fontId="47" fillId="7"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9" borderId="37"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0" fontId="54" fillId="9" borderId="6" xfId="0"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0" fontId="47" fillId="9" borderId="41" xfId="0" applyNumberFormat="1" applyFont="1" applyFill="1" applyBorder="1" applyAlignment="1" applyProtection="1">
      <alignment horizontal="center" vertical="center" wrapText="1"/>
      <protection locked="0"/>
    </xf>
    <xf numFmtId="0" fontId="56" fillId="9"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4</xdr:row>
      <xdr:rowOff>19050</xdr:rowOff>
    </xdr:from>
    <xdr:to>
      <xdr:col>13</xdr:col>
      <xdr:colOff>122738</xdr:colOff>
      <xdr:row>22</xdr:row>
      <xdr:rowOff>113903</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704850"/>
          <a:ext cx="8704763" cy="3180953"/>
        </a:xfrm>
        <a:prstGeom prst="rect">
          <a:avLst/>
        </a:prstGeom>
      </xdr:spPr>
    </xdr:pic>
    <xdr:clientData/>
  </xdr:twoCellAnchor>
  <xdr:twoCellAnchor editAs="oneCell">
    <xdr:from>
      <xdr:col>0</xdr:col>
      <xdr:colOff>533400</xdr:colOff>
      <xdr:row>22</xdr:row>
      <xdr:rowOff>142875</xdr:rowOff>
    </xdr:from>
    <xdr:to>
      <xdr:col>13</xdr:col>
      <xdr:colOff>237048</xdr:colOff>
      <xdr:row>33</xdr:row>
      <xdr:rowOff>66449</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3914775"/>
          <a:ext cx="8619048" cy="1809524"/>
        </a:xfrm>
        <a:prstGeom prst="rect">
          <a:avLst/>
        </a:prstGeom>
      </xdr:spPr>
    </xdr:pic>
    <xdr:clientData/>
  </xdr:twoCellAnchor>
  <xdr:twoCellAnchor editAs="oneCell">
    <xdr:from>
      <xdr:col>1</xdr:col>
      <xdr:colOff>0</xdr:colOff>
      <xdr:row>34</xdr:row>
      <xdr:rowOff>0</xdr:rowOff>
    </xdr:from>
    <xdr:to>
      <xdr:col>13</xdr:col>
      <xdr:colOff>360877</xdr:colOff>
      <xdr:row>43</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8590477" cy="1676191"/>
        </a:xfrm>
        <a:prstGeom prst="rect">
          <a:avLst/>
        </a:prstGeom>
      </xdr:spPr>
    </xdr:pic>
    <xdr:clientData/>
  </xdr:twoCellAnchor>
  <xdr:twoCellAnchor editAs="oneCell">
    <xdr:from>
      <xdr:col>15</xdr:col>
      <xdr:colOff>85725</xdr:colOff>
      <xdr:row>12</xdr:row>
      <xdr:rowOff>76200</xdr:rowOff>
    </xdr:from>
    <xdr:to>
      <xdr:col>23</xdr:col>
      <xdr:colOff>170570</xdr:colOff>
      <xdr:row>23</xdr:row>
      <xdr:rowOff>112669</xdr:rowOff>
    </xdr:to>
    <xdr:pic>
      <xdr:nvPicPr>
        <xdr:cNvPr id="5" name="图片 4"/>
        <xdr:cNvPicPr>
          <a:picLocks noChangeAspect="1"/>
        </xdr:cNvPicPr>
      </xdr:nvPicPr>
      <xdr:blipFill>
        <a:blip xmlns:r="http://schemas.openxmlformats.org/officeDocument/2006/relationships" r:embed="rId4"/>
        <a:stretch>
          <a:fillRect/>
        </a:stretch>
      </xdr:blipFill>
      <xdr:spPr>
        <a:xfrm>
          <a:off x="10372725" y="2133600"/>
          <a:ext cx="5571245" cy="1922419"/>
        </a:xfrm>
        <a:prstGeom prst="rect">
          <a:avLst/>
        </a:prstGeom>
      </xdr:spPr>
    </xdr:pic>
    <xdr:clientData/>
  </xdr:twoCellAnchor>
  <xdr:twoCellAnchor editAs="oneCell">
    <xdr:from>
      <xdr:col>1</xdr:col>
      <xdr:colOff>28575</xdr:colOff>
      <xdr:row>43</xdr:row>
      <xdr:rowOff>142875</xdr:rowOff>
    </xdr:from>
    <xdr:to>
      <xdr:col>9</xdr:col>
      <xdr:colOff>434796</xdr:colOff>
      <xdr:row>73</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5" y="7515225"/>
          <a:ext cx="5892621" cy="5057775"/>
        </a:xfrm>
        <a:prstGeom prst="rect">
          <a:avLst/>
        </a:prstGeom>
      </xdr:spPr>
    </xdr:pic>
    <xdr:clientData/>
  </xdr:twoCellAnchor>
  <xdr:twoCellAnchor editAs="oneCell">
    <xdr:from>
      <xdr:col>9</xdr:col>
      <xdr:colOff>457200</xdr:colOff>
      <xdr:row>44</xdr:row>
      <xdr:rowOff>0</xdr:rowOff>
    </xdr:from>
    <xdr:to>
      <xdr:col>16</xdr:col>
      <xdr:colOff>428029</xdr:colOff>
      <xdr:row>57</xdr:row>
      <xdr:rowOff>85436</xdr:rowOff>
    </xdr:to>
    <xdr:pic>
      <xdr:nvPicPr>
        <xdr:cNvPr id="7" name="图片 6"/>
        <xdr:cNvPicPr>
          <a:picLocks noChangeAspect="1"/>
        </xdr:cNvPicPr>
      </xdr:nvPicPr>
      <xdr:blipFill>
        <a:blip xmlns:r="http://schemas.openxmlformats.org/officeDocument/2006/relationships" r:embed="rId6"/>
        <a:stretch>
          <a:fillRect/>
        </a:stretch>
      </xdr:blipFill>
      <xdr:spPr>
        <a:xfrm>
          <a:off x="6629400" y="7543800"/>
          <a:ext cx="4771429" cy="2314286"/>
        </a:xfrm>
        <a:prstGeom prst="rect">
          <a:avLst/>
        </a:prstGeom>
      </xdr:spPr>
    </xdr:pic>
    <xdr:clientData/>
  </xdr:twoCellAnchor>
  <xdr:twoCellAnchor editAs="oneCell">
    <xdr:from>
      <xdr:col>9</xdr:col>
      <xdr:colOff>466725</xdr:colOff>
      <xdr:row>58</xdr:row>
      <xdr:rowOff>95250</xdr:rowOff>
    </xdr:from>
    <xdr:to>
      <xdr:col>18</xdr:col>
      <xdr:colOff>179861</xdr:colOff>
      <xdr:row>74</xdr:row>
      <xdr:rowOff>143812</xdr:rowOff>
    </xdr:to>
    <xdr:pic>
      <xdr:nvPicPr>
        <xdr:cNvPr id="8" name="图片 7"/>
        <xdr:cNvPicPr>
          <a:picLocks noChangeAspect="1"/>
        </xdr:cNvPicPr>
      </xdr:nvPicPr>
      <xdr:blipFill>
        <a:blip xmlns:r="http://schemas.openxmlformats.org/officeDocument/2006/relationships" r:embed="rId7"/>
        <a:stretch>
          <a:fillRect/>
        </a:stretch>
      </xdr:blipFill>
      <xdr:spPr>
        <a:xfrm>
          <a:off x="6638925" y="10039350"/>
          <a:ext cx="5885336" cy="2791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7" sqref="B37"/>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北京市西城区鼓楼西大街207号房地产抵押价值预评估</v>
      </c>
    </row>
    <row r="3" spans="1:2" s="1596" customFormat="1">
      <c r="A3" s="1594" t="s">
        <v>1221</v>
      </c>
      <c r="B3" s="1595" t="str">
        <f>'预评函-封皮'!B40</f>
        <v>北京万方达隆物业管理有限公司</v>
      </c>
    </row>
    <row r="4" spans="1:2" s="1596" customFormat="1">
      <c r="A4" s="1594" t="s">
        <v>1222</v>
      </c>
      <c r="B4" s="1595" t="str">
        <f>'预评函-封皮'!B46</f>
        <v>（注册号：0)、（注册号：0)</v>
      </c>
    </row>
    <row r="5" spans="1:2" s="1590" customFormat="1" ht="15" thickBot="1">
      <c r="A5" s="1597" t="s">
        <v>1223</v>
      </c>
      <c r="B5" s="1598" t="str">
        <f>'预评函-封皮'!B49</f>
        <v>康正预评字2018-1-0403-P01DYGJ2号</v>
      </c>
    </row>
    <row r="6" spans="1:2" s="1593" customFormat="1" ht="15" thickTop="1">
      <c r="A6" s="1591" t="s">
        <v>1224</v>
      </c>
      <c r="B6" s="1592" t="str">
        <f>'预评函-1'!A4</f>
        <v>受贵公司委托，我公司对北京市西城区鼓楼西大街207号房地产抵押价值进行了预评估。</v>
      </c>
    </row>
    <row r="7" spans="1:2" s="1596" customFormat="1">
      <c r="A7" s="1594" t="s">
        <v>1264</v>
      </c>
      <c r="B7" s="1595" t="str">
        <f>'预评函-1'!A7</f>
        <v>估价对象为北京市西城区鼓楼西大街207号房地产，为北京万方达隆物业管理有限公司所有。根据《国有土地使用证》[京西国用（2007出）第20416号]，估价对象（分摊）出让国有建设用地使用权面积为303.25平方米，建筑面积为606.5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鼓楼西大街207号房地产,为北京万方达隆物业管理有限公司开发建设的商业项目，该项目尚在开发建设中。根据《国有土地使用证》[京西国用（2007出）第20416号]，估价对象（分摊）出让国有建设用地使用权面积为303.25平方米，规划建筑面积为606.5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为估价委托人在向中国工商银行股份有限公司北京地安门支行办理贷款手续过程中，确定房地产抵押贷款额度提供参考依据而评估房地产抵押价值。</v>
      </c>
    </row>
    <row r="12" spans="1:2" s="1596" customFormat="1">
      <c r="A12" s="1594" t="s">
        <v>1226</v>
      </c>
      <c r="B12" s="1595" t="str">
        <f>'预评函-1'!A15</f>
        <v>2018年6月5日（评估专业人员实地查勘之日）</v>
      </c>
    </row>
    <row r="13" spans="1:2" s="1596" customFormat="1">
      <c r="A13" s="1594" t="s">
        <v>1227</v>
      </c>
      <c r="B13" s="1595" t="str">
        <f>'预评函-1'!A18</f>
        <v>本次估价的“房地产价值”是指在正常市场情况下，在价值时点2018年6月5日，估价对象规划用途为商业，土地取得方式为出让，出让国有建设用地使用权剩余土地使用年限为商业28.97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五通”（即通路、通电、通讯、通上水、通下水）、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3803</v>
      </c>
    </row>
    <row r="21" spans="1:2" s="1596" customFormat="1">
      <c r="A21" s="1594" t="s">
        <v>1235</v>
      </c>
      <c r="B21" s="1595">
        <f ca="1">'预评函-2'!D7</f>
        <v>62704</v>
      </c>
    </row>
    <row r="22" spans="1:2" s="1596" customFormat="1">
      <c r="A22" s="1594" t="s">
        <v>1236</v>
      </c>
      <c r="B22" s="1595" t="str">
        <f ca="1">'预评函-2'!D6</f>
        <v>叁仟捌佰零叁万元整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3803</v>
      </c>
    </row>
    <row r="31" spans="1:2" s="1596" customFormat="1">
      <c r="A31" s="1594" t="s">
        <v>1274</v>
      </c>
      <c r="B31" s="1595">
        <f ca="1">'预评函-2'!D15</f>
        <v>62704</v>
      </c>
    </row>
    <row r="32" spans="1:2" s="1596" customFormat="1">
      <c r="A32" s="1594" t="s">
        <v>1241</v>
      </c>
      <c r="B32" s="1595" t="str">
        <f ca="1">'预评函-2'!D14</f>
        <v>叁仟捌佰零叁万元整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北京市西城区鼓楼西大街207号房地产</v>
      </c>
    </row>
    <row r="42" spans="1:2" s="1596" customFormat="1">
      <c r="A42" s="1594" t="s">
        <v>1288</v>
      </c>
      <c r="B42" s="1595" t="str">
        <f>'预评函-3'!B2</f>
        <v>建筑面积</v>
      </c>
    </row>
    <row r="43" spans="1:2" s="1596" customFormat="1">
      <c r="A43" s="1594" t="s">
        <v>1289</v>
      </c>
      <c r="B43" s="1595">
        <f>'预评函-3'!B4</f>
        <v>606.5</v>
      </c>
    </row>
    <row r="44" spans="1:2" s="1596" customFormat="1">
      <c r="A44" s="1594" t="s">
        <v>1273</v>
      </c>
      <c r="B44" s="1595" t="str">
        <f>'预评函-3'!C2</f>
        <v>(分摊)土地面积</v>
      </c>
    </row>
    <row r="45" spans="1:2" s="1596" customFormat="1">
      <c r="A45" s="1594" t="s">
        <v>1245</v>
      </c>
      <c r="B45" s="1595">
        <f>'预评函-3'!C4</f>
        <v>303.25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1688</v>
      </c>
      <c r="C1" s="2012" t="s">
        <v>759</v>
      </c>
      <c r="D1" s="2013" t="s">
        <v>1689</v>
      </c>
      <c r="E1" s="2013" t="s">
        <v>1690</v>
      </c>
      <c r="F1" s="2013" t="s">
        <v>1691</v>
      </c>
      <c r="G1" s="2013" t="s">
        <v>1692</v>
      </c>
      <c r="H1" s="2013" t="s">
        <v>1693</v>
      </c>
      <c r="I1" s="2013" t="s">
        <v>1694</v>
      </c>
      <c r="J1" s="2013" t="s">
        <v>1695</v>
      </c>
      <c r="K1" s="2013" t="s">
        <v>1696</v>
      </c>
      <c r="L1" s="2013" t="s">
        <v>1697</v>
      </c>
      <c r="M1" s="2013" t="s">
        <v>1698</v>
      </c>
      <c r="N1" s="2013" t="s">
        <v>1699</v>
      </c>
      <c r="O1" s="2013" t="s">
        <v>1700</v>
      </c>
      <c r="P1" s="2014" t="s">
        <v>753</v>
      </c>
      <c r="Q1" s="2014" t="s">
        <v>1144</v>
      </c>
      <c r="R1" s="2013" t="s">
        <v>1138</v>
      </c>
      <c r="S1" s="2013" t="s">
        <v>1701</v>
      </c>
      <c r="T1" s="2015" t="s">
        <v>1702</v>
      </c>
      <c r="U1" s="2013" t="s">
        <v>1703</v>
      </c>
      <c r="V1" s="2013" t="s">
        <v>1704</v>
      </c>
      <c r="W1" s="2013" t="s">
        <v>755</v>
      </c>
    </row>
    <row r="2" spans="1:23">
      <c r="A2" s="2017" t="s">
        <v>22</v>
      </c>
      <c r="B2" s="2017" t="s">
        <v>1705</v>
      </c>
      <c r="C2" s="2018" t="s">
        <v>760</v>
      </c>
      <c r="D2" s="2019" t="s">
        <v>1706</v>
      </c>
      <c r="E2" s="2019" t="s">
        <v>1707</v>
      </c>
      <c r="F2" s="2019" t="s">
        <v>1708</v>
      </c>
      <c r="G2" s="2019">
        <v>40</v>
      </c>
      <c r="H2" s="2019" t="s">
        <v>1708</v>
      </c>
      <c r="I2" s="2019" t="s">
        <v>1709</v>
      </c>
      <c r="J2" s="2019" t="s">
        <v>1710</v>
      </c>
      <c r="K2" s="2019" t="s">
        <v>1711</v>
      </c>
      <c r="L2" s="2019" t="s">
        <v>1711</v>
      </c>
      <c r="M2" s="2019" t="s">
        <v>1711</v>
      </c>
      <c r="N2" s="2019" t="s">
        <v>1711</v>
      </c>
      <c r="O2" s="2019" t="s">
        <v>1711</v>
      </c>
      <c r="P2" s="2019" t="s">
        <v>1711</v>
      </c>
      <c r="Q2" s="2019" t="s">
        <v>1711</v>
      </c>
      <c r="R2" s="2019" t="s">
        <v>1140</v>
      </c>
      <c r="S2" s="2019" t="s">
        <v>1711</v>
      </c>
      <c r="T2" s="2019" t="s">
        <v>1712</v>
      </c>
      <c r="U2" s="2019" t="s">
        <v>1711</v>
      </c>
      <c r="V2" s="2019" t="s">
        <v>1713</v>
      </c>
      <c r="W2" s="2019" t="s">
        <v>1711</v>
      </c>
    </row>
    <row r="3" spans="1:23">
      <c r="A3" s="2017" t="s">
        <v>1714</v>
      </c>
      <c r="B3" s="2020" t="s">
        <v>1145</v>
      </c>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1139</v>
      </c>
      <c r="S3" s="2019" t="s">
        <v>1719</v>
      </c>
      <c r="T3" s="2019" t="s">
        <v>1720</v>
      </c>
      <c r="U3" s="2019" t="s">
        <v>1719</v>
      </c>
      <c r="V3" s="2019" t="s">
        <v>1721</v>
      </c>
      <c r="W3" s="2019" t="s">
        <v>1719</v>
      </c>
    </row>
    <row r="4" spans="1:23">
      <c r="A4" s="2017" t="s">
        <v>1722</v>
      </c>
      <c r="B4" s="2017" t="s">
        <v>1723</v>
      </c>
      <c r="C4" s="2018" t="s">
        <v>762</v>
      </c>
      <c r="D4" s="2019" t="s">
        <v>868</v>
      </c>
      <c r="E4" s="2019" t="s">
        <v>1724</v>
      </c>
      <c r="F4" s="2019" t="s">
        <v>1725</v>
      </c>
      <c r="G4" s="2019">
        <v>70</v>
      </c>
      <c r="H4" s="2019" t="s">
        <v>1725</v>
      </c>
      <c r="I4" s="2019" t="s">
        <v>1726</v>
      </c>
      <c r="K4" s="2019" t="s">
        <v>1727</v>
      </c>
      <c r="L4" s="2019" t="s">
        <v>1727</v>
      </c>
      <c r="M4" s="2019" t="s">
        <v>1727</v>
      </c>
      <c r="N4" s="2019" t="s">
        <v>1727</v>
      </c>
      <c r="O4" s="2019" t="s">
        <v>1727</v>
      </c>
      <c r="P4" s="2019" t="s">
        <v>1727</v>
      </c>
      <c r="Q4" s="2019" t="s">
        <v>1727</v>
      </c>
      <c r="R4" s="2019" t="s">
        <v>1141</v>
      </c>
      <c r="S4" s="2019" t="s">
        <v>1727</v>
      </c>
      <c r="T4" s="2019" t="s">
        <v>1728</v>
      </c>
      <c r="U4" s="2019" t="s">
        <v>1727</v>
      </c>
      <c r="W4" s="2019" t="s">
        <v>1727</v>
      </c>
    </row>
    <row r="5" spans="1:23">
      <c r="A5" s="2017" t="s">
        <v>1729</v>
      </c>
      <c r="B5" s="2017" t="s">
        <v>1730</v>
      </c>
      <c r="C5" s="2018" t="s">
        <v>763</v>
      </c>
      <c r="F5" s="2019" t="s">
        <v>1731</v>
      </c>
      <c r="H5" s="2019" t="s">
        <v>1732</v>
      </c>
      <c r="I5" s="2019" t="s">
        <v>1733</v>
      </c>
      <c r="K5" s="2019" t="s">
        <v>1734</v>
      </c>
      <c r="L5" s="2019" t="s">
        <v>1734</v>
      </c>
      <c r="M5" s="2019" t="s">
        <v>1734</v>
      </c>
      <c r="N5" s="2019" t="s">
        <v>1734</v>
      </c>
      <c r="O5" s="2019" t="s">
        <v>1734</v>
      </c>
      <c r="P5" s="2019" t="s">
        <v>1734</v>
      </c>
      <c r="Q5" s="2019" t="s">
        <v>1734</v>
      </c>
      <c r="R5" s="2019" t="s">
        <v>1142</v>
      </c>
      <c r="S5" s="2019" t="s">
        <v>1734</v>
      </c>
      <c r="T5" s="2019" t="s">
        <v>1735</v>
      </c>
      <c r="U5" s="2019" t="s">
        <v>1734</v>
      </c>
      <c r="W5" s="2019" t="s">
        <v>1734</v>
      </c>
    </row>
    <row r="6" spans="1:23">
      <c r="A6" s="2017" t="s">
        <v>1736</v>
      </c>
      <c r="B6" s="2020" t="s">
        <v>1146</v>
      </c>
      <c r="C6" s="2023" t="s">
        <v>30</v>
      </c>
      <c r="F6" s="2019" t="s">
        <v>1732</v>
      </c>
      <c r="H6" s="2019" t="s">
        <v>1737</v>
      </c>
      <c r="I6" s="2019" t="s">
        <v>1738</v>
      </c>
      <c r="K6" s="2019" t="s">
        <v>1739</v>
      </c>
      <c r="L6" s="2019" t="s">
        <v>1739</v>
      </c>
      <c r="M6" s="2019" t="s">
        <v>1739</v>
      </c>
      <c r="N6" s="2019" t="s">
        <v>1739</v>
      </c>
      <c r="O6" s="2019" t="s">
        <v>1739</v>
      </c>
      <c r="P6" s="2019" t="s">
        <v>1739</v>
      </c>
      <c r="Q6" s="2019" t="s">
        <v>1739</v>
      </c>
      <c r="R6" s="2019" t="s">
        <v>1143</v>
      </c>
      <c r="S6" s="2019" t="s">
        <v>1739</v>
      </c>
      <c r="T6" s="2019"/>
      <c r="U6" s="2019" t="s">
        <v>1739</v>
      </c>
      <c r="W6" s="2019" t="s">
        <v>1739</v>
      </c>
    </row>
    <row r="7" spans="1:23">
      <c r="A7" s="2017" t="s">
        <v>1740</v>
      </c>
      <c r="B7" s="2020" t="s">
        <v>1147</v>
      </c>
      <c r="C7" s="2018" t="s">
        <v>31</v>
      </c>
      <c r="F7" s="2019" t="s">
        <v>1741</v>
      </c>
      <c r="H7" s="2019" t="s">
        <v>1742</v>
      </c>
      <c r="I7" s="2019" t="s">
        <v>1743</v>
      </c>
    </row>
    <row r="8" spans="1:23">
      <c r="A8" s="2017" t="s">
        <v>1744</v>
      </c>
      <c r="B8" s="2017" t="s">
        <v>1745</v>
      </c>
      <c r="C8" s="2018" t="s">
        <v>764</v>
      </c>
      <c r="F8" s="2019" t="s">
        <v>1746</v>
      </c>
      <c r="H8" s="2019"/>
      <c r="I8" s="2019" t="s">
        <v>1747</v>
      </c>
    </row>
    <row r="9" spans="1:23">
      <c r="A9" s="2017" t="s">
        <v>1748</v>
      </c>
      <c r="B9" s="2017" t="s">
        <v>1749</v>
      </c>
      <c r="C9" s="2018" t="s">
        <v>765</v>
      </c>
      <c r="F9" s="2019" t="s">
        <v>1750</v>
      </c>
      <c r="H9" s="2019"/>
    </row>
    <row r="10" spans="1:23">
      <c r="A10" s="2017" t="s">
        <v>1751</v>
      </c>
      <c r="B10" s="2017" t="s">
        <v>1752</v>
      </c>
      <c r="C10" s="2018" t="s">
        <v>766</v>
      </c>
      <c r="F10" s="2019" t="s">
        <v>16</v>
      </c>
    </row>
    <row r="11" spans="1:23">
      <c r="A11" s="2017" t="s">
        <v>1753</v>
      </c>
      <c r="B11" s="2017" t="s">
        <v>1754</v>
      </c>
      <c r="C11" s="2018" t="s">
        <v>767</v>
      </c>
    </row>
    <row r="12" spans="1:23">
      <c r="A12" s="2017" t="s">
        <v>1755</v>
      </c>
      <c r="B12" s="2017" t="s">
        <v>1756</v>
      </c>
      <c r="C12" s="2018" t="s">
        <v>768</v>
      </c>
    </row>
    <row r="13" spans="1:23">
      <c r="A13" s="2017" t="s">
        <v>1757</v>
      </c>
      <c r="B13" s="2017" t="s">
        <v>1758</v>
      </c>
      <c r="C13" s="2018" t="s">
        <v>769</v>
      </c>
    </row>
    <row r="14" spans="1:23">
      <c r="A14" s="2017" t="s">
        <v>1759</v>
      </c>
      <c r="B14" s="2017" t="s">
        <v>1760</v>
      </c>
      <c r="C14" s="2019" t="s">
        <v>16</v>
      </c>
    </row>
    <row r="15" spans="1:23">
      <c r="A15" s="2017" t="s">
        <v>1761</v>
      </c>
      <c r="B15" s="2017" t="s">
        <v>1762</v>
      </c>
      <c r="C15" s="2018"/>
    </row>
    <row r="16" spans="1:23">
      <c r="A16" s="2017" t="s">
        <v>1763</v>
      </c>
      <c r="B16" s="2017" t="s">
        <v>756</v>
      </c>
      <c r="C16" s="2018"/>
    </row>
    <row r="17" spans="1:3">
      <c r="A17" s="2017" t="s">
        <v>1764</v>
      </c>
      <c r="B17" s="2017" t="s">
        <v>757</v>
      </c>
      <c r="C17" s="2018"/>
    </row>
    <row r="18" spans="1:3">
      <c r="A18" s="2017" t="s">
        <v>1765</v>
      </c>
      <c r="B18" s="2017" t="s">
        <v>757</v>
      </c>
      <c r="C18" s="2018"/>
    </row>
    <row r="19" spans="1:3">
      <c r="A19" s="2017" t="s">
        <v>1766</v>
      </c>
      <c r="B19" s="2017" t="s">
        <v>757</v>
      </c>
      <c r="C19" s="2018"/>
    </row>
    <row r="20" spans="1:3">
      <c r="A20" s="2017" t="s">
        <v>1767</v>
      </c>
      <c r="B20" s="2017" t="s">
        <v>757</v>
      </c>
      <c r="C20" s="2018"/>
    </row>
    <row r="21" spans="1:3">
      <c r="A21" s="2017" t="s">
        <v>1768</v>
      </c>
      <c r="B21" s="2017" t="s">
        <v>757</v>
      </c>
      <c r="C21" s="2018"/>
    </row>
    <row r="22" spans="1:3">
      <c r="A22" s="2017" t="s">
        <v>1769</v>
      </c>
      <c r="B22" s="2017" t="s">
        <v>757</v>
      </c>
      <c r="C22" s="2018"/>
    </row>
    <row r="23" spans="1:3">
      <c r="A23" s="2017" t="s">
        <v>1770</v>
      </c>
      <c r="B23" s="2017" t="s">
        <v>757</v>
      </c>
      <c r="C23" s="2018"/>
    </row>
    <row r="24" spans="1:3">
      <c r="A24" s="2017" t="s">
        <v>1771</v>
      </c>
      <c r="B24" s="2017" t="s">
        <v>757</v>
      </c>
      <c r="C24" s="2018"/>
    </row>
    <row r="25" spans="1:3">
      <c r="A25" s="2017" t="s">
        <v>1772</v>
      </c>
      <c r="B25" s="2017" t="s">
        <v>757</v>
      </c>
      <c r="C25" s="2018"/>
    </row>
    <row r="26" spans="1:3">
      <c r="A26" s="2017" t="s">
        <v>1773</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为估价委托人在向中国工商银行股份有限公司北京地安门支行办理贷款手续过程中，确定房地产抵押贷款额度提供参考依据而评估房地产抵押价值。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方达隆物业管理有限公司拟使用北京市西城区鼓楼西大街207号房地产作为抵押担保物，向中国工商银行股份有限公司北京地安门支行办理贷款手续。中国工商银行股份有限公司北京地安门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1774</v>
      </c>
      <c r="B1" s="3004" t="str">
        <f>IF(B10="北京市","北京市",C10)&amp;F10&amp;IF(结果表!G1="在建","出让国有建设用地使用权及在建建筑物",IF(结果表!G1="土地","出让国有建设用地使用权",))&amp;B9&amp;"预评估"</f>
        <v>北京市西城区鼓楼西大街207号房地产抵押价值预评估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北京市西城区鼓楼西大街207号房地产抵押价值</v>
      </c>
    </row>
    <row r="2" spans="1:19" ht="18" customHeight="1">
      <c r="A2" s="2029" t="s">
        <v>1775</v>
      </c>
      <c r="B2" s="1042" t="s">
        <v>3130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北京市西城区鼓楼西大街207号房地产</v>
      </c>
    </row>
    <row r="3" spans="1:19" ht="18" customHeight="1">
      <c r="A3" s="2038" t="s">
        <v>1776</v>
      </c>
      <c r="B3" s="2039">
        <v>43256</v>
      </c>
      <c r="C3" s="2040" t="s">
        <v>1777</v>
      </c>
      <c r="D3" s="2039">
        <v>43256</v>
      </c>
      <c r="E3" s="2029"/>
      <c r="F3" s="2029"/>
      <c r="G3" s="2029"/>
      <c r="H3" s="2029"/>
      <c r="I3" s="2029"/>
      <c r="J3" s="2029"/>
      <c r="K3" s="2030"/>
      <c r="L3" s="2031"/>
      <c r="M3" s="2031"/>
      <c r="N3" s="2032"/>
      <c r="O3" s="2033"/>
      <c r="P3" s="2032"/>
      <c r="Q3" s="2032"/>
      <c r="R3" s="2032"/>
      <c r="S3" s="2034"/>
    </row>
    <row r="4" spans="1:19" ht="18" customHeight="1" thickBot="1">
      <c r="A4" s="2041" t="s">
        <v>1778</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1779</v>
      </c>
      <c r="B5" s="2942" t="s">
        <v>3077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1780</v>
      </c>
      <c r="B6" s="2943"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1781</v>
      </c>
      <c r="B7" s="2942" t="s">
        <v>3077</v>
      </c>
      <c r="C7" s="2051"/>
      <c r="D7" s="2052"/>
      <c r="E7" s="2037"/>
      <c r="F7" s="2045"/>
      <c r="G7" s="2045"/>
      <c r="H7" s="2045"/>
      <c r="I7" s="2045"/>
      <c r="J7" s="2045"/>
      <c r="K7" s="2054"/>
      <c r="L7" s="2031"/>
      <c r="M7" s="2031"/>
      <c r="N7" s="2032"/>
      <c r="O7" s="2033"/>
      <c r="P7" s="2032"/>
      <c r="Q7" s="2032"/>
      <c r="R7" s="2032"/>
    </row>
    <row r="8" spans="1:19" ht="18" customHeight="1">
      <c r="A8" s="2050" t="s">
        <v>1782</v>
      </c>
      <c r="B8" s="2055" t="s">
        <v>3046</v>
      </c>
      <c r="C8" s="2056"/>
      <c r="D8" s="3007" t="s">
        <v>1783</v>
      </c>
      <c r="E8" s="2057" t="s">
        <v>3047</v>
      </c>
      <c r="F8" s="2058"/>
      <c r="G8" s="2029"/>
      <c r="H8" s="2029"/>
      <c r="I8" s="2029"/>
      <c r="J8" s="2045"/>
      <c r="K8" s="2046"/>
      <c r="L8" s="2031"/>
      <c r="M8" s="2031"/>
      <c r="N8" s="2032"/>
      <c r="O8" s="2033"/>
      <c r="P8" s="2032"/>
      <c r="Q8" s="2032"/>
      <c r="R8" s="2032"/>
    </row>
    <row r="9" spans="1:19" ht="18" customHeight="1" thickBot="1">
      <c r="A9" s="2043" t="s">
        <v>1784</v>
      </c>
      <c r="B9" s="2059" t="s">
        <v>3047</v>
      </c>
      <c r="C9" s="2060"/>
      <c r="D9" s="3008"/>
      <c r="E9" s="2059" t="s">
        <v>70</v>
      </c>
      <c r="F9" s="2061"/>
      <c r="G9" s="2062"/>
      <c r="H9" s="2062"/>
      <c r="I9" s="2062"/>
      <c r="J9" s="2045"/>
      <c r="K9" s="2054"/>
      <c r="L9" s="2031"/>
      <c r="M9" s="2031"/>
      <c r="N9" s="2032"/>
      <c r="O9" s="2033"/>
      <c r="P9" s="2032"/>
      <c r="Q9" s="2032"/>
      <c r="R9" s="2032"/>
    </row>
    <row r="10" spans="1:19" ht="18" customHeight="1" thickTop="1">
      <c r="A10" s="2063" t="s">
        <v>1785</v>
      </c>
      <c r="B10" s="2064" t="s">
        <v>3048</v>
      </c>
      <c r="C10" s="2065"/>
      <c r="D10" s="2049"/>
      <c r="E10" s="2066" t="s">
        <v>1786</v>
      </c>
      <c r="F10" s="2945" t="s">
        <v>3078</v>
      </c>
      <c r="G10" s="2067"/>
      <c r="H10" s="2068"/>
      <c r="I10" s="2049"/>
      <c r="J10" s="2045"/>
      <c r="K10" s="2054"/>
      <c r="L10" s="2031"/>
      <c r="M10" s="2031"/>
      <c r="N10" s="2032"/>
      <c r="O10" s="2033"/>
      <c r="P10" s="2032"/>
      <c r="Q10" s="2032"/>
      <c r="R10" s="2032"/>
    </row>
    <row r="11" spans="1:19" ht="18" customHeight="1">
      <c r="A11" s="2069" t="s">
        <v>1787</v>
      </c>
      <c r="B11" s="2070" t="s">
        <v>3049</v>
      </c>
      <c r="C11" s="2944" t="s">
        <v>3077</v>
      </c>
      <c r="D11" s="2071"/>
      <c r="E11" s="2045"/>
      <c r="F11" s="2045"/>
      <c r="G11" s="2045"/>
      <c r="H11" s="2045"/>
      <c r="I11" s="2045"/>
      <c r="J11" s="2045"/>
      <c r="K11" s="2054"/>
      <c r="L11" s="2031"/>
      <c r="M11" s="2031"/>
      <c r="N11" s="2032"/>
      <c r="O11" s="2033"/>
      <c r="P11" s="2032"/>
      <c r="Q11" s="2032"/>
      <c r="R11" s="2032"/>
    </row>
    <row r="12" spans="1:19" ht="18" customHeight="1">
      <c r="A12" s="2072" t="s">
        <v>1788</v>
      </c>
      <c r="B12" s="2070" t="s">
        <v>3050</v>
      </c>
      <c r="C12" s="2073" t="s">
        <v>1789</v>
      </c>
      <c r="D12" s="2074" t="s">
        <v>1790</v>
      </c>
      <c r="E12" s="2074" t="s">
        <v>1791</v>
      </c>
      <c r="F12" s="2074" t="s">
        <v>1792</v>
      </c>
      <c r="G12" s="2074" t="s">
        <v>1793</v>
      </c>
      <c r="H12" s="2074" t="s">
        <v>1794</v>
      </c>
      <c r="I12" s="2074" t="s">
        <v>1795</v>
      </c>
      <c r="J12" s="2045"/>
      <c r="K12" s="2054"/>
      <c r="L12" s="2031"/>
      <c r="M12" s="2031"/>
      <c r="N12" s="2032"/>
      <c r="O12" s="2033"/>
      <c r="P12" s="2032"/>
      <c r="Q12" s="2032"/>
      <c r="R12" s="2032"/>
    </row>
    <row r="13" spans="1:19" ht="18" customHeight="1">
      <c r="A13" s="2075"/>
      <c r="B13" s="2076"/>
      <c r="C13" s="2077" t="s">
        <v>1796</v>
      </c>
      <c r="D13" s="2078"/>
      <c r="E13" s="2078">
        <v>53833</v>
      </c>
      <c r="F13" s="2078"/>
      <c r="G13" s="2078"/>
      <c r="H13" s="2078"/>
      <c r="I13" s="1050"/>
      <c r="J13" s="2045"/>
      <c r="K13" s="2054"/>
      <c r="L13" s="2031"/>
      <c r="M13" s="2031"/>
      <c r="N13" s="2032"/>
      <c r="O13" s="2033"/>
      <c r="P13" s="2032"/>
      <c r="Q13" s="2032"/>
      <c r="R13" s="2032"/>
    </row>
    <row r="14" spans="1:19" ht="18" customHeight="1">
      <c r="A14" s="2075"/>
      <c r="B14" s="2076"/>
      <c r="C14" s="2077" t="s">
        <v>1797</v>
      </c>
      <c r="D14" s="1053"/>
      <c r="E14" s="1053">
        <v>40</v>
      </c>
      <c r="F14" s="1053"/>
      <c r="G14" s="1053"/>
      <c r="H14" s="1053"/>
      <c r="I14" s="1053"/>
      <c r="J14" s="2045"/>
      <c r="K14" s="2079"/>
      <c r="L14" s="2031"/>
      <c r="M14" s="2031"/>
      <c r="N14" s="2032"/>
      <c r="O14" s="2033"/>
      <c r="P14" s="2032"/>
      <c r="Q14" s="2032"/>
      <c r="R14" s="2032"/>
    </row>
    <row r="15" spans="1:19" ht="18" customHeight="1">
      <c r="A15" s="2063"/>
      <c r="B15" s="2080"/>
      <c r="C15" s="2077" t="s">
        <v>1798</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1799</v>
      </c>
      <c r="B16" s="3014" t="s">
        <v>3051</v>
      </c>
      <c r="C16" s="3015"/>
      <c r="D16" s="3016"/>
      <c r="E16" s="2084" t="s">
        <v>1800</v>
      </c>
      <c r="F16" s="3017" t="s">
        <v>3079</v>
      </c>
      <c r="G16" s="3018"/>
      <c r="H16" s="3018"/>
      <c r="I16" s="3019"/>
      <c r="J16" s="2032"/>
      <c r="K16" s="2081"/>
      <c r="L16" s="2082"/>
      <c r="M16" s="2082"/>
      <c r="N16" s="2083"/>
      <c r="O16" s="2082"/>
      <c r="P16" s="2083"/>
      <c r="Q16" s="2032"/>
      <c r="R16" s="2032"/>
    </row>
    <row r="17" spans="1:22" ht="18" customHeight="1">
      <c r="A17" s="2085" t="s">
        <v>1801</v>
      </c>
      <c r="B17" s="2038" t="s">
        <v>1802</v>
      </c>
      <c r="C17" s="1057">
        <f>'数据-汇总表'!E3</f>
        <v>606.5</v>
      </c>
      <c r="D17" s="2086" t="s">
        <v>1803</v>
      </c>
      <c r="E17" s="3020" t="s">
        <v>3131</v>
      </c>
      <c r="F17" s="3021"/>
      <c r="G17" s="3021"/>
      <c r="H17" s="3021"/>
      <c r="I17" s="3022"/>
      <c r="J17" s="2032"/>
      <c r="K17" s="2087"/>
      <c r="L17" s="2082"/>
      <c r="M17" s="2082"/>
      <c r="N17" s="2083"/>
      <c r="O17" s="2082"/>
      <c r="P17" s="2083"/>
      <c r="Q17" s="2032"/>
      <c r="R17" s="2032"/>
      <c r="S17" s="2032"/>
      <c r="T17" s="2032"/>
      <c r="U17" s="2032"/>
      <c r="V17" s="2032"/>
    </row>
    <row r="18" spans="1:22" ht="36" customHeight="1" thickBot="1">
      <c r="A18" s="2088" t="s">
        <v>1804</v>
      </c>
      <c r="B18" s="2041" t="s">
        <v>1805</v>
      </c>
      <c r="C18" s="1447">
        <f>'数据-汇总表'!D3</f>
        <v>303.25</v>
      </c>
      <c r="D18" s="2089" t="s">
        <v>1803</v>
      </c>
      <c r="E18" s="3023" t="s">
        <v>3080</v>
      </c>
      <c r="F18" s="3024"/>
      <c r="G18" s="3024"/>
      <c r="H18" s="3024"/>
      <c r="I18" s="3025"/>
      <c r="J18" s="2032"/>
      <c r="K18" s="2087"/>
      <c r="L18" s="2082"/>
      <c r="M18" s="2082"/>
      <c r="N18" s="2083"/>
      <c r="O18" s="2082"/>
      <c r="P18" s="2083"/>
      <c r="Q18" s="2032"/>
      <c r="R18" s="2032"/>
      <c r="S18" s="2032"/>
      <c r="T18" s="2032"/>
      <c r="U18" s="2032"/>
      <c r="V18" s="2032"/>
    </row>
    <row r="19" spans="1:22" ht="37.5" customHeight="1" thickTop="1" thickBot="1">
      <c r="A19" s="373" t="s">
        <v>1806</v>
      </c>
      <c r="B19" s="352" t="s">
        <v>1807</v>
      </c>
      <c r="C19" s="2090" t="s">
        <v>3081</v>
      </c>
      <c r="D19" s="2091" t="s">
        <v>1808</v>
      </c>
      <c r="E19" s="2092" t="s">
        <v>3081</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1809</v>
      </c>
      <c r="B20" s="3010" t="s">
        <v>1810</v>
      </c>
      <c r="C20" s="3011"/>
      <c r="D20" s="3012" t="s">
        <v>1811</v>
      </c>
      <c r="E20" s="3013"/>
      <c r="F20" s="2096" t="s">
        <v>1812</v>
      </c>
      <c r="G20" s="2045"/>
      <c r="H20" s="2045"/>
      <c r="I20" s="2045"/>
      <c r="J20" s="2045"/>
      <c r="K20" s="3009"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1814</v>
      </c>
      <c r="C21" s="2098" t="s">
        <v>1815</v>
      </c>
      <c r="D21" s="2099" t="s">
        <v>1816</v>
      </c>
      <c r="E21" s="2100" t="s">
        <v>70</v>
      </c>
      <c r="F21" s="2101"/>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1817</v>
      </c>
      <c r="C22" s="2098" t="s">
        <v>3082</v>
      </c>
      <c r="D22" s="2029"/>
      <c r="E22" s="2029"/>
      <c r="F22" s="2103"/>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27" t="s">
        <v>1824</v>
      </c>
      <c r="B27" s="2063" t="s">
        <v>1825</v>
      </c>
      <c r="C27" s="2118" t="s">
        <v>3053</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27"/>
      <c r="B28" s="2038" t="s">
        <v>1826</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27"/>
      <c r="B29" s="2038" t="s">
        <v>1827</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28"/>
      <c r="B30" s="2038" t="s">
        <v>1828</v>
      </c>
      <c r="C30" s="3029"/>
      <c r="D30" s="3030"/>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1" t="s">
        <v>1829</v>
      </c>
      <c r="B31" s="2125" t="s">
        <v>3054</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2"/>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2"/>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t="s">
        <v>3055</v>
      </c>
      <c r="C34" s="2132" t="s">
        <v>3056</v>
      </c>
      <c r="D34" s="2132" t="s">
        <v>3057</v>
      </c>
      <c r="E34" s="2132" t="s">
        <v>3058</v>
      </c>
      <c r="F34" s="2132" t="s">
        <v>3059</v>
      </c>
      <c r="G34" s="2132" t="s">
        <v>70</v>
      </c>
      <c r="H34" s="2132" t="s">
        <v>70</v>
      </c>
      <c r="I34" s="2045"/>
      <c r="J34" s="2045"/>
      <c r="K34" s="1798">
        <f>COUNTIF(B34:H34,"——")</f>
        <v>2</v>
      </c>
      <c r="L34" s="2073" t="s">
        <v>1831</v>
      </c>
      <c r="M34" s="2073" t="s">
        <v>1832</v>
      </c>
      <c r="N34" s="2073" t="s">
        <v>1833</v>
      </c>
      <c r="O34" s="2073" t="s">
        <v>1834</v>
      </c>
      <c r="P34" s="2073" t="s">
        <v>1835</v>
      </c>
      <c r="Q34" s="2073" t="s">
        <v>1836</v>
      </c>
      <c r="R34" s="2073" t="s">
        <v>1837</v>
      </c>
      <c r="S34" s="3026" t="s">
        <v>1838</v>
      </c>
      <c r="T34" s="2133" t="str">
        <f>NUMBERSTRING(7-K34,1)&amp;"通"</f>
        <v>五通</v>
      </c>
      <c r="U34" s="2032"/>
      <c r="V34" s="2032"/>
    </row>
    <row r="35" spans="1:22" ht="18" customHeight="1">
      <c r="A35" s="2134"/>
      <c r="B35" s="3033" t="s">
        <v>1839</v>
      </c>
      <c r="C35" s="3033"/>
      <c r="D35" s="3033"/>
      <c r="E35" s="3033"/>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6"/>
      <c r="T35" s="48" t="str">
        <f>IF(T34="一通",L35,IF(T34="二通",M35,IF(T34="三通",N35,IF(T34="四通",O35,IF(T34="五通",P35,IF(T34="六通",Q35,R35))))))</f>
        <v>通路、通电、通讯、通上水、通下水</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t="s">
        <v>269</v>
      </c>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t="s">
        <v>3083</v>
      </c>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303.25</v>
      </c>
      <c r="B3" s="14">
        <f>IF(C3="否",G5-AT5,G5)</f>
        <v>606.5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606.5</v>
      </c>
      <c r="G5" s="16">
        <f>SUM(G13:G587)</f>
        <v>606.5</v>
      </c>
      <c r="H5" s="16">
        <f t="shared" ref="H5:AT5" si="0">SUM(H13:H656)</f>
        <v>606.5</v>
      </c>
      <c r="I5" s="16">
        <f t="shared" si="0"/>
        <v>606.5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606.5</v>
      </c>
      <c r="BA5" s="18">
        <f t="shared" si="1"/>
        <v>606.5</v>
      </c>
      <c r="BB5" s="18">
        <f t="shared" si="1"/>
        <v>606.5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303.25</v>
      </c>
      <c r="F6" s="16" t="s">
        <v>1</v>
      </c>
      <c r="G6" s="16" t="s">
        <v>2</v>
      </c>
      <c r="H6" s="20">
        <f>SUMIF(I$12:AB$12,"总值",I6:AB6)</f>
        <v>303.25</v>
      </c>
      <c r="I6" s="16">
        <f t="shared" ref="I6:AB6" si="2">ROUND($A$3*I5/$B$3,2)</f>
        <v>303.25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303.25</v>
      </c>
      <c r="AZ6" s="16" t="s">
        <v>3</v>
      </c>
      <c r="BA6" s="16">
        <f>ROUND($AY$6*BA5/$AZ$5,2)</f>
        <v>303.25</v>
      </c>
      <c r="BB6" s="16">
        <f>ROUND($AY$6*BB5/$AZ$5,2)</f>
        <v>303.25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4" t="s">
        <v>1890</v>
      </c>
      <c r="AD8" s="2187"/>
      <c r="AE8" s="2179"/>
      <c r="AF8" s="1821"/>
      <c r="AG8" s="1821"/>
      <c r="AH8" s="1821"/>
      <c r="AI8" s="1821"/>
      <c r="AJ8" s="1821"/>
      <c r="AK8" s="1821"/>
      <c r="AL8" s="1821"/>
      <c r="AM8" s="1821"/>
      <c r="AN8" s="1821"/>
      <c r="AO8" s="1821"/>
      <c r="AP8" s="1821"/>
      <c r="AQ8" s="1821"/>
      <c r="AR8" s="1821"/>
      <c r="AS8" s="1821"/>
      <c r="AT8" s="1295" t="s">
        <v>1891</v>
      </c>
      <c r="AU8" s="2181" t="s">
        <v>1892</v>
      </c>
      <c r="AV8" s="1295"/>
      <c r="AW8" s="2164"/>
      <c r="AX8" s="1295"/>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1895</v>
      </c>
      <c r="I9" s="2190" t="s">
        <v>3063</v>
      </c>
      <c r="J9" s="984"/>
      <c r="K9" s="2190"/>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1"/>
      <c r="BN9" s="2184"/>
      <c r="BO9" s="1821"/>
      <c r="BP9" s="1821"/>
      <c r="BQ9" s="1821"/>
      <c r="BR9" s="1821"/>
      <c r="BS9" s="1821"/>
      <c r="BT9" s="26"/>
    </row>
    <row r="10" spans="1:72" s="2188" customFormat="1" ht="12.75">
      <c r="A10" s="2181"/>
      <c r="B10" s="2181"/>
      <c r="C10" s="2181"/>
      <c r="D10" s="2181"/>
      <c r="E10" s="2181"/>
      <c r="F10" s="2181"/>
      <c r="G10" s="1295"/>
      <c r="H10" s="28"/>
      <c r="I10" s="2190" t="s">
        <v>1377</v>
      </c>
      <c r="J10" s="984"/>
      <c r="K10" s="2196"/>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3064</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商业街</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38.25">
      <c r="A13" s="1275" t="s">
        <v>3084</v>
      </c>
      <c r="B13" s="2946" t="s">
        <v>3062</v>
      </c>
      <c r="C13" s="2948" t="s">
        <v>3085</v>
      </c>
      <c r="D13" s="2212" t="s">
        <v>3052</v>
      </c>
      <c r="E13" s="16">
        <f>IF($C$3="是",ROUND($A$3*G13/$B$3,2),ROUND($A$3*(G13-AT13)/$B$3,2))</f>
        <v>151.63</v>
      </c>
      <c r="F13" s="32">
        <v>303.25</v>
      </c>
      <c r="G13" s="33">
        <f>H13+AC13+AT13</f>
        <v>303.25</v>
      </c>
      <c r="H13" s="20">
        <f>SUMIF(I$12:AB$12,"总值",I13:AB13)</f>
        <v>303.25</v>
      </c>
      <c r="I13" s="2213">
        <f t="shared" ref="I13:I14" si="6">F13</f>
        <v>303.25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7">A13</f>
        <v>京西国用（2007出）第20416号</v>
      </c>
      <c r="AW13" s="11" t="str">
        <f t="shared" si="7"/>
        <v>房屋所有权证</v>
      </c>
      <c r="AX13" s="11" t="str">
        <f t="shared" si="7"/>
        <v>1-1</v>
      </c>
      <c r="AY13" s="1809">
        <f>ROUND($AY$6*AZ13/$AZ$5,2)</f>
        <v>151.63</v>
      </c>
      <c r="AZ13" s="16">
        <f>BA13+BL13</f>
        <v>303.25</v>
      </c>
      <c r="BA13" s="16">
        <f>SUM(BB13:BK13)</f>
        <v>303.25</v>
      </c>
      <c r="BB13" s="16">
        <f>IF($D13="是",I13-J13,0)</f>
        <v>303.25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 r="A14" s="1275" t="s">
        <v>3084</v>
      </c>
      <c r="B14" s="2946" t="s">
        <v>3062</v>
      </c>
      <c r="C14" s="2948" t="s">
        <v>3086</v>
      </c>
      <c r="D14" s="2212" t="s">
        <v>3052</v>
      </c>
      <c r="E14" s="16">
        <f>IF($C$3="是",ROUND($A$3*G14/$B$3,2),ROUND($A$3*(G14-AT14)/$B$3,2))</f>
        <v>151.63</v>
      </c>
      <c r="F14" s="32">
        <v>303.25</v>
      </c>
      <c r="G14" s="33">
        <f>H14+AC14+AT14</f>
        <v>303.25</v>
      </c>
      <c r="H14" s="20">
        <f>SUMIF(I$12:AB$12,"总值",I14:AB14)</f>
        <v>303.25</v>
      </c>
      <c r="I14" s="2213">
        <f t="shared" si="6"/>
        <v>303.25</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7"/>
        <v>京西国用（2007出）第20416号</v>
      </c>
      <c r="AW14" s="11" t="str">
        <f t="shared" si="7"/>
        <v>房屋所有权证</v>
      </c>
      <c r="AX14" s="11" t="str">
        <f t="shared" si="7"/>
        <v>1-2</v>
      </c>
      <c r="AY14" s="1809">
        <f>ROUND($AY$6*AZ14/$AZ$5,2)</f>
        <v>151.63</v>
      </c>
      <c r="AZ14" s="16">
        <f>BA14+BL14</f>
        <v>303.25</v>
      </c>
      <c r="BA14" s="16">
        <f>SUM(BB14:BK14)</f>
        <v>303.25</v>
      </c>
      <c r="BB14" s="16">
        <f>IF($D14="是",I14-J14,0)</f>
        <v>303.25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7"/>
        <v>0</v>
      </c>
      <c r="AW15" s="11">
        <f t="shared" si="7"/>
        <v>0</v>
      </c>
      <c r="AX15" s="11">
        <f t="shared" si="7"/>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7"/>
        <v>0</v>
      </c>
      <c r="AW16" s="11">
        <f t="shared" si="7"/>
        <v>0</v>
      </c>
      <c r="AX16" s="11">
        <f t="shared" si="7"/>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7"/>
        <v>0</v>
      </c>
      <c r="AW17" s="11">
        <f t="shared" si="7"/>
        <v>0</v>
      </c>
      <c r="AX17" s="11">
        <f t="shared" si="7"/>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2">A18</f>
        <v>0</v>
      </c>
      <c r="AW18" s="1798">
        <f t="shared" ref="AW18:AW112" si="13">B18</f>
        <v>0</v>
      </c>
      <c r="AX18" s="1798">
        <f t="shared" ref="AX18:AX112" si="14">C18</f>
        <v>0</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c r="B19" s="34"/>
      <c r="C19" s="34"/>
      <c r="D19" s="2212"/>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8">
        <f t="shared" si="12"/>
        <v>0</v>
      </c>
      <c r="AW19" s="1798">
        <f t="shared" si="13"/>
        <v>0</v>
      </c>
      <c r="AX19" s="1798">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2"/>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8">
        <f t="shared" si="12"/>
        <v>0</v>
      </c>
      <c r="AW20" s="1798">
        <f t="shared" si="13"/>
        <v>0</v>
      </c>
      <c r="AX20" s="1798">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8">
        <f t="shared" si="12"/>
        <v>0</v>
      </c>
      <c r="AW21" s="1798">
        <f t="shared" si="13"/>
        <v>0</v>
      </c>
      <c r="AX21" s="1798">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8">
        <f t="shared" si="12"/>
        <v>0</v>
      </c>
      <c r="AW22" s="1798">
        <f t="shared" si="13"/>
        <v>0</v>
      </c>
      <c r="AX22" s="1798">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8">
        <f t="shared" si="12"/>
        <v>0</v>
      </c>
      <c r="AW23" s="1798">
        <f t="shared" si="13"/>
        <v>0</v>
      </c>
      <c r="AX23" s="1798">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8">
        <f t="shared" si="12"/>
        <v>0</v>
      </c>
      <c r="AW24" s="1798">
        <f t="shared" si="13"/>
        <v>0</v>
      </c>
      <c r="AX24" s="1798">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8">
        <f t="shared" si="12"/>
        <v>0</v>
      </c>
      <c r="AW25" s="1798">
        <f t="shared" si="13"/>
        <v>0</v>
      </c>
      <c r="AX25" s="1798">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8">
        <f t="shared" si="12"/>
        <v>0</v>
      </c>
      <c r="AW26" s="1798">
        <f t="shared" si="13"/>
        <v>0</v>
      </c>
      <c r="AX26" s="1798">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8">
        <f t="shared" si="12"/>
        <v>0</v>
      </c>
      <c r="AW27" s="1798">
        <f t="shared" si="13"/>
        <v>0</v>
      </c>
      <c r="AX27" s="1798">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8">
        <f t="shared" si="12"/>
        <v>0</v>
      </c>
      <c r="AW28" s="1798">
        <f t="shared" si="13"/>
        <v>0</v>
      </c>
      <c r="AX28" s="1798">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8">
        <f t="shared" si="12"/>
        <v>0</v>
      </c>
      <c r="AW29" s="1798">
        <f t="shared" si="13"/>
        <v>0</v>
      </c>
      <c r="AX29" s="1798">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8">
        <f t="shared" si="12"/>
        <v>0</v>
      </c>
      <c r="AW30" s="1798">
        <f t="shared" si="13"/>
        <v>0</v>
      </c>
      <c r="AX30" s="1798">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8">
        <f t="shared" si="12"/>
        <v>0</v>
      </c>
      <c r="AW31" s="1798">
        <f t="shared" si="13"/>
        <v>0</v>
      </c>
      <c r="AX31" s="1798">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8">
        <f t="shared" si="12"/>
        <v>0</v>
      </c>
      <c r="AW32" s="1798">
        <f t="shared" si="13"/>
        <v>0</v>
      </c>
      <c r="AX32" s="1798">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8">
        <f t="shared" si="12"/>
        <v>0</v>
      </c>
      <c r="AW33" s="1798">
        <f t="shared" si="13"/>
        <v>0</v>
      </c>
      <c r="AX33" s="1798">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8">
        <f t="shared" si="12"/>
        <v>0</v>
      </c>
      <c r="AW34" s="1798">
        <f t="shared" si="13"/>
        <v>0</v>
      </c>
      <c r="AX34" s="1798">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8">
        <f t="shared" si="12"/>
        <v>0</v>
      </c>
      <c r="AW35" s="1798">
        <f t="shared" si="13"/>
        <v>0</v>
      </c>
      <c r="AX35" s="1798">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8">
        <f t="shared" si="12"/>
        <v>0</v>
      </c>
      <c r="AW36" s="1798">
        <f t="shared" si="13"/>
        <v>0</v>
      </c>
      <c r="AX36" s="1798">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8">
        <f t="shared" si="12"/>
        <v>0</v>
      </c>
      <c r="AW37" s="1798">
        <f t="shared" si="13"/>
        <v>0</v>
      </c>
      <c r="AX37" s="1798">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8">
        <f t="shared" si="12"/>
        <v>0</v>
      </c>
      <c r="AW38" s="1798">
        <f t="shared" si="13"/>
        <v>0</v>
      </c>
      <c r="AX38" s="1798">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8">
        <f t="shared" si="12"/>
        <v>0</v>
      </c>
      <c r="AW39" s="1798">
        <f t="shared" si="13"/>
        <v>0</v>
      </c>
      <c r="AX39" s="1798">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8">
        <f t="shared" si="12"/>
        <v>0</v>
      </c>
      <c r="AW40" s="1798">
        <f t="shared" si="13"/>
        <v>0</v>
      </c>
      <c r="AX40" s="1798">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8">
        <f t="shared" si="12"/>
        <v>0</v>
      </c>
      <c r="AW41" s="1798">
        <f t="shared" si="13"/>
        <v>0</v>
      </c>
      <c r="AX41" s="1798">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8">
        <f t="shared" si="12"/>
        <v>0</v>
      </c>
      <c r="AW42" s="1798">
        <f t="shared" si="13"/>
        <v>0</v>
      </c>
      <c r="AX42" s="1798">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8">
        <f t="shared" si="12"/>
        <v>0</v>
      </c>
      <c r="AW43" s="1798">
        <f t="shared" si="13"/>
        <v>0</v>
      </c>
      <c r="AX43" s="1798">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8">
        <f t="shared" si="12"/>
        <v>0</v>
      </c>
      <c r="AW44" s="1798">
        <f t="shared" si="13"/>
        <v>0</v>
      </c>
      <c r="AX44" s="1798">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8">
        <f t="shared" si="12"/>
        <v>0</v>
      </c>
      <c r="AW45" s="1798">
        <f t="shared" si="13"/>
        <v>0</v>
      </c>
      <c r="AX45" s="1798">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8">
        <f t="shared" si="12"/>
        <v>0</v>
      </c>
      <c r="AW46" s="1798">
        <f t="shared" si="13"/>
        <v>0</v>
      </c>
      <c r="AX46" s="1798">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8">
        <f t="shared" si="12"/>
        <v>0</v>
      </c>
      <c r="AW47" s="1798">
        <f t="shared" si="13"/>
        <v>0</v>
      </c>
      <c r="AX47" s="1798">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8">
        <f t="shared" si="12"/>
        <v>0</v>
      </c>
      <c r="AW48" s="1798">
        <f t="shared" si="13"/>
        <v>0</v>
      </c>
      <c r="AX48" s="1798">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8">
        <f t="shared" si="12"/>
        <v>0</v>
      </c>
      <c r="AW49" s="1798">
        <f t="shared" si="13"/>
        <v>0</v>
      </c>
      <c r="AX49" s="1798">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8">
        <f t="shared" si="12"/>
        <v>0</v>
      </c>
      <c r="AW50" s="1798">
        <f t="shared" si="13"/>
        <v>0</v>
      </c>
      <c r="AX50" s="1798">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8">
        <f t="shared" si="12"/>
        <v>0</v>
      </c>
      <c r="AW51" s="1798">
        <f t="shared" si="13"/>
        <v>0</v>
      </c>
      <c r="AX51" s="1798">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8">
        <f t="shared" si="12"/>
        <v>0</v>
      </c>
      <c r="AW52" s="1798">
        <f t="shared" si="13"/>
        <v>0</v>
      </c>
      <c r="AX52" s="1798">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8">
        <f t="shared" si="12"/>
        <v>0</v>
      </c>
      <c r="AW53" s="1798">
        <f t="shared" si="13"/>
        <v>0</v>
      </c>
      <c r="AX53" s="1798">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8">
        <f t="shared" si="12"/>
        <v>0</v>
      </c>
      <c r="AW54" s="1798">
        <f t="shared" si="13"/>
        <v>0</v>
      </c>
      <c r="AX54" s="1798">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8">
        <f t="shared" si="12"/>
        <v>0</v>
      </c>
      <c r="AW55" s="1798">
        <f t="shared" si="13"/>
        <v>0</v>
      </c>
      <c r="AX55" s="1798">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8">
        <f t="shared" si="12"/>
        <v>0</v>
      </c>
      <c r="AW56" s="1798">
        <f t="shared" si="13"/>
        <v>0</v>
      </c>
      <c r="AX56" s="1798">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8">
        <f t="shared" si="12"/>
        <v>0</v>
      </c>
      <c r="AW57" s="1798">
        <f t="shared" si="13"/>
        <v>0</v>
      </c>
      <c r="AX57" s="1798">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8">
        <f t="shared" si="12"/>
        <v>0</v>
      </c>
      <c r="AW58" s="1798">
        <f t="shared" si="13"/>
        <v>0</v>
      </c>
      <c r="AX58" s="1798">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8">
        <f t="shared" si="12"/>
        <v>0</v>
      </c>
      <c r="AW59" s="1798">
        <f t="shared" si="13"/>
        <v>0</v>
      </c>
      <c r="AX59" s="1798">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8">
        <f t="shared" si="12"/>
        <v>0</v>
      </c>
      <c r="AW60" s="1798">
        <f t="shared" si="13"/>
        <v>0</v>
      </c>
      <c r="AX60" s="1798">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8">
        <f t="shared" si="12"/>
        <v>0</v>
      </c>
      <c r="AW61" s="1798">
        <f t="shared" si="13"/>
        <v>0</v>
      </c>
      <c r="AX61" s="1798">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8">
        <f t="shared" si="12"/>
        <v>0</v>
      </c>
      <c r="AW62" s="1798">
        <f t="shared" si="13"/>
        <v>0</v>
      </c>
      <c r="AX62" s="1798">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8">
        <f t="shared" si="12"/>
        <v>0</v>
      </c>
      <c r="AW63" s="1798">
        <f t="shared" si="13"/>
        <v>0</v>
      </c>
      <c r="AX63" s="1798">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8">
        <f t="shared" si="12"/>
        <v>0</v>
      </c>
      <c r="AW64" s="1798">
        <f t="shared" si="13"/>
        <v>0</v>
      </c>
      <c r="AX64" s="1798">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8">
        <f t="shared" si="12"/>
        <v>0</v>
      </c>
      <c r="AW65" s="1798">
        <f t="shared" si="13"/>
        <v>0</v>
      </c>
      <c r="AX65" s="1798">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8">
        <f t="shared" si="12"/>
        <v>0</v>
      </c>
      <c r="AW66" s="1798">
        <f t="shared" si="13"/>
        <v>0</v>
      </c>
      <c r="AX66" s="1798">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8">
        <f t="shared" si="12"/>
        <v>0</v>
      </c>
      <c r="AW67" s="1798">
        <f t="shared" si="13"/>
        <v>0</v>
      </c>
      <c r="AX67" s="1798">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8">
        <f t="shared" si="12"/>
        <v>0</v>
      </c>
      <c r="AW68" s="1798">
        <f t="shared" si="13"/>
        <v>0</v>
      </c>
      <c r="AX68" s="1798">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8">
        <f t="shared" si="12"/>
        <v>0</v>
      </c>
      <c r="AW69" s="1798">
        <f t="shared" si="13"/>
        <v>0</v>
      </c>
      <c r="AX69" s="1798">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8">
        <f t="shared" si="12"/>
        <v>0</v>
      </c>
      <c r="AW70" s="1798">
        <f t="shared" si="13"/>
        <v>0</v>
      </c>
      <c r="AX70" s="1798">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8">
        <f t="shared" si="12"/>
        <v>0</v>
      </c>
      <c r="AW71" s="1798">
        <f t="shared" si="13"/>
        <v>0</v>
      </c>
      <c r="AX71" s="1798">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8">
        <f t="shared" si="12"/>
        <v>0</v>
      </c>
      <c r="AW72" s="1798">
        <f t="shared" si="13"/>
        <v>0</v>
      </c>
      <c r="AX72" s="1798">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8">
        <f t="shared" si="12"/>
        <v>0</v>
      </c>
      <c r="AW73" s="1798">
        <f t="shared" si="13"/>
        <v>0</v>
      </c>
      <c r="AX73" s="1798">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8">
        <f t="shared" si="12"/>
        <v>0</v>
      </c>
      <c r="AW74" s="1798">
        <f t="shared" si="13"/>
        <v>0</v>
      </c>
      <c r="AX74" s="1798">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8">
        <f t="shared" si="12"/>
        <v>0</v>
      </c>
      <c r="AW75" s="1798">
        <f t="shared" si="13"/>
        <v>0</v>
      </c>
      <c r="AX75" s="1798">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8">
        <f t="shared" si="12"/>
        <v>0</v>
      </c>
      <c r="AW76" s="1798">
        <f t="shared" si="13"/>
        <v>0</v>
      </c>
      <c r="AX76" s="1798">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8">
        <f t="shared" si="12"/>
        <v>0</v>
      </c>
      <c r="AW77" s="1798">
        <f t="shared" si="13"/>
        <v>0</v>
      </c>
      <c r="AX77" s="1798">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8">
        <f t="shared" si="12"/>
        <v>0</v>
      </c>
      <c r="AW78" s="1798">
        <f t="shared" si="13"/>
        <v>0</v>
      </c>
      <c r="AX78" s="1798">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8">
        <f t="shared" si="12"/>
        <v>0</v>
      </c>
      <c r="AW79" s="1798">
        <f t="shared" si="13"/>
        <v>0</v>
      </c>
      <c r="AX79" s="1798">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8">
        <f t="shared" si="12"/>
        <v>0</v>
      </c>
      <c r="AW80" s="1798">
        <f t="shared" si="13"/>
        <v>0</v>
      </c>
      <c r="AX80" s="1798">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8">
        <f t="shared" si="12"/>
        <v>0</v>
      </c>
      <c r="AW81" s="1798">
        <f t="shared" si="13"/>
        <v>0</v>
      </c>
      <c r="AX81" s="1798">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8">
        <f t="shared" si="12"/>
        <v>0</v>
      </c>
      <c r="AW82" s="1798">
        <f t="shared" si="13"/>
        <v>0</v>
      </c>
      <c r="AX82" s="1798">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8">
        <f t="shared" si="12"/>
        <v>0</v>
      </c>
      <c r="AW83" s="1798">
        <f t="shared" si="13"/>
        <v>0</v>
      </c>
      <c r="AX83" s="1798">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8">
        <f t="shared" si="12"/>
        <v>0</v>
      </c>
      <c r="AW84" s="1798">
        <f t="shared" si="13"/>
        <v>0</v>
      </c>
      <c r="AX84" s="1798">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8">
        <f t="shared" si="12"/>
        <v>0</v>
      </c>
      <c r="AW85" s="1798">
        <f t="shared" si="13"/>
        <v>0</v>
      </c>
      <c r="AX85" s="1798">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8">
        <f t="shared" si="12"/>
        <v>0</v>
      </c>
      <c r="AW86" s="1798">
        <f t="shared" si="13"/>
        <v>0</v>
      </c>
      <c r="AX86" s="1798">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8">
        <f t="shared" si="12"/>
        <v>0</v>
      </c>
      <c r="AW87" s="1798">
        <f t="shared" si="13"/>
        <v>0</v>
      </c>
      <c r="AX87" s="1798">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8">
        <f t="shared" si="12"/>
        <v>0</v>
      </c>
      <c r="AW88" s="1798">
        <f t="shared" si="13"/>
        <v>0</v>
      </c>
      <c r="AX88" s="1798">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8">
        <f t="shared" si="12"/>
        <v>0</v>
      </c>
      <c r="AW89" s="1798">
        <f t="shared" si="13"/>
        <v>0</v>
      </c>
      <c r="AX89" s="1798">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8">
        <f t="shared" si="12"/>
        <v>0</v>
      </c>
      <c r="AW90" s="1798">
        <f t="shared" si="13"/>
        <v>0</v>
      </c>
      <c r="AX90" s="1798">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8">
        <f t="shared" si="12"/>
        <v>0</v>
      </c>
      <c r="AW91" s="1798">
        <f t="shared" si="13"/>
        <v>0</v>
      </c>
      <c r="AX91" s="1798">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8">
        <f t="shared" si="12"/>
        <v>0</v>
      </c>
      <c r="AW92" s="1798">
        <f t="shared" si="13"/>
        <v>0</v>
      </c>
      <c r="AX92" s="1798">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8">
        <f t="shared" si="12"/>
        <v>0</v>
      </c>
      <c r="AW93" s="1798">
        <f t="shared" si="13"/>
        <v>0</v>
      </c>
      <c r="AX93" s="1798">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8">
        <f t="shared" si="12"/>
        <v>0</v>
      </c>
      <c r="AW94" s="1798">
        <f t="shared" si="13"/>
        <v>0</v>
      </c>
      <c r="AX94" s="1798">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8">
        <f t="shared" si="12"/>
        <v>0</v>
      </c>
      <c r="AW95" s="1798">
        <f t="shared" si="13"/>
        <v>0</v>
      </c>
      <c r="AX95" s="1798">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8">
        <f t="shared" si="12"/>
        <v>0</v>
      </c>
      <c r="AW96" s="1798">
        <f t="shared" si="13"/>
        <v>0</v>
      </c>
      <c r="AX96" s="1798">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8">
        <f t="shared" si="12"/>
        <v>0</v>
      </c>
      <c r="AW97" s="1798">
        <f t="shared" si="13"/>
        <v>0</v>
      </c>
      <c r="AX97" s="1798">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8">
        <f t="shared" si="12"/>
        <v>0</v>
      </c>
      <c r="AW98" s="1798">
        <f t="shared" si="13"/>
        <v>0</v>
      </c>
      <c r="AX98" s="1798">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8">
        <f t="shared" si="12"/>
        <v>0</v>
      </c>
      <c r="AW99" s="1798">
        <f t="shared" si="13"/>
        <v>0</v>
      </c>
      <c r="AX99" s="1798">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8">
        <f t="shared" si="12"/>
        <v>0</v>
      </c>
      <c r="AW100" s="1798">
        <f t="shared" si="13"/>
        <v>0</v>
      </c>
      <c r="AX100" s="1798">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8">
        <f t="shared" si="12"/>
        <v>0</v>
      </c>
      <c r="AW101" s="1798">
        <f t="shared" si="13"/>
        <v>0</v>
      </c>
      <c r="AX101" s="1798">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8">
        <f t="shared" si="12"/>
        <v>0</v>
      </c>
      <c r="AW102" s="1798">
        <f t="shared" si="13"/>
        <v>0</v>
      </c>
      <c r="AX102" s="1798">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8">
        <f t="shared" si="12"/>
        <v>0</v>
      </c>
      <c r="AW103" s="1798">
        <f t="shared" si="13"/>
        <v>0</v>
      </c>
      <c r="AX103" s="1798">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8">
        <f t="shared" si="12"/>
        <v>0</v>
      </c>
      <c r="AW104" s="1798">
        <f t="shared" si="13"/>
        <v>0</v>
      </c>
      <c r="AX104" s="1798">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8">
        <f t="shared" si="12"/>
        <v>0</v>
      </c>
      <c r="AW105" s="1798">
        <f t="shared" si="13"/>
        <v>0</v>
      </c>
      <c r="AX105" s="1798">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8">
        <f t="shared" si="12"/>
        <v>0</v>
      </c>
      <c r="AW106" s="1798">
        <f t="shared" si="13"/>
        <v>0</v>
      </c>
      <c r="AX106" s="1798">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8">
        <f t="shared" si="12"/>
        <v>0</v>
      </c>
      <c r="AW107" s="1798">
        <f t="shared" si="13"/>
        <v>0</v>
      </c>
      <c r="AX107" s="1798">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8">
        <f t="shared" si="12"/>
        <v>0</v>
      </c>
      <c r="AW108" s="1798">
        <f t="shared" si="13"/>
        <v>0</v>
      </c>
      <c r="AX108" s="1798">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8">
        <f t="shared" si="12"/>
        <v>0</v>
      </c>
      <c r="AW109" s="1798">
        <f t="shared" si="13"/>
        <v>0</v>
      </c>
      <c r="AX109" s="1798">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2"/>
        <v>0</v>
      </c>
      <c r="AW110" s="1798">
        <f t="shared" si="13"/>
        <v>0</v>
      </c>
      <c r="AX110" s="1798">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8">
        <f t="shared" si="12"/>
        <v>0</v>
      </c>
      <c r="AW111" s="1798">
        <f t="shared" si="13"/>
        <v>0</v>
      </c>
      <c r="AX111" s="1798">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8">
        <f t="shared" si="12"/>
        <v>0</v>
      </c>
      <c r="AW112" s="1798">
        <f t="shared" si="13"/>
        <v>0</v>
      </c>
      <c r="AX112" s="1798">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3">A113</f>
        <v>0</v>
      </c>
      <c r="AW113" s="1798">
        <f t="shared" ref="AW113:AW144" si="64">B113</f>
        <v>0</v>
      </c>
      <c r="AX113" s="1798">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8">
        <f t="shared" si="63"/>
        <v>0</v>
      </c>
      <c r="AW114" s="1798">
        <f t="shared" si="64"/>
        <v>0</v>
      </c>
      <c r="AX114" s="1798">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8">
        <f t="shared" si="63"/>
        <v>0</v>
      </c>
      <c r="AW115" s="1798">
        <f t="shared" si="64"/>
        <v>0</v>
      </c>
      <c r="AX115" s="1798">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8">
        <f t="shared" si="63"/>
        <v>0</v>
      </c>
      <c r="AW116" s="1798">
        <f t="shared" si="64"/>
        <v>0</v>
      </c>
      <c r="AX116" s="1798">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8">
        <f t="shared" si="63"/>
        <v>0</v>
      </c>
      <c r="AW117" s="1798">
        <f t="shared" si="64"/>
        <v>0</v>
      </c>
      <c r="AX117" s="1798">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8">
        <f t="shared" si="63"/>
        <v>0</v>
      </c>
      <c r="AW118" s="1798">
        <f t="shared" si="64"/>
        <v>0</v>
      </c>
      <c r="AX118" s="1798">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8">
        <f t="shared" si="63"/>
        <v>0</v>
      </c>
      <c r="AW119" s="1798">
        <f t="shared" si="64"/>
        <v>0</v>
      </c>
      <c r="AX119" s="1798">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8">
        <f t="shared" si="63"/>
        <v>0</v>
      </c>
      <c r="AW120" s="1798">
        <f t="shared" si="64"/>
        <v>0</v>
      </c>
      <c r="AX120" s="1798">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8">
        <f t="shared" si="63"/>
        <v>0</v>
      </c>
      <c r="AW121" s="1798">
        <f t="shared" si="64"/>
        <v>0</v>
      </c>
      <c r="AX121" s="1798">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8">
        <f t="shared" si="63"/>
        <v>0</v>
      </c>
      <c r="AW122" s="1798">
        <f t="shared" si="64"/>
        <v>0</v>
      </c>
      <c r="AX122" s="1798">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8">
        <f t="shared" si="63"/>
        <v>0</v>
      </c>
      <c r="AW123" s="1798">
        <f t="shared" si="64"/>
        <v>0</v>
      </c>
      <c r="AX123" s="1798">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8">
        <f t="shared" si="63"/>
        <v>0</v>
      </c>
      <c r="AW124" s="1798">
        <f t="shared" si="64"/>
        <v>0</v>
      </c>
      <c r="AX124" s="1798">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8">
        <f t="shared" si="63"/>
        <v>0</v>
      </c>
      <c r="AW125" s="1798">
        <f t="shared" si="64"/>
        <v>0</v>
      </c>
      <c r="AX125" s="1798">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8">
        <f t="shared" si="63"/>
        <v>0</v>
      </c>
      <c r="AW126" s="1798">
        <f t="shared" si="64"/>
        <v>0</v>
      </c>
      <c r="AX126" s="1798">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8">
        <f t="shared" si="63"/>
        <v>0</v>
      </c>
      <c r="AW127" s="1798">
        <f t="shared" si="64"/>
        <v>0</v>
      </c>
      <c r="AX127" s="1798">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8">
        <f t="shared" si="63"/>
        <v>0</v>
      </c>
      <c r="AW128" s="1798">
        <f t="shared" si="64"/>
        <v>0</v>
      </c>
      <c r="AX128" s="1798">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8">
        <f t="shared" si="63"/>
        <v>0</v>
      </c>
      <c r="AW129" s="1798">
        <f t="shared" si="64"/>
        <v>0</v>
      </c>
      <c r="AX129" s="1798">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8">
        <f t="shared" si="63"/>
        <v>0</v>
      </c>
      <c r="AW130" s="1798">
        <f t="shared" si="64"/>
        <v>0</v>
      </c>
      <c r="AX130" s="1798">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8">
        <f t="shared" si="63"/>
        <v>0</v>
      </c>
      <c r="AW131" s="1798">
        <f t="shared" si="64"/>
        <v>0</v>
      </c>
      <c r="AX131" s="1798">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8">
        <f t="shared" si="63"/>
        <v>0</v>
      </c>
      <c r="AW132" s="1798">
        <f t="shared" si="64"/>
        <v>0</v>
      </c>
      <c r="AX132" s="1798">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8">
        <f t="shared" si="63"/>
        <v>0</v>
      </c>
      <c r="AW133" s="1798">
        <f t="shared" si="64"/>
        <v>0</v>
      </c>
      <c r="AX133" s="1798">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8">
        <f t="shared" si="63"/>
        <v>0</v>
      </c>
      <c r="AW134" s="1798">
        <f t="shared" si="64"/>
        <v>0</v>
      </c>
      <c r="AX134" s="1798">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8">
        <f t="shared" si="63"/>
        <v>0</v>
      </c>
      <c r="AW135" s="1798">
        <f t="shared" si="64"/>
        <v>0</v>
      </c>
      <c r="AX135" s="1798">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8">
        <f t="shared" si="63"/>
        <v>0</v>
      </c>
      <c r="AW136" s="1798">
        <f t="shared" si="64"/>
        <v>0</v>
      </c>
      <c r="AX136" s="1798">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8">
        <f t="shared" si="63"/>
        <v>0</v>
      </c>
      <c r="AW137" s="1798">
        <f t="shared" si="64"/>
        <v>0</v>
      </c>
      <c r="AX137" s="1798">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8">
        <f t="shared" si="63"/>
        <v>0</v>
      </c>
      <c r="AW138" s="1798">
        <f t="shared" si="64"/>
        <v>0</v>
      </c>
      <c r="AX138" s="1798">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8">
        <f t="shared" si="63"/>
        <v>0</v>
      </c>
      <c r="AW139" s="1798">
        <f t="shared" si="64"/>
        <v>0</v>
      </c>
      <c r="AX139" s="1798">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8">
        <f t="shared" si="63"/>
        <v>0</v>
      </c>
      <c r="AW140" s="1798">
        <f t="shared" si="64"/>
        <v>0</v>
      </c>
      <c r="AX140" s="1798">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8">
        <f t="shared" si="63"/>
        <v>0</v>
      </c>
      <c r="AW141" s="1798">
        <f t="shared" si="64"/>
        <v>0</v>
      </c>
      <c r="AX141" s="1798">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3"/>
        <v>0</v>
      </c>
      <c r="AW142" s="1798">
        <f t="shared" si="64"/>
        <v>0</v>
      </c>
      <c r="AX142" s="1798">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8">
        <f t="shared" si="63"/>
        <v>0</v>
      </c>
      <c r="AW143" s="1798">
        <f t="shared" si="64"/>
        <v>0</v>
      </c>
      <c r="AX143" s="1798">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8">
        <f t="shared" si="63"/>
        <v>0</v>
      </c>
      <c r="AW144" s="1798">
        <f t="shared" si="64"/>
        <v>0</v>
      </c>
      <c r="AX144" s="1798">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2">A145</f>
        <v>0</v>
      </c>
      <c r="AW145" s="1798">
        <f t="shared" ref="AW145:AW176" si="93">B145</f>
        <v>0</v>
      </c>
      <c r="AX145" s="1798">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8">
        <f t="shared" si="92"/>
        <v>0</v>
      </c>
      <c r="AW146" s="1798">
        <f t="shared" si="93"/>
        <v>0</v>
      </c>
      <c r="AX146" s="1798">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8">
        <f t="shared" si="92"/>
        <v>0</v>
      </c>
      <c r="AW147" s="1798">
        <f t="shared" si="93"/>
        <v>0</v>
      </c>
      <c r="AX147" s="1798">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8">
        <f t="shared" si="92"/>
        <v>0</v>
      </c>
      <c r="AW148" s="1798">
        <f t="shared" si="93"/>
        <v>0</v>
      </c>
      <c r="AX148" s="1798">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8">
        <f t="shared" si="92"/>
        <v>0</v>
      </c>
      <c r="AW149" s="1798">
        <f t="shared" si="93"/>
        <v>0</v>
      </c>
      <c r="AX149" s="1798">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8">
        <f t="shared" si="92"/>
        <v>0</v>
      </c>
      <c r="AW150" s="1798">
        <f t="shared" si="93"/>
        <v>0</v>
      </c>
      <c r="AX150" s="1798">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8">
        <f t="shared" si="92"/>
        <v>0</v>
      </c>
      <c r="AW151" s="1798">
        <f t="shared" si="93"/>
        <v>0</v>
      </c>
      <c r="AX151" s="1798">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8">
        <f t="shared" si="92"/>
        <v>0</v>
      </c>
      <c r="AW152" s="1798">
        <f t="shared" si="93"/>
        <v>0</v>
      </c>
      <c r="AX152" s="1798">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8">
        <f t="shared" si="92"/>
        <v>0</v>
      </c>
      <c r="AW153" s="1798">
        <f t="shared" si="93"/>
        <v>0</v>
      </c>
      <c r="AX153" s="1798">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8">
        <f t="shared" si="92"/>
        <v>0</v>
      </c>
      <c r="AW154" s="1798">
        <f t="shared" si="93"/>
        <v>0</v>
      </c>
      <c r="AX154" s="1798">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8">
        <f t="shared" si="92"/>
        <v>0</v>
      </c>
      <c r="AW155" s="1798">
        <f t="shared" si="93"/>
        <v>0</v>
      </c>
      <c r="AX155" s="1798">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8">
        <f t="shared" si="92"/>
        <v>0</v>
      </c>
      <c r="AW156" s="1798">
        <f t="shared" si="93"/>
        <v>0</v>
      </c>
      <c r="AX156" s="1798">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8">
        <f t="shared" si="92"/>
        <v>0</v>
      </c>
      <c r="AW157" s="1798">
        <f t="shared" si="93"/>
        <v>0</v>
      </c>
      <c r="AX157" s="1798">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8">
        <f t="shared" si="92"/>
        <v>0</v>
      </c>
      <c r="AW158" s="1798">
        <f t="shared" si="93"/>
        <v>0</v>
      </c>
      <c r="AX158" s="1798">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8">
        <f t="shared" si="92"/>
        <v>0</v>
      </c>
      <c r="AW159" s="1798">
        <f t="shared" si="93"/>
        <v>0</v>
      </c>
      <c r="AX159" s="1798">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8">
        <f t="shared" si="92"/>
        <v>0</v>
      </c>
      <c r="AW160" s="1798">
        <f t="shared" si="93"/>
        <v>0</v>
      </c>
      <c r="AX160" s="1798">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8">
        <f t="shared" si="92"/>
        <v>0</v>
      </c>
      <c r="AW161" s="1798">
        <f t="shared" si="93"/>
        <v>0</v>
      </c>
      <c r="AX161" s="1798">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8">
        <f t="shared" si="92"/>
        <v>0</v>
      </c>
      <c r="AW162" s="1798">
        <f t="shared" si="93"/>
        <v>0</v>
      </c>
      <c r="AX162" s="1798">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8">
        <f t="shared" si="92"/>
        <v>0</v>
      </c>
      <c r="AW163" s="1798">
        <f t="shared" si="93"/>
        <v>0</v>
      </c>
      <c r="AX163" s="1798">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8">
        <f t="shared" si="92"/>
        <v>0</v>
      </c>
      <c r="AW164" s="1798">
        <f t="shared" si="93"/>
        <v>0</v>
      </c>
      <c r="AX164" s="1798">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8">
        <f t="shared" si="92"/>
        <v>0</v>
      </c>
      <c r="AW165" s="1798">
        <f t="shared" si="93"/>
        <v>0</v>
      </c>
      <c r="AX165" s="1798">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8">
        <f t="shared" si="92"/>
        <v>0</v>
      </c>
      <c r="AW166" s="1798">
        <f t="shared" si="93"/>
        <v>0</v>
      </c>
      <c r="AX166" s="1798">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8">
        <f t="shared" si="92"/>
        <v>0</v>
      </c>
      <c r="AW167" s="1798">
        <f t="shared" si="93"/>
        <v>0</v>
      </c>
      <c r="AX167" s="1798">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8">
        <f t="shared" si="92"/>
        <v>0</v>
      </c>
      <c r="AW168" s="1798">
        <f t="shared" si="93"/>
        <v>0</v>
      </c>
      <c r="AX168" s="1798">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8">
        <f t="shared" si="92"/>
        <v>0</v>
      </c>
      <c r="AW169" s="1798">
        <f t="shared" si="93"/>
        <v>0</v>
      </c>
      <c r="AX169" s="1798">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8">
        <f t="shared" si="92"/>
        <v>0</v>
      </c>
      <c r="AW170" s="1798">
        <f t="shared" si="93"/>
        <v>0</v>
      </c>
      <c r="AX170" s="1798">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8">
        <f t="shared" si="92"/>
        <v>0</v>
      </c>
      <c r="AW171" s="1798">
        <f t="shared" si="93"/>
        <v>0</v>
      </c>
      <c r="AX171" s="1798">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8">
        <f t="shared" si="92"/>
        <v>0</v>
      </c>
      <c r="AW172" s="1798">
        <f t="shared" si="93"/>
        <v>0</v>
      </c>
      <c r="AX172" s="1798">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8">
        <f t="shared" si="92"/>
        <v>0</v>
      </c>
      <c r="AW173" s="1798">
        <f t="shared" si="93"/>
        <v>0</v>
      </c>
      <c r="AX173" s="1798">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2"/>
        <v>0</v>
      </c>
      <c r="AW174" s="1798">
        <f t="shared" si="93"/>
        <v>0</v>
      </c>
      <c r="AX174" s="1798">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8">
        <f t="shared" si="92"/>
        <v>0</v>
      </c>
      <c r="AW175" s="1798">
        <f t="shared" si="93"/>
        <v>0</v>
      </c>
      <c r="AX175" s="1798">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8">
        <f t="shared" si="92"/>
        <v>0</v>
      </c>
      <c r="AW176" s="1798">
        <f t="shared" si="93"/>
        <v>0</v>
      </c>
      <c r="AX176" s="1798">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1">A177</f>
        <v>0</v>
      </c>
      <c r="AW177" s="1798">
        <f t="shared" ref="AW177:AW207" si="122">B177</f>
        <v>0</v>
      </c>
      <c r="AX177" s="1798">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8">
        <f t="shared" si="121"/>
        <v>0</v>
      </c>
      <c r="AW178" s="1798">
        <f t="shared" si="122"/>
        <v>0</v>
      </c>
      <c r="AX178" s="1798">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8">
        <f t="shared" si="121"/>
        <v>0</v>
      </c>
      <c r="AW179" s="1798">
        <f t="shared" si="122"/>
        <v>0</v>
      </c>
      <c r="AX179" s="1798">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8">
        <f t="shared" si="121"/>
        <v>0</v>
      </c>
      <c r="AW180" s="1798">
        <f t="shared" si="122"/>
        <v>0</v>
      </c>
      <c r="AX180" s="1798">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8">
        <f t="shared" si="121"/>
        <v>0</v>
      </c>
      <c r="AW181" s="1798">
        <f t="shared" si="122"/>
        <v>0</v>
      </c>
      <c r="AX181" s="1798">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8">
        <f t="shared" si="121"/>
        <v>0</v>
      </c>
      <c r="AW182" s="1798">
        <f t="shared" si="122"/>
        <v>0</v>
      </c>
      <c r="AX182" s="1798">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8">
        <f t="shared" si="121"/>
        <v>0</v>
      </c>
      <c r="AW183" s="1798">
        <f t="shared" si="122"/>
        <v>0</v>
      </c>
      <c r="AX183" s="1798">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8">
        <f t="shared" si="121"/>
        <v>0</v>
      </c>
      <c r="AW184" s="1798">
        <f t="shared" si="122"/>
        <v>0</v>
      </c>
      <c r="AX184" s="1798">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8">
        <f t="shared" si="121"/>
        <v>0</v>
      </c>
      <c r="AW185" s="1798">
        <f t="shared" si="122"/>
        <v>0</v>
      </c>
      <c r="AX185" s="1798">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8">
        <f t="shared" si="121"/>
        <v>0</v>
      </c>
      <c r="AW186" s="1798">
        <f t="shared" si="122"/>
        <v>0</v>
      </c>
      <c r="AX186" s="1798">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8">
        <f t="shared" si="121"/>
        <v>0</v>
      </c>
      <c r="AW187" s="1798">
        <f t="shared" si="122"/>
        <v>0</v>
      </c>
      <c r="AX187" s="1798">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8">
        <f t="shared" si="121"/>
        <v>0</v>
      </c>
      <c r="AW188" s="1798">
        <f t="shared" si="122"/>
        <v>0</v>
      </c>
      <c r="AX188" s="1798">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8">
        <f t="shared" si="121"/>
        <v>0</v>
      </c>
      <c r="AW189" s="1798">
        <f t="shared" si="122"/>
        <v>0</v>
      </c>
      <c r="AX189" s="1798">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8">
        <f t="shared" si="121"/>
        <v>0</v>
      </c>
      <c r="AW190" s="1798">
        <f t="shared" si="122"/>
        <v>0</v>
      </c>
      <c r="AX190" s="1798">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8">
        <f t="shared" si="121"/>
        <v>0</v>
      </c>
      <c r="AW191" s="1798">
        <f t="shared" si="122"/>
        <v>0</v>
      </c>
      <c r="AX191" s="1798">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8">
        <f t="shared" si="121"/>
        <v>0</v>
      </c>
      <c r="AW192" s="1798">
        <f t="shared" si="122"/>
        <v>0</v>
      </c>
      <c r="AX192" s="1798">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8">
        <f t="shared" si="121"/>
        <v>0</v>
      </c>
      <c r="AW193" s="1798">
        <f t="shared" si="122"/>
        <v>0</v>
      </c>
      <c r="AX193" s="1798">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8">
        <f t="shared" si="121"/>
        <v>0</v>
      </c>
      <c r="AW194" s="1798">
        <f t="shared" si="122"/>
        <v>0</v>
      </c>
      <c r="AX194" s="1798">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8">
        <f t="shared" si="121"/>
        <v>0</v>
      </c>
      <c r="AW195" s="1798">
        <f t="shared" si="122"/>
        <v>0</v>
      </c>
      <c r="AX195" s="1798">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8">
        <f t="shared" si="121"/>
        <v>0</v>
      </c>
      <c r="AW196" s="1798">
        <f t="shared" si="122"/>
        <v>0</v>
      </c>
      <c r="AX196" s="1798">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8">
        <f t="shared" si="121"/>
        <v>0</v>
      </c>
      <c r="AW197" s="1798">
        <f t="shared" si="122"/>
        <v>0</v>
      </c>
      <c r="AX197" s="1798">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8">
        <f t="shared" si="121"/>
        <v>0</v>
      </c>
      <c r="AW198" s="1798">
        <f t="shared" si="122"/>
        <v>0</v>
      </c>
      <c r="AX198" s="1798">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8">
        <f t="shared" si="121"/>
        <v>0</v>
      </c>
      <c r="AW199" s="1798">
        <f t="shared" si="122"/>
        <v>0</v>
      </c>
      <c r="AX199" s="1798">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8">
        <f t="shared" si="121"/>
        <v>0</v>
      </c>
      <c r="AW200" s="1798">
        <f t="shared" si="122"/>
        <v>0</v>
      </c>
      <c r="AX200" s="1798">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8">
        <f t="shared" si="121"/>
        <v>0</v>
      </c>
      <c r="AW201" s="1798">
        <f t="shared" si="122"/>
        <v>0</v>
      </c>
      <c r="AX201" s="1798">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8">
        <f t="shared" si="121"/>
        <v>0</v>
      </c>
      <c r="AW202" s="1798">
        <f t="shared" si="122"/>
        <v>0</v>
      </c>
      <c r="AX202" s="1798">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8">
        <f t="shared" si="121"/>
        <v>0</v>
      </c>
      <c r="AW203" s="1798">
        <f t="shared" si="122"/>
        <v>0</v>
      </c>
      <c r="AX203" s="1798">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8">
        <f t="shared" si="121"/>
        <v>0</v>
      </c>
      <c r="AW204" s="1798">
        <f t="shared" si="122"/>
        <v>0</v>
      </c>
      <c r="AX204" s="1798">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8">
        <f t="shared" si="121"/>
        <v>0</v>
      </c>
      <c r="AW205" s="1798">
        <f t="shared" si="122"/>
        <v>0</v>
      </c>
      <c r="AX205" s="1798">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1"/>
        <v>0</v>
      </c>
      <c r="AW206" s="1798">
        <f t="shared" si="122"/>
        <v>0</v>
      </c>
      <c r="AX206" s="1798">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1"/>
        <v>0</v>
      </c>
      <c r="AW207" s="1798">
        <f t="shared" si="122"/>
        <v>0</v>
      </c>
      <c r="AX207" s="1798">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8">A208</f>
        <v>0</v>
      </c>
      <c r="AW208" s="1798">
        <f t="shared" ref="AW208:AW302" si="129">B208</f>
        <v>0</v>
      </c>
      <c r="AX208" s="1798">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8">
        <f t="shared" si="128"/>
        <v>0</v>
      </c>
      <c r="AW209" s="1798">
        <f t="shared" si="129"/>
        <v>0</v>
      </c>
      <c r="AX209" s="1798">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8">
        <f t="shared" si="128"/>
        <v>0</v>
      </c>
      <c r="AW210" s="1798">
        <f t="shared" si="129"/>
        <v>0</v>
      </c>
      <c r="AX210" s="1798">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8">
        <f t="shared" si="128"/>
        <v>0</v>
      </c>
      <c r="AW211" s="1798">
        <f t="shared" si="129"/>
        <v>0</v>
      </c>
      <c r="AX211" s="1798">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8">
        <f t="shared" si="128"/>
        <v>0</v>
      </c>
      <c r="AW212" s="1798">
        <f t="shared" si="129"/>
        <v>0</v>
      </c>
      <c r="AX212" s="1798">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8">
        <f t="shared" si="128"/>
        <v>0</v>
      </c>
      <c r="AW213" s="1798">
        <f t="shared" si="129"/>
        <v>0</v>
      </c>
      <c r="AX213" s="1798">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8">
        <f t="shared" si="128"/>
        <v>0</v>
      </c>
      <c r="AW214" s="1798">
        <f t="shared" si="129"/>
        <v>0</v>
      </c>
      <c r="AX214" s="1798">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8">
        <f t="shared" si="128"/>
        <v>0</v>
      </c>
      <c r="AW215" s="1798">
        <f t="shared" si="129"/>
        <v>0</v>
      </c>
      <c r="AX215" s="1798">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8">
        <f t="shared" si="128"/>
        <v>0</v>
      </c>
      <c r="AW216" s="1798">
        <f t="shared" si="129"/>
        <v>0</v>
      </c>
      <c r="AX216" s="1798">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8">
        <f t="shared" si="128"/>
        <v>0</v>
      </c>
      <c r="AW217" s="1798">
        <f t="shared" si="129"/>
        <v>0</v>
      </c>
      <c r="AX217" s="1798">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8">
        <f t="shared" si="128"/>
        <v>0</v>
      </c>
      <c r="AW218" s="1798">
        <f t="shared" si="129"/>
        <v>0</v>
      </c>
      <c r="AX218" s="1798">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8">
        <f t="shared" si="128"/>
        <v>0</v>
      </c>
      <c r="AW219" s="1798">
        <f t="shared" si="129"/>
        <v>0</v>
      </c>
      <c r="AX219" s="1798">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8">
        <f t="shared" si="128"/>
        <v>0</v>
      </c>
      <c r="AW220" s="1798">
        <f t="shared" si="129"/>
        <v>0</v>
      </c>
      <c r="AX220" s="1798">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8">
        <f t="shared" si="128"/>
        <v>0</v>
      </c>
      <c r="AW221" s="1798">
        <f t="shared" si="129"/>
        <v>0</v>
      </c>
      <c r="AX221" s="1798">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8">
        <f t="shared" si="128"/>
        <v>0</v>
      </c>
      <c r="AW222" s="1798">
        <f t="shared" si="129"/>
        <v>0</v>
      </c>
      <c r="AX222" s="1798">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8">
        <f t="shared" si="128"/>
        <v>0</v>
      </c>
      <c r="AW223" s="1798">
        <f t="shared" si="129"/>
        <v>0</v>
      </c>
      <c r="AX223" s="1798">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8">
        <f t="shared" si="128"/>
        <v>0</v>
      </c>
      <c r="AW224" s="1798">
        <f t="shared" si="129"/>
        <v>0</v>
      </c>
      <c r="AX224" s="1798">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8">
        <f t="shared" si="128"/>
        <v>0</v>
      </c>
      <c r="AW225" s="1798">
        <f t="shared" si="129"/>
        <v>0</v>
      </c>
      <c r="AX225" s="1798">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8">
        <f t="shared" si="128"/>
        <v>0</v>
      </c>
      <c r="AW226" s="1798">
        <f t="shared" si="129"/>
        <v>0</v>
      </c>
      <c r="AX226" s="1798">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8">
        <f t="shared" si="128"/>
        <v>0</v>
      </c>
      <c r="AW227" s="1798">
        <f t="shared" si="129"/>
        <v>0</v>
      </c>
      <c r="AX227" s="1798">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8">
        <f t="shared" si="128"/>
        <v>0</v>
      </c>
      <c r="AW228" s="1798">
        <f t="shared" si="129"/>
        <v>0</v>
      </c>
      <c r="AX228" s="1798">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8">
        <f t="shared" si="128"/>
        <v>0</v>
      </c>
      <c r="AW229" s="1798">
        <f t="shared" si="129"/>
        <v>0</v>
      </c>
      <c r="AX229" s="1798">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8">
        <f t="shared" si="128"/>
        <v>0</v>
      </c>
      <c r="AW230" s="1798">
        <f t="shared" si="129"/>
        <v>0</v>
      </c>
      <c r="AX230" s="1798">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8">
        <f t="shared" si="128"/>
        <v>0</v>
      </c>
      <c r="AW231" s="1798">
        <f t="shared" si="129"/>
        <v>0</v>
      </c>
      <c r="AX231" s="1798">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8">
        <f t="shared" si="128"/>
        <v>0</v>
      </c>
      <c r="AW232" s="1798">
        <f t="shared" si="129"/>
        <v>0</v>
      </c>
      <c r="AX232" s="1798">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8">
        <f t="shared" si="128"/>
        <v>0</v>
      </c>
      <c r="AW233" s="1798">
        <f t="shared" si="129"/>
        <v>0</v>
      </c>
      <c r="AX233" s="1798">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8">
        <f t="shared" si="128"/>
        <v>0</v>
      </c>
      <c r="AW234" s="1798">
        <f t="shared" si="129"/>
        <v>0</v>
      </c>
      <c r="AX234" s="1798">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8">
        <f t="shared" si="128"/>
        <v>0</v>
      </c>
      <c r="AW235" s="1798">
        <f t="shared" si="129"/>
        <v>0</v>
      </c>
      <c r="AX235" s="1798">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8">
        <f t="shared" si="128"/>
        <v>0</v>
      </c>
      <c r="AW236" s="1798">
        <f t="shared" si="129"/>
        <v>0</v>
      </c>
      <c r="AX236" s="1798">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8">
        <f t="shared" si="128"/>
        <v>0</v>
      </c>
      <c r="AW237" s="1798">
        <f t="shared" si="129"/>
        <v>0</v>
      </c>
      <c r="AX237" s="1798">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8">
        <f t="shared" si="128"/>
        <v>0</v>
      </c>
      <c r="AW238" s="1798">
        <f t="shared" si="129"/>
        <v>0</v>
      </c>
      <c r="AX238" s="1798">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8">
        <f t="shared" si="128"/>
        <v>0</v>
      </c>
      <c r="AW239" s="1798">
        <f t="shared" si="129"/>
        <v>0</v>
      </c>
      <c r="AX239" s="1798">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8">
        <f t="shared" si="128"/>
        <v>0</v>
      </c>
      <c r="AW240" s="1798">
        <f t="shared" si="129"/>
        <v>0</v>
      </c>
      <c r="AX240" s="1798">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8">
        <f t="shared" si="128"/>
        <v>0</v>
      </c>
      <c r="AW241" s="1798">
        <f t="shared" si="129"/>
        <v>0</v>
      </c>
      <c r="AX241" s="1798">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8">
        <f t="shared" si="128"/>
        <v>0</v>
      </c>
      <c r="AW242" s="1798">
        <f t="shared" si="129"/>
        <v>0</v>
      </c>
      <c r="AX242" s="1798">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8">
        <f t="shared" si="128"/>
        <v>0</v>
      </c>
      <c r="AW243" s="1798">
        <f t="shared" si="129"/>
        <v>0</v>
      </c>
      <c r="AX243" s="1798">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8">
        <f t="shared" si="128"/>
        <v>0</v>
      </c>
      <c r="AW244" s="1798">
        <f t="shared" si="129"/>
        <v>0</v>
      </c>
      <c r="AX244" s="1798">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8">
        <f t="shared" si="128"/>
        <v>0</v>
      </c>
      <c r="AW245" s="1798">
        <f t="shared" si="129"/>
        <v>0</v>
      </c>
      <c r="AX245" s="1798">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8">
        <f t="shared" si="128"/>
        <v>0</v>
      </c>
      <c r="AW246" s="1798">
        <f t="shared" si="129"/>
        <v>0</v>
      </c>
      <c r="AX246" s="1798">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8">
        <f t="shared" si="128"/>
        <v>0</v>
      </c>
      <c r="AW247" s="1798">
        <f t="shared" si="129"/>
        <v>0</v>
      </c>
      <c r="AX247" s="1798">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8">
        <f t="shared" si="128"/>
        <v>0</v>
      </c>
      <c r="AW248" s="1798">
        <f t="shared" si="129"/>
        <v>0</v>
      </c>
      <c r="AX248" s="1798">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8">
        <f t="shared" si="128"/>
        <v>0</v>
      </c>
      <c r="AW249" s="1798">
        <f t="shared" si="129"/>
        <v>0</v>
      </c>
      <c r="AX249" s="1798">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8">
        <f t="shared" si="128"/>
        <v>0</v>
      </c>
      <c r="AW250" s="1798">
        <f t="shared" si="129"/>
        <v>0</v>
      </c>
      <c r="AX250" s="1798">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8">
        <f t="shared" si="128"/>
        <v>0</v>
      </c>
      <c r="AW251" s="1798">
        <f t="shared" si="129"/>
        <v>0</v>
      </c>
      <c r="AX251" s="1798">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8">
        <f t="shared" si="128"/>
        <v>0</v>
      </c>
      <c r="AW252" s="1798">
        <f t="shared" si="129"/>
        <v>0</v>
      </c>
      <c r="AX252" s="1798">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8">
        <f t="shared" si="128"/>
        <v>0</v>
      </c>
      <c r="AW253" s="1798">
        <f t="shared" si="129"/>
        <v>0</v>
      </c>
      <c r="AX253" s="1798">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8">
        <f t="shared" si="128"/>
        <v>0</v>
      </c>
      <c r="AW254" s="1798">
        <f t="shared" si="129"/>
        <v>0</v>
      </c>
      <c r="AX254" s="1798">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8">
        <f t="shared" si="128"/>
        <v>0</v>
      </c>
      <c r="AW255" s="1798">
        <f t="shared" si="129"/>
        <v>0</v>
      </c>
      <c r="AX255" s="1798">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8">
        <f t="shared" si="128"/>
        <v>0</v>
      </c>
      <c r="AW256" s="1798">
        <f t="shared" si="129"/>
        <v>0</v>
      </c>
      <c r="AX256" s="1798">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8">
        <f t="shared" si="128"/>
        <v>0</v>
      </c>
      <c r="AW257" s="1798">
        <f t="shared" si="129"/>
        <v>0</v>
      </c>
      <c r="AX257" s="1798">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8">
        <f t="shared" si="128"/>
        <v>0</v>
      </c>
      <c r="AW258" s="1798">
        <f t="shared" si="129"/>
        <v>0</v>
      </c>
      <c r="AX258" s="1798">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8">
        <f t="shared" si="128"/>
        <v>0</v>
      </c>
      <c r="AW259" s="1798">
        <f t="shared" si="129"/>
        <v>0</v>
      </c>
      <c r="AX259" s="1798">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8">
        <f t="shared" si="128"/>
        <v>0</v>
      </c>
      <c r="AW260" s="1798">
        <f t="shared" si="129"/>
        <v>0</v>
      </c>
      <c r="AX260" s="1798">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8">
        <f t="shared" si="128"/>
        <v>0</v>
      </c>
      <c r="AW261" s="1798">
        <f t="shared" si="129"/>
        <v>0</v>
      </c>
      <c r="AX261" s="1798">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8">
        <f t="shared" si="128"/>
        <v>0</v>
      </c>
      <c r="AW262" s="1798">
        <f t="shared" si="129"/>
        <v>0</v>
      </c>
      <c r="AX262" s="1798">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8">
        <f t="shared" si="128"/>
        <v>0</v>
      </c>
      <c r="AW263" s="1798">
        <f t="shared" si="129"/>
        <v>0</v>
      </c>
      <c r="AX263" s="1798">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8">
        <f t="shared" si="128"/>
        <v>0</v>
      </c>
      <c r="AW264" s="1798">
        <f t="shared" si="129"/>
        <v>0</v>
      </c>
      <c r="AX264" s="1798">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8">
        <f t="shared" si="128"/>
        <v>0</v>
      </c>
      <c r="AW265" s="1798">
        <f t="shared" si="129"/>
        <v>0</v>
      </c>
      <c r="AX265" s="1798">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8">
        <f t="shared" si="128"/>
        <v>0</v>
      </c>
      <c r="AW266" s="1798">
        <f t="shared" si="129"/>
        <v>0</v>
      </c>
      <c r="AX266" s="1798">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8">
        <f t="shared" si="128"/>
        <v>0</v>
      </c>
      <c r="AW267" s="1798">
        <f t="shared" si="129"/>
        <v>0</v>
      </c>
      <c r="AX267" s="1798">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8">
        <f t="shared" si="128"/>
        <v>0</v>
      </c>
      <c r="AW268" s="1798">
        <f t="shared" si="129"/>
        <v>0</v>
      </c>
      <c r="AX268" s="1798">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8">
        <f t="shared" si="128"/>
        <v>0</v>
      </c>
      <c r="AW269" s="1798">
        <f t="shared" si="129"/>
        <v>0</v>
      </c>
      <c r="AX269" s="1798">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8">
        <f t="shared" si="128"/>
        <v>0</v>
      </c>
      <c r="AW270" s="1798">
        <f t="shared" si="129"/>
        <v>0</v>
      </c>
      <c r="AX270" s="1798">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8">
        <f t="shared" si="128"/>
        <v>0</v>
      </c>
      <c r="AW271" s="1798">
        <f t="shared" si="129"/>
        <v>0</v>
      </c>
      <c r="AX271" s="1798">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8">
        <f t="shared" si="128"/>
        <v>0</v>
      </c>
      <c r="AW272" s="1798">
        <f t="shared" si="129"/>
        <v>0</v>
      </c>
      <c r="AX272" s="1798">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8">
        <f t="shared" si="128"/>
        <v>0</v>
      </c>
      <c r="AW273" s="1798">
        <f t="shared" si="129"/>
        <v>0</v>
      </c>
      <c r="AX273" s="1798">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8">
        <f t="shared" si="128"/>
        <v>0</v>
      </c>
      <c r="AW274" s="1798">
        <f t="shared" si="129"/>
        <v>0</v>
      </c>
      <c r="AX274" s="1798">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8">
        <f t="shared" si="128"/>
        <v>0</v>
      </c>
      <c r="AW275" s="1798">
        <f t="shared" si="129"/>
        <v>0</v>
      </c>
      <c r="AX275" s="1798">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8">
        <f t="shared" si="128"/>
        <v>0</v>
      </c>
      <c r="AW276" s="1798">
        <f t="shared" si="129"/>
        <v>0</v>
      </c>
      <c r="AX276" s="1798">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8">
        <f t="shared" si="128"/>
        <v>0</v>
      </c>
      <c r="AW277" s="1798">
        <f t="shared" si="129"/>
        <v>0</v>
      </c>
      <c r="AX277" s="1798">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8">
        <f t="shared" si="128"/>
        <v>0</v>
      </c>
      <c r="AW278" s="1798">
        <f t="shared" si="129"/>
        <v>0</v>
      </c>
      <c r="AX278" s="1798">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8">
        <f t="shared" si="128"/>
        <v>0</v>
      </c>
      <c r="AW279" s="1798">
        <f t="shared" si="129"/>
        <v>0</v>
      </c>
      <c r="AX279" s="1798">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8">
        <f t="shared" si="128"/>
        <v>0</v>
      </c>
      <c r="AW280" s="1798">
        <f t="shared" si="129"/>
        <v>0</v>
      </c>
      <c r="AX280" s="1798">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8">
        <f t="shared" si="128"/>
        <v>0</v>
      </c>
      <c r="AW281" s="1798">
        <f t="shared" si="129"/>
        <v>0</v>
      </c>
      <c r="AX281" s="1798">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8">
        <f t="shared" si="128"/>
        <v>0</v>
      </c>
      <c r="AW282" s="1798">
        <f t="shared" si="129"/>
        <v>0</v>
      </c>
      <c r="AX282" s="1798">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8">
        <f t="shared" si="128"/>
        <v>0</v>
      </c>
      <c r="AW283" s="1798">
        <f t="shared" si="129"/>
        <v>0</v>
      </c>
      <c r="AX283" s="1798">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8">
        <f t="shared" si="128"/>
        <v>0</v>
      </c>
      <c r="AW284" s="1798">
        <f t="shared" si="129"/>
        <v>0</v>
      </c>
      <c r="AX284" s="1798">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8">
        <f t="shared" si="128"/>
        <v>0</v>
      </c>
      <c r="AW285" s="1798">
        <f t="shared" si="129"/>
        <v>0</v>
      </c>
      <c r="AX285" s="1798">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8">
        <f t="shared" si="128"/>
        <v>0</v>
      </c>
      <c r="AW286" s="1798">
        <f t="shared" si="129"/>
        <v>0</v>
      </c>
      <c r="AX286" s="1798">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8">
        <f t="shared" si="128"/>
        <v>0</v>
      </c>
      <c r="AW287" s="1798">
        <f t="shared" si="129"/>
        <v>0</v>
      </c>
      <c r="AX287" s="1798">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8">
        <f t="shared" si="128"/>
        <v>0</v>
      </c>
      <c r="AW288" s="1798">
        <f t="shared" si="129"/>
        <v>0</v>
      </c>
      <c r="AX288" s="1798">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8">
        <f t="shared" si="128"/>
        <v>0</v>
      </c>
      <c r="AW289" s="1798">
        <f t="shared" si="129"/>
        <v>0</v>
      </c>
      <c r="AX289" s="1798">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8">
        <f t="shared" si="128"/>
        <v>0</v>
      </c>
      <c r="AW290" s="1798">
        <f t="shared" si="129"/>
        <v>0</v>
      </c>
      <c r="AX290" s="1798">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8">
        <f t="shared" si="128"/>
        <v>0</v>
      </c>
      <c r="AW291" s="1798">
        <f t="shared" si="129"/>
        <v>0</v>
      </c>
      <c r="AX291" s="1798">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8">
        <f t="shared" si="128"/>
        <v>0</v>
      </c>
      <c r="AW292" s="1798">
        <f t="shared" si="129"/>
        <v>0</v>
      </c>
      <c r="AX292" s="1798">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8">
        <f t="shared" si="128"/>
        <v>0</v>
      </c>
      <c r="AW293" s="1798">
        <f t="shared" si="129"/>
        <v>0</v>
      </c>
      <c r="AX293" s="1798">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8">
        <f t="shared" si="128"/>
        <v>0</v>
      </c>
      <c r="AW294" s="1798">
        <f t="shared" si="129"/>
        <v>0</v>
      </c>
      <c r="AX294" s="1798">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8">
        <f t="shared" si="128"/>
        <v>0</v>
      </c>
      <c r="AW295" s="1798">
        <f t="shared" si="129"/>
        <v>0</v>
      </c>
      <c r="AX295" s="1798">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8">
        <f t="shared" si="128"/>
        <v>0</v>
      </c>
      <c r="AW296" s="1798">
        <f t="shared" si="129"/>
        <v>0</v>
      </c>
      <c r="AX296" s="1798">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8">
        <f t="shared" si="128"/>
        <v>0</v>
      </c>
      <c r="AW297" s="1798">
        <f t="shared" si="129"/>
        <v>0</v>
      </c>
      <c r="AX297" s="1798">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8">
        <f t="shared" si="128"/>
        <v>0</v>
      </c>
      <c r="AW298" s="1798">
        <f t="shared" si="129"/>
        <v>0</v>
      </c>
      <c r="AX298" s="1798">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8">
        <f t="shared" si="128"/>
        <v>0</v>
      </c>
      <c r="AW299" s="1798">
        <f t="shared" si="129"/>
        <v>0</v>
      </c>
      <c r="AX299" s="1798">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8"/>
        <v>0</v>
      </c>
      <c r="AW300" s="1798">
        <f t="shared" si="129"/>
        <v>0</v>
      </c>
      <c r="AX300" s="1798">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8">
        <f t="shared" si="128"/>
        <v>0</v>
      </c>
      <c r="AW301" s="1798">
        <f t="shared" si="129"/>
        <v>0</v>
      </c>
      <c r="AX301" s="1798">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8">
        <f t="shared" si="128"/>
        <v>0</v>
      </c>
      <c r="AW302" s="1798">
        <f t="shared" si="129"/>
        <v>0</v>
      </c>
      <c r="AX302" s="1798">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9">A303</f>
        <v>0</v>
      </c>
      <c r="AW303" s="1798">
        <f t="shared" ref="AW303:AW334" si="180">B303</f>
        <v>0</v>
      </c>
      <c r="AX303" s="1798">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8">
        <f t="shared" si="179"/>
        <v>0</v>
      </c>
      <c r="AW304" s="1798">
        <f t="shared" si="180"/>
        <v>0</v>
      </c>
      <c r="AX304" s="1798">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8">
        <f t="shared" si="179"/>
        <v>0</v>
      </c>
      <c r="AW305" s="1798">
        <f t="shared" si="180"/>
        <v>0</v>
      </c>
      <c r="AX305" s="1798">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8">
        <f t="shared" si="179"/>
        <v>0</v>
      </c>
      <c r="AW306" s="1798">
        <f t="shared" si="180"/>
        <v>0</v>
      </c>
      <c r="AX306" s="1798">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8">
        <f t="shared" si="179"/>
        <v>0</v>
      </c>
      <c r="AW307" s="1798">
        <f t="shared" si="180"/>
        <v>0</v>
      </c>
      <c r="AX307" s="1798">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8">
        <f t="shared" si="179"/>
        <v>0</v>
      </c>
      <c r="AW308" s="1798">
        <f t="shared" si="180"/>
        <v>0</v>
      </c>
      <c r="AX308" s="1798">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8">
        <f t="shared" si="179"/>
        <v>0</v>
      </c>
      <c r="AW309" s="1798">
        <f t="shared" si="180"/>
        <v>0</v>
      </c>
      <c r="AX309" s="1798">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8">
        <f t="shared" si="179"/>
        <v>0</v>
      </c>
      <c r="AW310" s="1798">
        <f t="shared" si="180"/>
        <v>0</v>
      </c>
      <c r="AX310" s="1798">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8">
        <f t="shared" si="179"/>
        <v>0</v>
      </c>
      <c r="AW311" s="1798">
        <f t="shared" si="180"/>
        <v>0</v>
      </c>
      <c r="AX311" s="1798">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8">
        <f t="shared" si="179"/>
        <v>0</v>
      </c>
      <c r="AW312" s="1798">
        <f t="shared" si="180"/>
        <v>0</v>
      </c>
      <c r="AX312" s="1798">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8">
        <f t="shared" si="179"/>
        <v>0</v>
      </c>
      <c r="AW313" s="1798">
        <f t="shared" si="180"/>
        <v>0</v>
      </c>
      <c r="AX313" s="1798">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8">
        <f t="shared" si="179"/>
        <v>0</v>
      </c>
      <c r="AW314" s="1798">
        <f t="shared" si="180"/>
        <v>0</v>
      </c>
      <c r="AX314" s="1798">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8">
        <f t="shared" si="179"/>
        <v>0</v>
      </c>
      <c r="AW315" s="1798">
        <f t="shared" si="180"/>
        <v>0</v>
      </c>
      <c r="AX315" s="1798">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8">
        <f t="shared" si="179"/>
        <v>0</v>
      </c>
      <c r="AW316" s="1798">
        <f t="shared" si="180"/>
        <v>0</v>
      </c>
      <c r="AX316" s="1798">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8">
        <f t="shared" si="179"/>
        <v>0</v>
      </c>
      <c r="AW317" s="1798">
        <f t="shared" si="180"/>
        <v>0</v>
      </c>
      <c r="AX317" s="1798">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8">
        <f t="shared" si="179"/>
        <v>0</v>
      </c>
      <c r="AW318" s="1798">
        <f t="shared" si="180"/>
        <v>0</v>
      </c>
      <c r="AX318" s="1798">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8">
        <f t="shared" si="179"/>
        <v>0</v>
      </c>
      <c r="AW319" s="1798">
        <f t="shared" si="180"/>
        <v>0</v>
      </c>
      <c r="AX319" s="1798">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8">
        <f t="shared" si="179"/>
        <v>0</v>
      </c>
      <c r="AW320" s="1798">
        <f t="shared" si="180"/>
        <v>0</v>
      </c>
      <c r="AX320" s="1798">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8">
        <f t="shared" si="179"/>
        <v>0</v>
      </c>
      <c r="AW321" s="1798">
        <f t="shared" si="180"/>
        <v>0</v>
      </c>
      <c r="AX321" s="1798">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8">
        <f t="shared" si="179"/>
        <v>0</v>
      </c>
      <c r="AW322" s="1798">
        <f t="shared" si="180"/>
        <v>0</v>
      </c>
      <c r="AX322" s="1798">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8">
        <f t="shared" si="179"/>
        <v>0</v>
      </c>
      <c r="AW323" s="1798">
        <f t="shared" si="180"/>
        <v>0</v>
      </c>
      <c r="AX323" s="1798">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8">
        <f t="shared" si="179"/>
        <v>0</v>
      </c>
      <c r="AW324" s="1798">
        <f t="shared" si="180"/>
        <v>0</v>
      </c>
      <c r="AX324" s="1798">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8">
        <f t="shared" si="179"/>
        <v>0</v>
      </c>
      <c r="AW325" s="1798">
        <f t="shared" si="180"/>
        <v>0</v>
      </c>
      <c r="AX325" s="1798">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8">
        <f t="shared" si="179"/>
        <v>0</v>
      </c>
      <c r="AW326" s="1798">
        <f t="shared" si="180"/>
        <v>0</v>
      </c>
      <c r="AX326" s="1798">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8">
        <f t="shared" si="179"/>
        <v>0</v>
      </c>
      <c r="AW327" s="1798">
        <f t="shared" si="180"/>
        <v>0</v>
      </c>
      <c r="AX327" s="1798">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8">
        <f t="shared" si="179"/>
        <v>0</v>
      </c>
      <c r="AW328" s="1798">
        <f t="shared" si="180"/>
        <v>0</v>
      </c>
      <c r="AX328" s="1798">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8">
        <f t="shared" si="179"/>
        <v>0</v>
      </c>
      <c r="AW329" s="1798">
        <f t="shared" si="180"/>
        <v>0</v>
      </c>
      <c r="AX329" s="1798">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8">
        <f t="shared" si="179"/>
        <v>0</v>
      </c>
      <c r="AW330" s="1798">
        <f t="shared" si="180"/>
        <v>0</v>
      </c>
      <c r="AX330" s="1798">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8">
        <f t="shared" si="179"/>
        <v>0</v>
      </c>
      <c r="AW331" s="1798">
        <f t="shared" si="180"/>
        <v>0</v>
      </c>
      <c r="AX331" s="1798">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9"/>
        <v>0</v>
      </c>
      <c r="AW332" s="1798">
        <f t="shared" si="180"/>
        <v>0</v>
      </c>
      <c r="AX332" s="1798">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8">
        <f t="shared" si="179"/>
        <v>0</v>
      </c>
      <c r="AW333" s="1798">
        <f t="shared" si="180"/>
        <v>0</v>
      </c>
      <c r="AX333" s="1798">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8">
        <f t="shared" si="179"/>
        <v>0</v>
      </c>
      <c r="AW334" s="1798">
        <f t="shared" si="180"/>
        <v>0</v>
      </c>
      <c r="AX334" s="1798">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8">A335</f>
        <v>0</v>
      </c>
      <c r="AW335" s="1798">
        <f t="shared" ref="AW335:AW366" si="209">B335</f>
        <v>0</v>
      </c>
      <c r="AX335" s="1798">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8">
        <f t="shared" si="208"/>
        <v>0</v>
      </c>
      <c r="AW336" s="1798">
        <f t="shared" si="209"/>
        <v>0</v>
      </c>
      <c r="AX336" s="1798">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8">
        <f t="shared" si="208"/>
        <v>0</v>
      </c>
      <c r="AW337" s="1798">
        <f t="shared" si="209"/>
        <v>0</v>
      </c>
      <c r="AX337" s="1798">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8">
        <f t="shared" si="208"/>
        <v>0</v>
      </c>
      <c r="AW338" s="1798">
        <f t="shared" si="209"/>
        <v>0</v>
      </c>
      <c r="AX338" s="1798">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8">
        <f t="shared" si="208"/>
        <v>0</v>
      </c>
      <c r="AW339" s="1798">
        <f t="shared" si="209"/>
        <v>0</v>
      </c>
      <c r="AX339" s="1798">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8">
        <f t="shared" si="208"/>
        <v>0</v>
      </c>
      <c r="AW340" s="1798">
        <f t="shared" si="209"/>
        <v>0</v>
      </c>
      <c r="AX340" s="1798">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8">
        <f t="shared" si="208"/>
        <v>0</v>
      </c>
      <c r="AW341" s="1798">
        <f t="shared" si="209"/>
        <v>0</v>
      </c>
      <c r="AX341" s="1798">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8">
        <f t="shared" si="208"/>
        <v>0</v>
      </c>
      <c r="AW342" s="1798">
        <f t="shared" si="209"/>
        <v>0</v>
      </c>
      <c r="AX342" s="1798">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8">
        <f t="shared" si="208"/>
        <v>0</v>
      </c>
      <c r="AW343" s="1798">
        <f t="shared" si="209"/>
        <v>0</v>
      </c>
      <c r="AX343" s="1798">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8">
        <f t="shared" si="208"/>
        <v>0</v>
      </c>
      <c r="AW344" s="1798">
        <f t="shared" si="209"/>
        <v>0</v>
      </c>
      <c r="AX344" s="1798">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8">
        <f t="shared" si="208"/>
        <v>0</v>
      </c>
      <c r="AW345" s="1798">
        <f t="shared" si="209"/>
        <v>0</v>
      </c>
      <c r="AX345" s="1798">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8">
        <f t="shared" si="208"/>
        <v>0</v>
      </c>
      <c r="AW346" s="1798">
        <f t="shared" si="209"/>
        <v>0</v>
      </c>
      <c r="AX346" s="1798">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8">
        <f t="shared" si="208"/>
        <v>0</v>
      </c>
      <c r="AW347" s="1798">
        <f t="shared" si="209"/>
        <v>0</v>
      </c>
      <c r="AX347" s="1798">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8">
        <f t="shared" si="208"/>
        <v>0</v>
      </c>
      <c r="AW348" s="1798">
        <f t="shared" si="209"/>
        <v>0</v>
      </c>
      <c r="AX348" s="1798">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8">
        <f t="shared" si="208"/>
        <v>0</v>
      </c>
      <c r="AW349" s="1798">
        <f t="shared" si="209"/>
        <v>0</v>
      </c>
      <c r="AX349" s="1798">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8">
        <f t="shared" si="208"/>
        <v>0</v>
      </c>
      <c r="AW350" s="1798">
        <f t="shared" si="209"/>
        <v>0</v>
      </c>
      <c r="AX350" s="1798">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8">
        <f t="shared" si="208"/>
        <v>0</v>
      </c>
      <c r="AW351" s="1798">
        <f t="shared" si="209"/>
        <v>0</v>
      </c>
      <c r="AX351" s="1798">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8">
        <f t="shared" si="208"/>
        <v>0</v>
      </c>
      <c r="AW352" s="1798">
        <f t="shared" si="209"/>
        <v>0</v>
      </c>
      <c r="AX352" s="1798">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8">
        <f t="shared" si="208"/>
        <v>0</v>
      </c>
      <c r="AW353" s="1798">
        <f t="shared" si="209"/>
        <v>0</v>
      </c>
      <c r="AX353" s="1798">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8">
        <f t="shared" si="208"/>
        <v>0</v>
      </c>
      <c r="AW354" s="1798">
        <f t="shared" si="209"/>
        <v>0</v>
      </c>
      <c r="AX354" s="1798">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8">
        <f t="shared" si="208"/>
        <v>0</v>
      </c>
      <c r="AW355" s="1798">
        <f t="shared" si="209"/>
        <v>0</v>
      </c>
      <c r="AX355" s="1798">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8">
        <f t="shared" si="208"/>
        <v>0</v>
      </c>
      <c r="AW356" s="1798">
        <f t="shared" si="209"/>
        <v>0</v>
      </c>
      <c r="AX356" s="1798">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8">
        <f t="shared" si="208"/>
        <v>0</v>
      </c>
      <c r="AW357" s="1798">
        <f t="shared" si="209"/>
        <v>0</v>
      </c>
      <c r="AX357" s="1798">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8">
        <f t="shared" si="208"/>
        <v>0</v>
      </c>
      <c r="AW358" s="1798">
        <f t="shared" si="209"/>
        <v>0</v>
      </c>
      <c r="AX358" s="1798">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8">
        <f t="shared" si="208"/>
        <v>0</v>
      </c>
      <c r="AW359" s="1798">
        <f t="shared" si="209"/>
        <v>0</v>
      </c>
      <c r="AX359" s="1798">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8">
        <f t="shared" si="208"/>
        <v>0</v>
      </c>
      <c r="AW360" s="1798">
        <f t="shared" si="209"/>
        <v>0</v>
      </c>
      <c r="AX360" s="1798">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8">
        <f t="shared" si="208"/>
        <v>0</v>
      </c>
      <c r="AW361" s="1798">
        <f t="shared" si="209"/>
        <v>0</v>
      </c>
      <c r="AX361" s="1798">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8">
        <f t="shared" si="208"/>
        <v>0</v>
      </c>
      <c r="AW362" s="1798">
        <f t="shared" si="209"/>
        <v>0</v>
      </c>
      <c r="AX362" s="1798">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8">
        <f t="shared" si="208"/>
        <v>0</v>
      </c>
      <c r="AW363" s="1798">
        <f t="shared" si="209"/>
        <v>0</v>
      </c>
      <c r="AX363" s="1798">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8"/>
        <v>0</v>
      </c>
      <c r="AW364" s="1798">
        <f t="shared" si="209"/>
        <v>0</v>
      </c>
      <c r="AX364" s="1798">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8">
        <f t="shared" si="208"/>
        <v>0</v>
      </c>
      <c r="AW365" s="1798">
        <f t="shared" si="209"/>
        <v>0</v>
      </c>
      <c r="AX365" s="1798">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8">
        <f t="shared" si="208"/>
        <v>0</v>
      </c>
      <c r="AW366" s="1798">
        <f t="shared" si="209"/>
        <v>0</v>
      </c>
      <c r="AX366" s="1798">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7">A367</f>
        <v>0</v>
      </c>
      <c r="AW367" s="1798">
        <f t="shared" ref="AW367:AW397" si="238">B367</f>
        <v>0</v>
      </c>
      <c r="AX367" s="1798">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8">
        <f t="shared" si="237"/>
        <v>0</v>
      </c>
      <c r="AW368" s="1798">
        <f t="shared" si="238"/>
        <v>0</v>
      </c>
      <c r="AX368" s="1798">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8">
        <f t="shared" si="237"/>
        <v>0</v>
      </c>
      <c r="AW369" s="1798">
        <f t="shared" si="238"/>
        <v>0</v>
      </c>
      <c r="AX369" s="1798">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8">
        <f t="shared" si="237"/>
        <v>0</v>
      </c>
      <c r="AW370" s="1798">
        <f t="shared" si="238"/>
        <v>0</v>
      </c>
      <c r="AX370" s="1798">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8">
        <f t="shared" si="237"/>
        <v>0</v>
      </c>
      <c r="AW371" s="1798">
        <f t="shared" si="238"/>
        <v>0</v>
      </c>
      <c r="AX371" s="1798">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8">
        <f t="shared" si="237"/>
        <v>0</v>
      </c>
      <c r="AW372" s="1798">
        <f t="shared" si="238"/>
        <v>0</v>
      </c>
      <c r="AX372" s="1798">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8">
        <f t="shared" si="237"/>
        <v>0</v>
      </c>
      <c r="AW373" s="1798">
        <f t="shared" si="238"/>
        <v>0</v>
      </c>
      <c r="AX373" s="1798">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8">
        <f t="shared" si="237"/>
        <v>0</v>
      </c>
      <c r="AW374" s="1798">
        <f t="shared" si="238"/>
        <v>0</v>
      </c>
      <c r="AX374" s="1798">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8">
        <f t="shared" si="237"/>
        <v>0</v>
      </c>
      <c r="AW375" s="1798">
        <f t="shared" si="238"/>
        <v>0</v>
      </c>
      <c r="AX375" s="1798">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8">
        <f t="shared" si="237"/>
        <v>0</v>
      </c>
      <c r="AW376" s="1798">
        <f t="shared" si="238"/>
        <v>0</v>
      </c>
      <c r="AX376" s="1798">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8">
        <f t="shared" si="237"/>
        <v>0</v>
      </c>
      <c r="AW377" s="1798">
        <f t="shared" si="238"/>
        <v>0</v>
      </c>
      <c r="AX377" s="1798">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8">
        <f t="shared" si="237"/>
        <v>0</v>
      </c>
      <c r="AW378" s="1798">
        <f t="shared" si="238"/>
        <v>0</v>
      </c>
      <c r="AX378" s="1798">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8">
        <f t="shared" si="237"/>
        <v>0</v>
      </c>
      <c r="AW379" s="1798">
        <f t="shared" si="238"/>
        <v>0</v>
      </c>
      <c r="AX379" s="1798">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8">
        <f t="shared" si="237"/>
        <v>0</v>
      </c>
      <c r="AW380" s="1798">
        <f t="shared" si="238"/>
        <v>0</v>
      </c>
      <c r="AX380" s="1798">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8">
        <f t="shared" si="237"/>
        <v>0</v>
      </c>
      <c r="AW381" s="1798">
        <f t="shared" si="238"/>
        <v>0</v>
      </c>
      <c r="AX381" s="1798">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8">
        <f t="shared" si="237"/>
        <v>0</v>
      </c>
      <c r="AW382" s="1798">
        <f t="shared" si="238"/>
        <v>0</v>
      </c>
      <c r="AX382" s="1798">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8">
        <f t="shared" si="237"/>
        <v>0</v>
      </c>
      <c r="AW383" s="1798">
        <f t="shared" si="238"/>
        <v>0</v>
      </c>
      <c r="AX383" s="1798">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8">
        <f t="shared" si="237"/>
        <v>0</v>
      </c>
      <c r="AW384" s="1798">
        <f t="shared" si="238"/>
        <v>0</v>
      </c>
      <c r="AX384" s="1798">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8">
        <f t="shared" si="237"/>
        <v>0</v>
      </c>
      <c r="AW385" s="1798">
        <f t="shared" si="238"/>
        <v>0</v>
      </c>
      <c r="AX385" s="1798">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8">
        <f t="shared" si="237"/>
        <v>0</v>
      </c>
      <c r="AW386" s="1798">
        <f t="shared" si="238"/>
        <v>0</v>
      </c>
      <c r="AX386" s="1798">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8">
        <f t="shared" si="237"/>
        <v>0</v>
      </c>
      <c r="AW387" s="1798">
        <f t="shared" si="238"/>
        <v>0</v>
      </c>
      <c r="AX387" s="1798">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8">
        <f t="shared" si="237"/>
        <v>0</v>
      </c>
      <c r="AW388" s="1798">
        <f t="shared" si="238"/>
        <v>0</v>
      </c>
      <c r="AX388" s="1798">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8">
        <f t="shared" si="237"/>
        <v>0</v>
      </c>
      <c r="AW389" s="1798">
        <f t="shared" si="238"/>
        <v>0</v>
      </c>
      <c r="AX389" s="1798">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8">
        <f t="shared" si="237"/>
        <v>0</v>
      </c>
      <c r="AW390" s="1798">
        <f t="shared" si="238"/>
        <v>0</v>
      </c>
      <c r="AX390" s="1798">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8">
        <f t="shared" si="237"/>
        <v>0</v>
      </c>
      <c r="AW391" s="1798">
        <f t="shared" si="238"/>
        <v>0</v>
      </c>
      <c r="AX391" s="1798">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8">
        <f t="shared" si="237"/>
        <v>0</v>
      </c>
      <c r="AW392" s="1798">
        <f t="shared" si="238"/>
        <v>0</v>
      </c>
      <c r="AX392" s="1798">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8">
        <f t="shared" si="237"/>
        <v>0</v>
      </c>
      <c r="AW393" s="1798">
        <f t="shared" si="238"/>
        <v>0</v>
      </c>
      <c r="AX393" s="1798">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8">
        <f t="shared" si="237"/>
        <v>0</v>
      </c>
      <c r="AW394" s="1798">
        <f t="shared" si="238"/>
        <v>0</v>
      </c>
      <c r="AX394" s="1798">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8">
        <f t="shared" si="237"/>
        <v>0</v>
      </c>
      <c r="AW395" s="1798">
        <f t="shared" si="238"/>
        <v>0</v>
      </c>
      <c r="AX395" s="1798">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7"/>
        <v>0</v>
      </c>
      <c r="AW396" s="1798">
        <f t="shared" si="238"/>
        <v>0</v>
      </c>
      <c r="AX396" s="1798">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7"/>
        <v>0</v>
      </c>
      <c r="AW397" s="1798">
        <f t="shared" si="238"/>
        <v>0</v>
      </c>
      <c r="AX397" s="1798">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4">A398</f>
        <v>0</v>
      </c>
      <c r="AW398" s="1798">
        <f t="shared" ref="AW398:AW492" si="245">B398</f>
        <v>0</v>
      </c>
      <c r="AX398" s="1798">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8">
        <f t="shared" si="244"/>
        <v>0</v>
      </c>
      <c r="AW399" s="1798">
        <f t="shared" si="245"/>
        <v>0</v>
      </c>
      <c r="AX399" s="1798">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8">
        <f t="shared" si="244"/>
        <v>0</v>
      </c>
      <c r="AW400" s="1798">
        <f t="shared" si="245"/>
        <v>0</v>
      </c>
      <c r="AX400" s="1798">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8">
        <f t="shared" si="244"/>
        <v>0</v>
      </c>
      <c r="AW401" s="1798">
        <f t="shared" si="245"/>
        <v>0</v>
      </c>
      <c r="AX401" s="1798">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8">
        <f t="shared" si="244"/>
        <v>0</v>
      </c>
      <c r="AW402" s="1798">
        <f t="shared" si="245"/>
        <v>0</v>
      </c>
      <c r="AX402" s="1798">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8">
        <f t="shared" si="244"/>
        <v>0</v>
      </c>
      <c r="AW403" s="1798">
        <f t="shared" si="245"/>
        <v>0</v>
      </c>
      <c r="AX403" s="1798">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8">
        <f t="shared" si="244"/>
        <v>0</v>
      </c>
      <c r="AW404" s="1798">
        <f t="shared" si="245"/>
        <v>0</v>
      </c>
      <c r="AX404" s="1798">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8">
        <f t="shared" si="244"/>
        <v>0</v>
      </c>
      <c r="AW405" s="1798">
        <f t="shared" si="245"/>
        <v>0</v>
      </c>
      <c r="AX405" s="1798">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8">
        <f t="shared" si="244"/>
        <v>0</v>
      </c>
      <c r="AW406" s="1798">
        <f t="shared" si="245"/>
        <v>0</v>
      </c>
      <c r="AX406" s="1798">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8">
        <f t="shared" si="244"/>
        <v>0</v>
      </c>
      <c r="AW407" s="1798">
        <f t="shared" si="245"/>
        <v>0</v>
      </c>
      <c r="AX407" s="1798">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8">
        <f t="shared" si="244"/>
        <v>0</v>
      </c>
      <c r="AW408" s="1798">
        <f t="shared" si="245"/>
        <v>0</v>
      </c>
      <c r="AX408" s="1798">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8">
        <f t="shared" si="244"/>
        <v>0</v>
      </c>
      <c r="AW409" s="1798">
        <f t="shared" si="245"/>
        <v>0</v>
      </c>
      <c r="AX409" s="1798">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8">
        <f t="shared" si="244"/>
        <v>0</v>
      </c>
      <c r="AW410" s="1798">
        <f t="shared" si="245"/>
        <v>0</v>
      </c>
      <c r="AX410" s="1798">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8">
        <f t="shared" si="244"/>
        <v>0</v>
      </c>
      <c r="AW411" s="1798">
        <f t="shared" si="245"/>
        <v>0</v>
      </c>
      <c r="AX411" s="1798">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8">
        <f t="shared" si="244"/>
        <v>0</v>
      </c>
      <c r="AW412" s="1798">
        <f t="shared" si="245"/>
        <v>0</v>
      </c>
      <c r="AX412" s="1798">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8">
        <f t="shared" si="244"/>
        <v>0</v>
      </c>
      <c r="AW413" s="1798">
        <f t="shared" si="245"/>
        <v>0</v>
      </c>
      <c r="AX413" s="1798">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8">
        <f t="shared" si="244"/>
        <v>0</v>
      </c>
      <c r="AW414" s="1798">
        <f t="shared" si="245"/>
        <v>0</v>
      </c>
      <c r="AX414" s="1798">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8">
        <f t="shared" si="244"/>
        <v>0</v>
      </c>
      <c r="AW415" s="1798">
        <f t="shared" si="245"/>
        <v>0</v>
      </c>
      <c r="AX415" s="1798">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8">
        <f t="shared" si="244"/>
        <v>0</v>
      </c>
      <c r="AW416" s="1798">
        <f t="shared" si="245"/>
        <v>0</v>
      </c>
      <c r="AX416" s="1798">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8">
        <f t="shared" si="244"/>
        <v>0</v>
      </c>
      <c r="AW417" s="1798">
        <f t="shared" si="245"/>
        <v>0</v>
      </c>
      <c r="AX417" s="1798">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8">
        <f t="shared" si="244"/>
        <v>0</v>
      </c>
      <c r="AW418" s="1798">
        <f t="shared" si="245"/>
        <v>0</v>
      </c>
      <c r="AX418" s="1798">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8">
        <f t="shared" si="244"/>
        <v>0</v>
      </c>
      <c r="AW419" s="1798">
        <f t="shared" si="245"/>
        <v>0</v>
      </c>
      <c r="AX419" s="1798">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8">
        <f t="shared" si="244"/>
        <v>0</v>
      </c>
      <c r="AW420" s="1798">
        <f t="shared" si="245"/>
        <v>0</v>
      </c>
      <c r="AX420" s="1798">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8">
        <f t="shared" si="244"/>
        <v>0</v>
      </c>
      <c r="AW421" s="1798">
        <f t="shared" si="245"/>
        <v>0</v>
      </c>
      <c r="AX421" s="1798">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8">
        <f t="shared" si="244"/>
        <v>0</v>
      </c>
      <c r="AW422" s="1798">
        <f t="shared" si="245"/>
        <v>0</v>
      </c>
      <c r="AX422" s="1798">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8">
        <f t="shared" si="244"/>
        <v>0</v>
      </c>
      <c r="AW423" s="1798">
        <f t="shared" si="245"/>
        <v>0</v>
      </c>
      <c r="AX423" s="1798">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8">
        <f t="shared" si="244"/>
        <v>0</v>
      </c>
      <c r="AW424" s="1798">
        <f t="shared" si="245"/>
        <v>0</v>
      </c>
      <c r="AX424" s="1798">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8">
        <f t="shared" si="244"/>
        <v>0</v>
      </c>
      <c r="AW425" s="1798">
        <f t="shared" si="245"/>
        <v>0</v>
      </c>
      <c r="AX425" s="1798">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8">
        <f t="shared" si="244"/>
        <v>0</v>
      </c>
      <c r="AW426" s="1798">
        <f t="shared" si="245"/>
        <v>0</v>
      </c>
      <c r="AX426" s="1798">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8">
        <f t="shared" si="244"/>
        <v>0</v>
      </c>
      <c r="AW427" s="1798">
        <f t="shared" si="245"/>
        <v>0</v>
      </c>
      <c r="AX427" s="1798">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8">
        <f t="shared" si="244"/>
        <v>0</v>
      </c>
      <c r="AW428" s="1798">
        <f t="shared" si="245"/>
        <v>0</v>
      </c>
      <c r="AX428" s="1798">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8">
        <f t="shared" si="244"/>
        <v>0</v>
      </c>
      <c r="AW429" s="1798">
        <f t="shared" si="245"/>
        <v>0</v>
      </c>
      <c r="AX429" s="1798">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8">
        <f t="shared" si="244"/>
        <v>0</v>
      </c>
      <c r="AW430" s="1798">
        <f t="shared" si="245"/>
        <v>0</v>
      </c>
      <c r="AX430" s="1798">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8">
        <f t="shared" si="244"/>
        <v>0</v>
      </c>
      <c r="AW431" s="1798">
        <f t="shared" si="245"/>
        <v>0</v>
      </c>
      <c r="AX431" s="1798">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8">
        <f t="shared" si="244"/>
        <v>0</v>
      </c>
      <c r="AW432" s="1798">
        <f t="shared" si="245"/>
        <v>0</v>
      </c>
      <c r="AX432" s="1798">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8">
        <f t="shared" si="244"/>
        <v>0</v>
      </c>
      <c r="AW433" s="1798">
        <f t="shared" si="245"/>
        <v>0</v>
      </c>
      <c r="AX433" s="1798">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8">
        <f t="shared" si="244"/>
        <v>0</v>
      </c>
      <c r="AW434" s="1798">
        <f t="shared" si="245"/>
        <v>0</v>
      </c>
      <c r="AX434" s="1798">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8">
        <f t="shared" si="244"/>
        <v>0</v>
      </c>
      <c r="AW435" s="1798">
        <f t="shared" si="245"/>
        <v>0</v>
      </c>
      <c r="AX435" s="1798">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8">
        <f t="shared" si="244"/>
        <v>0</v>
      </c>
      <c r="AW436" s="1798">
        <f t="shared" si="245"/>
        <v>0</v>
      </c>
      <c r="AX436" s="1798">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8">
        <f t="shared" si="244"/>
        <v>0</v>
      </c>
      <c r="AW437" s="1798">
        <f t="shared" si="245"/>
        <v>0</v>
      </c>
      <c r="AX437" s="1798">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8">
        <f t="shared" si="244"/>
        <v>0</v>
      </c>
      <c r="AW438" s="1798">
        <f t="shared" si="245"/>
        <v>0</v>
      </c>
      <c r="AX438" s="1798">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8">
        <f t="shared" si="244"/>
        <v>0</v>
      </c>
      <c r="AW439" s="1798">
        <f t="shared" si="245"/>
        <v>0</v>
      </c>
      <c r="AX439" s="1798">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8">
        <f t="shared" si="244"/>
        <v>0</v>
      </c>
      <c r="AW440" s="1798">
        <f t="shared" si="245"/>
        <v>0</v>
      </c>
      <c r="AX440" s="1798">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8">
        <f t="shared" si="244"/>
        <v>0</v>
      </c>
      <c r="AW441" s="1798">
        <f t="shared" si="245"/>
        <v>0</v>
      </c>
      <c r="AX441" s="1798">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8">
        <f t="shared" si="244"/>
        <v>0</v>
      </c>
      <c r="AW442" s="1798">
        <f t="shared" si="245"/>
        <v>0</v>
      </c>
      <c r="AX442" s="1798">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8">
        <f t="shared" si="244"/>
        <v>0</v>
      </c>
      <c r="AW443" s="1798">
        <f t="shared" si="245"/>
        <v>0</v>
      </c>
      <c r="AX443" s="1798">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8">
        <f t="shared" si="244"/>
        <v>0</v>
      </c>
      <c r="AW444" s="1798">
        <f t="shared" si="245"/>
        <v>0</v>
      </c>
      <c r="AX444" s="1798">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8">
        <f t="shared" si="244"/>
        <v>0</v>
      </c>
      <c r="AW445" s="1798">
        <f t="shared" si="245"/>
        <v>0</v>
      </c>
      <c r="AX445" s="1798">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8">
        <f t="shared" si="244"/>
        <v>0</v>
      </c>
      <c r="AW446" s="1798">
        <f t="shared" si="245"/>
        <v>0</v>
      </c>
      <c r="AX446" s="1798">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8">
        <f t="shared" si="244"/>
        <v>0</v>
      </c>
      <c r="AW447" s="1798">
        <f t="shared" si="245"/>
        <v>0</v>
      </c>
      <c r="AX447" s="1798">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8">
        <f t="shared" si="244"/>
        <v>0</v>
      </c>
      <c r="AW448" s="1798">
        <f t="shared" si="245"/>
        <v>0</v>
      </c>
      <c r="AX448" s="1798">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8">
        <f t="shared" si="244"/>
        <v>0</v>
      </c>
      <c r="AW449" s="1798">
        <f t="shared" si="245"/>
        <v>0</v>
      </c>
      <c r="AX449" s="1798">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8">
        <f t="shared" si="244"/>
        <v>0</v>
      </c>
      <c r="AW450" s="1798">
        <f t="shared" si="245"/>
        <v>0</v>
      </c>
      <c r="AX450" s="1798">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8">
        <f t="shared" si="244"/>
        <v>0</v>
      </c>
      <c r="AW451" s="1798">
        <f t="shared" si="245"/>
        <v>0</v>
      </c>
      <c r="AX451" s="1798">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8">
        <f t="shared" si="244"/>
        <v>0</v>
      </c>
      <c r="AW452" s="1798">
        <f t="shared" si="245"/>
        <v>0</v>
      </c>
      <c r="AX452" s="1798">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8">
        <f t="shared" si="244"/>
        <v>0</v>
      </c>
      <c r="AW453" s="1798">
        <f t="shared" si="245"/>
        <v>0</v>
      </c>
      <c r="AX453" s="1798">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8">
        <f t="shared" si="244"/>
        <v>0</v>
      </c>
      <c r="AW454" s="1798">
        <f t="shared" si="245"/>
        <v>0</v>
      </c>
      <c r="AX454" s="1798">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8">
        <f t="shared" si="244"/>
        <v>0</v>
      </c>
      <c r="AW455" s="1798">
        <f t="shared" si="245"/>
        <v>0</v>
      </c>
      <c r="AX455" s="1798">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8">
        <f t="shared" si="244"/>
        <v>0</v>
      </c>
      <c r="AW456" s="1798">
        <f t="shared" si="245"/>
        <v>0</v>
      </c>
      <c r="AX456" s="1798">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8">
        <f t="shared" si="244"/>
        <v>0</v>
      </c>
      <c r="AW457" s="1798">
        <f t="shared" si="245"/>
        <v>0</v>
      </c>
      <c r="AX457" s="1798">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8">
        <f t="shared" si="244"/>
        <v>0</v>
      </c>
      <c r="AW458" s="1798">
        <f t="shared" si="245"/>
        <v>0</v>
      </c>
      <c r="AX458" s="1798">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8">
        <f t="shared" si="244"/>
        <v>0</v>
      </c>
      <c r="AW459" s="1798">
        <f t="shared" si="245"/>
        <v>0</v>
      </c>
      <c r="AX459" s="1798">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8">
        <f t="shared" si="244"/>
        <v>0</v>
      </c>
      <c r="AW460" s="1798">
        <f t="shared" si="245"/>
        <v>0</v>
      </c>
      <c r="AX460" s="1798">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8">
        <f t="shared" si="244"/>
        <v>0</v>
      </c>
      <c r="AW461" s="1798">
        <f t="shared" si="245"/>
        <v>0</v>
      </c>
      <c r="AX461" s="1798">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8">
        <f t="shared" si="244"/>
        <v>0</v>
      </c>
      <c r="AW462" s="1798">
        <f t="shared" si="245"/>
        <v>0</v>
      </c>
      <c r="AX462" s="1798">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8">
        <f t="shared" si="244"/>
        <v>0</v>
      </c>
      <c r="AW463" s="1798">
        <f t="shared" si="245"/>
        <v>0</v>
      </c>
      <c r="AX463" s="1798">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8">
        <f t="shared" si="244"/>
        <v>0</v>
      </c>
      <c r="AW464" s="1798">
        <f t="shared" si="245"/>
        <v>0</v>
      </c>
      <c r="AX464" s="1798">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8">
        <f t="shared" si="244"/>
        <v>0</v>
      </c>
      <c r="AW465" s="1798">
        <f t="shared" si="245"/>
        <v>0</v>
      </c>
      <c r="AX465" s="1798">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8">
        <f t="shared" si="244"/>
        <v>0</v>
      </c>
      <c r="AW466" s="1798">
        <f t="shared" si="245"/>
        <v>0</v>
      </c>
      <c r="AX466" s="1798">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8">
        <f t="shared" si="244"/>
        <v>0</v>
      </c>
      <c r="AW467" s="1798">
        <f t="shared" si="245"/>
        <v>0</v>
      </c>
      <c r="AX467" s="1798">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8">
        <f t="shared" si="244"/>
        <v>0</v>
      </c>
      <c r="AW468" s="1798">
        <f t="shared" si="245"/>
        <v>0</v>
      </c>
      <c r="AX468" s="1798">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8">
        <f t="shared" si="244"/>
        <v>0</v>
      </c>
      <c r="AW469" s="1798">
        <f t="shared" si="245"/>
        <v>0</v>
      </c>
      <c r="AX469" s="1798">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8">
        <f t="shared" si="244"/>
        <v>0</v>
      </c>
      <c r="AW470" s="1798">
        <f t="shared" si="245"/>
        <v>0</v>
      </c>
      <c r="AX470" s="1798">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8">
        <f t="shared" si="244"/>
        <v>0</v>
      </c>
      <c r="AW471" s="1798">
        <f t="shared" si="245"/>
        <v>0</v>
      </c>
      <c r="AX471" s="1798">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8">
        <f t="shared" si="244"/>
        <v>0</v>
      </c>
      <c r="AW472" s="1798">
        <f t="shared" si="245"/>
        <v>0</v>
      </c>
      <c r="AX472" s="1798">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8">
        <f t="shared" si="244"/>
        <v>0</v>
      </c>
      <c r="AW473" s="1798">
        <f t="shared" si="245"/>
        <v>0</v>
      </c>
      <c r="AX473" s="1798">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8">
        <f t="shared" si="244"/>
        <v>0</v>
      </c>
      <c r="AW474" s="1798">
        <f t="shared" si="245"/>
        <v>0</v>
      </c>
      <c r="AX474" s="1798">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8">
        <f t="shared" si="244"/>
        <v>0</v>
      </c>
      <c r="AW475" s="1798">
        <f t="shared" si="245"/>
        <v>0</v>
      </c>
      <c r="AX475" s="1798">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8">
        <f t="shared" si="244"/>
        <v>0</v>
      </c>
      <c r="AW476" s="1798">
        <f t="shared" si="245"/>
        <v>0</v>
      </c>
      <c r="AX476" s="1798">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8">
        <f t="shared" si="244"/>
        <v>0</v>
      </c>
      <c r="AW477" s="1798">
        <f t="shared" si="245"/>
        <v>0</v>
      </c>
      <c r="AX477" s="1798">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8">
        <f t="shared" si="244"/>
        <v>0</v>
      </c>
      <c r="AW478" s="1798">
        <f t="shared" si="245"/>
        <v>0</v>
      </c>
      <c r="AX478" s="1798">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8">
        <f t="shared" si="244"/>
        <v>0</v>
      </c>
      <c r="AW479" s="1798">
        <f t="shared" si="245"/>
        <v>0</v>
      </c>
      <c r="AX479" s="1798">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8">
        <f t="shared" si="244"/>
        <v>0</v>
      </c>
      <c r="AW480" s="1798">
        <f t="shared" si="245"/>
        <v>0</v>
      </c>
      <c r="AX480" s="1798">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8">
        <f t="shared" si="244"/>
        <v>0</v>
      </c>
      <c r="AW481" s="1798">
        <f t="shared" si="245"/>
        <v>0</v>
      </c>
      <c r="AX481" s="1798">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8">
        <f t="shared" si="244"/>
        <v>0</v>
      </c>
      <c r="AW482" s="1798">
        <f t="shared" si="245"/>
        <v>0</v>
      </c>
      <c r="AX482" s="1798">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8">
        <f t="shared" si="244"/>
        <v>0</v>
      </c>
      <c r="AW483" s="1798">
        <f t="shared" si="245"/>
        <v>0</v>
      </c>
      <c r="AX483" s="1798">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8">
        <f t="shared" si="244"/>
        <v>0</v>
      </c>
      <c r="AW484" s="1798">
        <f t="shared" si="245"/>
        <v>0</v>
      </c>
      <c r="AX484" s="1798">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8">
        <f t="shared" si="244"/>
        <v>0</v>
      </c>
      <c r="AW485" s="1798">
        <f t="shared" si="245"/>
        <v>0</v>
      </c>
      <c r="AX485" s="1798">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8">
        <f t="shared" si="244"/>
        <v>0</v>
      </c>
      <c r="AW486" s="1798">
        <f t="shared" si="245"/>
        <v>0</v>
      </c>
      <c r="AX486" s="1798">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8">
        <f t="shared" si="244"/>
        <v>0</v>
      </c>
      <c r="AW487" s="1798">
        <f t="shared" si="245"/>
        <v>0</v>
      </c>
      <c r="AX487" s="1798">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8">
        <f t="shared" si="244"/>
        <v>0</v>
      </c>
      <c r="AW488" s="1798">
        <f t="shared" si="245"/>
        <v>0</v>
      </c>
      <c r="AX488" s="1798">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8">
        <f t="shared" si="244"/>
        <v>0</v>
      </c>
      <c r="AW489" s="1798">
        <f t="shared" si="245"/>
        <v>0</v>
      </c>
      <c r="AX489" s="1798">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4"/>
        <v>0</v>
      </c>
      <c r="AW490" s="1798">
        <f t="shared" si="245"/>
        <v>0</v>
      </c>
      <c r="AX490" s="1798">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8">
        <f t="shared" si="244"/>
        <v>0</v>
      </c>
      <c r="AW491" s="1798">
        <f t="shared" si="245"/>
        <v>0</v>
      </c>
      <c r="AX491" s="1798">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8">
        <f t="shared" si="244"/>
        <v>0</v>
      </c>
      <c r="AW492" s="1798">
        <f t="shared" si="245"/>
        <v>0</v>
      </c>
      <c r="AX492" s="1798">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5">A493</f>
        <v>0</v>
      </c>
      <c r="AW493" s="1798">
        <f t="shared" ref="AW493:AW520" si="296">B493</f>
        <v>0</v>
      </c>
      <c r="AX493" s="1798">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8">
        <f t="shared" si="295"/>
        <v>0</v>
      </c>
      <c r="AW494" s="1798">
        <f t="shared" si="296"/>
        <v>0</v>
      </c>
      <c r="AX494" s="1798">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8">
        <f t="shared" si="295"/>
        <v>0</v>
      </c>
      <c r="AW495" s="1798">
        <f t="shared" si="296"/>
        <v>0</v>
      </c>
      <c r="AX495" s="1798">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8">
        <f t="shared" si="295"/>
        <v>0</v>
      </c>
      <c r="AW496" s="1798">
        <f t="shared" si="296"/>
        <v>0</v>
      </c>
      <c r="AX496" s="1798">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8">
        <f t="shared" si="295"/>
        <v>0</v>
      </c>
      <c r="AW497" s="1798">
        <f t="shared" si="296"/>
        <v>0</v>
      </c>
      <c r="AX497" s="1798">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8">
        <f t="shared" si="295"/>
        <v>0</v>
      </c>
      <c r="AW498" s="1798">
        <f t="shared" si="296"/>
        <v>0</v>
      </c>
      <c r="AX498" s="1798">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8">
        <f t="shared" si="295"/>
        <v>0</v>
      </c>
      <c r="AW499" s="1798">
        <f t="shared" si="296"/>
        <v>0</v>
      </c>
      <c r="AX499" s="1798">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8">
        <f t="shared" si="295"/>
        <v>0</v>
      </c>
      <c r="AW500" s="1798">
        <f t="shared" si="296"/>
        <v>0</v>
      </c>
      <c r="AX500" s="1798">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8">
        <f t="shared" si="295"/>
        <v>0</v>
      </c>
      <c r="AW501" s="1798">
        <f t="shared" si="296"/>
        <v>0</v>
      </c>
      <c r="AX501" s="1798">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8">
        <f t="shared" si="295"/>
        <v>0</v>
      </c>
      <c r="AW502" s="1798">
        <f t="shared" si="296"/>
        <v>0</v>
      </c>
      <c r="AX502" s="1798">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8">
        <f t="shared" si="295"/>
        <v>0</v>
      </c>
      <c r="AW503" s="1798">
        <f t="shared" si="296"/>
        <v>0</v>
      </c>
      <c r="AX503" s="1798">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8">
        <f t="shared" si="295"/>
        <v>0</v>
      </c>
      <c r="AW504" s="1798">
        <f t="shared" si="296"/>
        <v>0</v>
      </c>
      <c r="AX504" s="1798">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8">
        <f t="shared" si="295"/>
        <v>0</v>
      </c>
      <c r="AW505" s="1798">
        <f t="shared" si="296"/>
        <v>0</v>
      </c>
      <c r="AX505" s="1798">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8">
        <f t="shared" si="295"/>
        <v>0</v>
      </c>
      <c r="AW506" s="1798">
        <f t="shared" si="296"/>
        <v>0</v>
      </c>
      <c r="AX506" s="1798">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8">
        <f t="shared" si="295"/>
        <v>0</v>
      </c>
      <c r="AW507" s="1798">
        <f t="shared" si="296"/>
        <v>0</v>
      </c>
      <c r="AX507" s="1798">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8">
        <f t="shared" si="295"/>
        <v>0</v>
      </c>
      <c r="AW508" s="1798">
        <f t="shared" si="296"/>
        <v>0</v>
      </c>
      <c r="AX508" s="1798">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8">
        <f t="shared" si="295"/>
        <v>0</v>
      </c>
      <c r="AW509" s="1798">
        <f t="shared" si="296"/>
        <v>0</v>
      </c>
      <c r="AX509" s="1798">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8">
        <f t="shared" si="295"/>
        <v>0</v>
      </c>
      <c r="AW510" s="1798">
        <f t="shared" si="296"/>
        <v>0</v>
      </c>
      <c r="AX510" s="1798">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8">
        <f t="shared" si="295"/>
        <v>0</v>
      </c>
      <c r="AW511" s="1798">
        <f t="shared" si="296"/>
        <v>0</v>
      </c>
      <c r="AX511" s="1798">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8">
        <f t="shared" si="295"/>
        <v>0</v>
      </c>
      <c r="AW512" s="1798">
        <f t="shared" si="296"/>
        <v>0</v>
      </c>
      <c r="AX512" s="1798">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8">
        <f t="shared" si="295"/>
        <v>0</v>
      </c>
      <c r="AW513" s="1798">
        <f t="shared" si="296"/>
        <v>0</v>
      </c>
      <c r="AX513" s="1798">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8">
        <f t="shared" si="295"/>
        <v>0</v>
      </c>
      <c r="AW514" s="1798">
        <f t="shared" si="296"/>
        <v>0</v>
      </c>
      <c r="AX514" s="1798">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8">
        <f t="shared" si="295"/>
        <v>0</v>
      </c>
      <c r="AW515" s="1798">
        <f t="shared" si="296"/>
        <v>0</v>
      </c>
      <c r="AX515" s="1798">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8">
        <f t="shared" si="295"/>
        <v>0</v>
      </c>
      <c r="AW516" s="1798">
        <f t="shared" si="296"/>
        <v>0</v>
      </c>
      <c r="AX516" s="1798">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8">
        <f t="shared" si="295"/>
        <v>0</v>
      </c>
      <c r="AW517" s="1798">
        <f t="shared" si="296"/>
        <v>0</v>
      </c>
      <c r="AX517" s="1798">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8">
        <f t="shared" si="295"/>
        <v>0</v>
      </c>
      <c r="AW518" s="1798">
        <f t="shared" si="296"/>
        <v>0</v>
      </c>
      <c r="AX518" s="1798">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8">
        <f t="shared" si="295"/>
        <v>0</v>
      </c>
      <c r="AW519" s="1798">
        <f t="shared" si="296"/>
        <v>0</v>
      </c>
      <c r="AX519" s="1798">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8">
        <f t="shared" si="295"/>
        <v>0</v>
      </c>
      <c r="AW520" s="1798">
        <f t="shared" si="296"/>
        <v>0</v>
      </c>
      <c r="AX520" s="1798">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9">A521</f>
        <v>0</v>
      </c>
      <c r="AW521" s="1798">
        <f t="shared" ref="AW521:AW552" si="300">B521</f>
        <v>0</v>
      </c>
      <c r="AX521" s="1798">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9"/>
        <v>0</v>
      </c>
      <c r="AW522" s="1798">
        <f t="shared" si="300"/>
        <v>0</v>
      </c>
      <c r="AX522" s="1798">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8">
        <f t="shared" si="299"/>
        <v>0</v>
      </c>
      <c r="AW523" s="1798">
        <f t="shared" si="300"/>
        <v>0</v>
      </c>
      <c r="AX523" s="1798">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8">
        <f t="shared" si="299"/>
        <v>0</v>
      </c>
      <c r="AW524" s="1798">
        <f t="shared" si="300"/>
        <v>0</v>
      </c>
      <c r="AX524" s="1798">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8">
        <f t="shared" si="299"/>
        <v>0</v>
      </c>
      <c r="AW525" s="1798">
        <f t="shared" si="300"/>
        <v>0</v>
      </c>
      <c r="AX525" s="1798">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8">
        <f t="shared" si="299"/>
        <v>0</v>
      </c>
      <c r="AW526" s="1798">
        <f t="shared" si="300"/>
        <v>0</v>
      </c>
      <c r="AX526" s="1798">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8">
        <f t="shared" si="299"/>
        <v>0</v>
      </c>
      <c r="AW527" s="1798">
        <f t="shared" si="300"/>
        <v>0</v>
      </c>
      <c r="AX527" s="1798">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8">
        <f t="shared" si="299"/>
        <v>0</v>
      </c>
      <c r="AW528" s="1798">
        <f t="shared" si="300"/>
        <v>0</v>
      </c>
      <c r="AX528" s="1798">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8">
        <f t="shared" si="299"/>
        <v>0</v>
      </c>
      <c r="AW529" s="1798">
        <f t="shared" si="300"/>
        <v>0</v>
      </c>
      <c r="AX529" s="1798">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8">
        <f t="shared" si="299"/>
        <v>0</v>
      </c>
      <c r="AW530" s="1798">
        <f t="shared" si="300"/>
        <v>0</v>
      </c>
      <c r="AX530" s="1798">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8">
        <f t="shared" si="299"/>
        <v>0</v>
      </c>
      <c r="AW531" s="1798">
        <f t="shared" si="300"/>
        <v>0</v>
      </c>
      <c r="AX531" s="1798">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8">
        <f t="shared" si="299"/>
        <v>0</v>
      </c>
      <c r="AW532" s="1798">
        <f t="shared" si="300"/>
        <v>0</v>
      </c>
      <c r="AX532" s="1798">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8">
        <f t="shared" si="299"/>
        <v>0</v>
      </c>
      <c r="AW533" s="1798">
        <f t="shared" si="300"/>
        <v>0</v>
      </c>
      <c r="AX533" s="1798">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8">
        <f t="shared" si="299"/>
        <v>0</v>
      </c>
      <c r="AW534" s="1798">
        <f t="shared" si="300"/>
        <v>0</v>
      </c>
      <c r="AX534" s="1798">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8">
        <f t="shared" si="299"/>
        <v>0</v>
      </c>
      <c r="AW535" s="1798">
        <f t="shared" si="300"/>
        <v>0</v>
      </c>
      <c r="AX535" s="1798">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8">
        <f t="shared" si="299"/>
        <v>0</v>
      </c>
      <c r="AW536" s="1798">
        <f t="shared" si="300"/>
        <v>0</v>
      </c>
      <c r="AX536" s="1798">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8">
        <f t="shared" si="299"/>
        <v>0</v>
      </c>
      <c r="AW537" s="1798">
        <f t="shared" si="300"/>
        <v>0</v>
      </c>
      <c r="AX537" s="1798">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8">
        <f t="shared" si="299"/>
        <v>0</v>
      </c>
      <c r="AW538" s="1798">
        <f t="shared" si="300"/>
        <v>0</v>
      </c>
      <c r="AX538" s="1798">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8">
        <f t="shared" si="299"/>
        <v>0</v>
      </c>
      <c r="AW539" s="1798">
        <f t="shared" si="300"/>
        <v>0</v>
      </c>
      <c r="AX539" s="1798">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8">
        <f t="shared" si="299"/>
        <v>0</v>
      </c>
      <c r="AW540" s="1798">
        <f t="shared" si="300"/>
        <v>0</v>
      </c>
      <c r="AX540" s="1798">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8">
        <f t="shared" si="299"/>
        <v>0</v>
      </c>
      <c r="AW541" s="1798">
        <f t="shared" si="300"/>
        <v>0</v>
      </c>
      <c r="AX541" s="1798">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8">
        <f t="shared" si="299"/>
        <v>0</v>
      </c>
      <c r="AW542" s="1798">
        <f t="shared" si="300"/>
        <v>0</v>
      </c>
      <c r="AX542" s="1798">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8">
        <f t="shared" si="299"/>
        <v>0</v>
      </c>
      <c r="AW543" s="1798">
        <f t="shared" si="300"/>
        <v>0</v>
      </c>
      <c r="AX543" s="1798">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8">
        <f t="shared" si="299"/>
        <v>0</v>
      </c>
      <c r="AW544" s="1798">
        <f t="shared" si="300"/>
        <v>0</v>
      </c>
      <c r="AX544" s="1798">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8">
        <f t="shared" si="299"/>
        <v>0</v>
      </c>
      <c r="AW545" s="1798">
        <f t="shared" si="300"/>
        <v>0</v>
      </c>
      <c r="AX545" s="1798">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8">
        <f t="shared" si="299"/>
        <v>0</v>
      </c>
      <c r="AW546" s="1798">
        <f t="shared" si="300"/>
        <v>0</v>
      </c>
      <c r="AX546" s="1798">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8">
        <f t="shared" si="299"/>
        <v>0</v>
      </c>
      <c r="AW547" s="1798">
        <f t="shared" si="300"/>
        <v>0</v>
      </c>
      <c r="AX547" s="1798">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8">
        <f t="shared" si="299"/>
        <v>0</v>
      </c>
      <c r="AW548" s="1798">
        <f t="shared" si="300"/>
        <v>0</v>
      </c>
      <c r="AX548" s="1798">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8">
        <f t="shared" si="299"/>
        <v>0</v>
      </c>
      <c r="AW549" s="1798">
        <f t="shared" si="300"/>
        <v>0</v>
      </c>
      <c r="AX549" s="1798">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8">
        <f t="shared" si="299"/>
        <v>0</v>
      </c>
      <c r="AW550" s="1798">
        <f t="shared" si="300"/>
        <v>0</v>
      </c>
      <c r="AX550" s="1798">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8">
        <f t="shared" si="299"/>
        <v>0</v>
      </c>
      <c r="AW551" s="1798">
        <f t="shared" si="300"/>
        <v>0</v>
      </c>
      <c r="AX551" s="1798">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8">
        <f t="shared" si="299"/>
        <v>0</v>
      </c>
      <c r="AW552" s="1798">
        <f t="shared" si="300"/>
        <v>0</v>
      </c>
      <c r="AX552" s="1798">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1">A553</f>
        <v>0</v>
      </c>
      <c r="AW553" s="1798">
        <f t="shared" ref="AW553:AW587" si="332">B553</f>
        <v>0</v>
      </c>
      <c r="AX553" s="1798">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8">
        <f t="shared" si="331"/>
        <v>0</v>
      </c>
      <c r="AW554" s="1798">
        <f t="shared" si="332"/>
        <v>0</v>
      </c>
      <c r="AX554" s="1798">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8">
        <f t="shared" si="331"/>
        <v>0</v>
      </c>
      <c r="AW555" s="1798">
        <f t="shared" si="332"/>
        <v>0</v>
      </c>
      <c r="AX555" s="1798">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8">
        <f t="shared" si="331"/>
        <v>0</v>
      </c>
      <c r="AW556" s="1798">
        <f t="shared" si="332"/>
        <v>0</v>
      </c>
      <c r="AX556" s="1798">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8">
        <f t="shared" si="331"/>
        <v>0</v>
      </c>
      <c r="AW557" s="1798">
        <f t="shared" si="332"/>
        <v>0</v>
      </c>
      <c r="AX557" s="1798">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8">
        <f t="shared" si="331"/>
        <v>0</v>
      </c>
      <c r="AW558" s="1798">
        <f t="shared" si="332"/>
        <v>0</v>
      </c>
      <c r="AX558" s="1798">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8">
        <f t="shared" si="331"/>
        <v>0</v>
      </c>
      <c r="AW559" s="1798">
        <f t="shared" si="332"/>
        <v>0</v>
      </c>
      <c r="AX559" s="1798">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8">
        <f t="shared" si="331"/>
        <v>0</v>
      </c>
      <c r="AW560" s="1798">
        <f t="shared" si="332"/>
        <v>0</v>
      </c>
      <c r="AX560" s="1798">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8">
        <f t="shared" si="331"/>
        <v>0</v>
      </c>
      <c r="AW561" s="1798">
        <f t="shared" si="332"/>
        <v>0</v>
      </c>
      <c r="AX561" s="1798">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8">
        <f t="shared" si="331"/>
        <v>0</v>
      </c>
      <c r="AW562" s="1798">
        <f t="shared" si="332"/>
        <v>0</v>
      </c>
      <c r="AX562" s="1798">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8">
        <f t="shared" si="331"/>
        <v>0</v>
      </c>
      <c r="AW563" s="1798">
        <f t="shared" si="332"/>
        <v>0</v>
      </c>
      <c r="AX563" s="1798">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8">
        <f t="shared" si="331"/>
        <v>0</v>
      </c>
      <c r="AW564" s="1798">
        <f t="shared" si="332"/>
        <v>0</v>
      </c>
      <c r="AX564" s="1798">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8">
        <f t="shared" si="331"/>
        <v>0</v>
      </c>
      <c r="AW565" s="1798">
        <f t="shared" si="332"/>
        <v>0</v>
      </c>
      <c r="AX565" s="1798">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8">
        <f t="shared" si="331"/>
        <v>0</v>
      </c>
      <c r="AW566" s="1798">
        <f t="shared" si="332"/>
        <v>0</v>
      </c>
      <c r="AX566" s="1798">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8">
        <f t="shared" si="331"/>
        <v>0</v>
      </c>
      <c r="AW567" s="1798">
        <f t="shared" si="332"/>
        <v>0</v>
      </c>
      <c r="AX567" s="1798">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8">
        <f t="shared" si="331"/>
        <v>0</v>
      </c>
      <c r="AW568" s="1798">
        <f t="shared" si="332"/>
        <v>0</v>
      </c>
      <c r="AX568" s="1798">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8">
        <f t="shared" si="331"/>
        <v>0</v>
      </c>
      <c r="AW569" s="1798">
        <f t="shared" si="332"/>
        <v>0</v>
      </c>
      <c r="AX569" s="1798">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8">
        <f t="shared" si="331"/>
        <v>0</v>
      </c>
      <c r="AW570" s="1798">
        <f t="shared" si="332"/>
        <v>0</v>
      </c>
      <c r="AX570" s="1798">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8">
        <f t="shared" si="331"/>
        <v>0</v>
      </c>
      <c r="AW571" s="1798">
        <f t="shared" si="332"/>
        <v>0</v>
      </c>
      <c r="AX571" s="1798">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8">
        <f t="shared" si="331"/>
        <v>0</v>
      </c>
      <c r="AW572" s="1798">
        <f t="shared" si="332"/>
        <v>0</v>
      </c>
      <c r="AX572" s="1798">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8">
        <f t="shared" si="331"/>
        <v>0</v>
      </c>
      <c r="AW573" s="1798">
        <f t="shared" si="332"/>
        <v>0</v>
      </c>
      <c r="AX573" s="1798">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8">
        <f t="shared" si="331"/>
        <v>0</v>
      </c>
      <c r="AW574" s="1798">
        <f t="shared" si="332"/>
        <v>0</v>
      </c>
      <c r="AX574" s="1798">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8">
        <f t="shared" si="331"/>
        <v>0</v>
      </c>
      <c r="AW575" s="1798">
        <f t="shared" si="332"/>
        <v>0</v>
      </c>
      <c r="AX575" s="1798">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8">
        <f t="shared" si="331"/>
        <v>0</v>
      </c>
      <c r="AW576" s="1798">
        <f t="shared" si="332"/>
        <v>0</v>
      </c>
      <c r="AX576" s="1798">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8">
        <f t="shared" si="331"/>
        <v>0</v>
      </c>
      <c r="AW577" s="1798">
        <f t="shared" si="332"/>
        <v>0</v>
      </c>
      <c r="AX577" s="1798">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8">
        <f t="shared" si="331"/>
        <v>0</v>
      </c>
      <c r="AW578" s="1798">
        <f t="shared" si="332"/>
        <v>0</v>
      </c>
      <c r="AX578" s="1798">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8">
        <f t="shared" si="331"/>
        <v>0</v>
      </c>
      <c r="AW579" s="1798">
        <f t="shared" si="332"/>
        <v>0</v>
      </c>
      <c r="AX579" s="1798">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8">
        <f t="shared" si="331"/>
        <v>0</v>
      </c>
      <c r="AW580" s="1798">
        <f t="shared" si="332"/>
        <v>0</v>
      </c>
      <c r="AX580" s="1798">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8">
        <f t="shared" si="331"/>
        <v>0</v>
      </c>
      <c r="AW581" s="1798">
        <f t="shared" si="332"/>
        <v>0</v>
      </c>
      <c r="AX581" s="1798">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8">
        <f t="shared" si="331"/>
        <v>0</v>
      </c>
      <c r="AW582" s="1798">
        <f t="shared" si="332"/>
        <v>0</v>
      </c>
      <c r="AX582" s="1798">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8">
        <f t="shared" si="331"/>
        <v>0</v>
      </c>
      <c r="AW583" s="1798">
        <f t="shared" si="332"/>
        <v>0</v>
      </c>
      <c r="AX583" s="1798">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8">
        <f t="shared" si="331"/>
        <v>0</v>
      </c>
      <c r="AW584" s="1798">
        <f t="shared" si="332"/>
        <v>0</v>
      </c>
      <c r="AX584" s="1798">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1"/>
        <v>0</v>
      </c>
      <c r="AW585" s="1798">
        <f t="shared" si="332"/>
        <v>0</v>
      </c>
      <c r="AX585" s="1798">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1"/>
        <v>0</v>
      </c>
      <c r="AW586" s="1798">
        <f t="shared" si="332"/>
        <v>0</v>
      </c>
      <c r="AX586" s="1798">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1"/>
        <v>0</v>
      </c>
      <c r="AW587" s="1798">
        <f t="shared" si="332"/>
        <v>0</v>
      </c>
      <c r="AX587" s="1798">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3" sqref="I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5"/>
      <c r="C1" s="1395"/>
      <c r="D1" s="1395"/>
      <c r="E1" s="1395"/>
      <c r="F1" s="1395"/>
      <c r="G1" s="1395"/>
      <c r="H1" s="1395"/>
      <c r="I1" s="1395"/>
      <c r="J1" s="1395"/>
      <c r="K1" s="1395"/>
      <c r="L1" s="1395"/>
      <c r="M1" s="1395"/>
      <c r="N1" s="1395"/>
      <c r="O1" s="1395"/>
      <c r="P1" s="1395"/>
    </row>
    <row r="2" spans="1:16" ht="15">
      <c r="A2" s="3045" t="s">
        <v>1935</v>
      </c>
      <c r="B2" s="3045"/>
      <c r="C2" s="3045"/>
      <c r="D2" s="970" t="s">
        <v>1911</v>
      </c>
      <c r="E2" s="2226" t="s">
        <v>1912</v>
      </c>
      <c r="F2" s="1395"/>
      <c r="G2" s="2227"/>
      <c r="H2" s="2228"/>
      <c r="I2" s="2229" t="s">
        <v>1936</v>
      </c>
      <c r="J2" s="1395"/>
      <c r="K2" s="1395"/>
      <c r="L2" s="1395"/>
      <c r="M2" s="1395"/>
      <c r="N2" s="1430"/>
      <c r="O2" s="1395"/>
      <c r="P2" s="1395"/>
    </row>
    <row r="3" spans="1:16" ht="15.75" thickBot="1">
      <c r="A3" s="3046" t="s">
        <v>1909</v>
      </c>
      <c r="B3" s="3046"/>
      <c r="C3" s="3046"/>
      <c r="D3" s="46">
        <f>'数据-基础表'!AY6</f>
        <v>303.25</v>
      </c>
      <c r="E3" s="46">
        <f>'数据-基础表'!AZ5</f>
        <v>606.5</v>
      </c>
      <c r="F3" s="1395"/>
      <c r="G3" s="1402"/>
      <c r="H3" s="1250" t="s">
        <v>1910</v>
      </c>
      <c r="I3" s="55">
        <f>ROUND('数据-基础表'!B3/'数据-基础表'!A3,2)</f>
        <v>2</v>
      </c>
      <c r="J3" s="1395"/>
      <c r="K3" s="1395"/>
      <c r="L3" s="1395"/>
      <c r="M3" s="1395"/>
      <c r="N3" s="1430"/>
      <c r="O3" s="1395"/>
      <c r="P3" s="1395"/>
    </row>
    <row r="4" spans="1:16" ht="15">
      <c r="A4" s="3047"/>
      <c r="B4" s="3048"/>
      <c r="C4" s="3049"/>
      <c r="D4" s="2230" t="s">
        <v>1911</v>
      </c>
      <c r="E4" s="2231" t="s">
        <v>1912</v>
      </c>
      <c r="F4" s="1395"/>
      <c r="G4" s="2232" t="s">
        <v>1937</v>
      </c>
      <c r="H4" s="1250" t="s">
        <v>1917</v>
      </c>
      <c r="I4" s="55">
        <f>ROUND(SUMIF('数据-基础表'!I9:AS9,"地上",'数据-基础表'!I5:AS5)/'数据-基础表'!A3,2)</f>
        <v>2</v>
      </c>
      <c r="J4" s="1395"/>
      <c r="K4" s="1395"/>
      <c r="L4" s="1395"/>
      <c r="M4" s="1395"/>
      <c r="N4" s="1430"/>
      <c r="O4" s="1395"/>
      <c r="P4" s="1395"/>
    </row>
    <row r="5" spans="1:16">
      <c r="A5" s="47" t="s">
        <v>1913</v>
      </c>
      <c r="B5" s="3050" t="s">
        <v>1914</v>
      </c>
      <c r="C5" s="3050"/>
      <c r="D5" s="48">
        <f>ROUND($D$3*E5/$E$3,2)</f>
        <v>0</v>
      </c>
      <c r="E5" s="49">
        <f>SUMIF('数据-基础表'!$11:$11,"住宅",'数据-基础表'!$5:$5)</f>
        <v>0</v>
      </c>
      <c r="F5" s="1395"/>
      <c r="G5" s="1402"/>
      <c r="H5" s="1250" t="s">
        <v>1910</v>
      </c>
      <c r="I5" s="55">
        <f>ROUND(E31/D31,2)</f>
        <v>2</v>
      </c>
      <c r="J5" s="1395"/>
      <c r="K5" s="1395"/>
      <c r="L5" s="1395"/>
      <c r="M5" s="1395"/>
      <c r="N5" s="1395"/>
      <c r="O5" s="1395"/>
      <c r="P5" s="1395"/>
    </row>
    <row r="6" spans="1:16" ht="15" thickBot="1">
      <c r="A6" s="2233"/>
      <c r="B6" s="3050" t="s">
        <v>1915</v>
      </c>
      <c r="C6" s="3050"/>
      <c r="D6" s="48">
        <f>ROUND($D$3*E6/$E$3,2)</f>
        <v>303.25</v>
      </c>
      <c r="E6" s="49">
        <f>E3-E5</f>
        <v>606.5</v>
      </c>
      <c r="F6" s="1395"/>
      <c r="G6" s="2234" t="s">
        <v>1916</v>
      </c>
      <c r="H6" s="1402" t="s">
        <v>1917</v>
      </c>
      <c r="I6" s="942">
        <f>ROUND(F31/D31,2)</f>
        <v>2</v>
      </c>
      <c r="J6" s="1395"/>
      <c r="K6" s="1395"/>
      <c r="L6" s="1395"/>
      <c r="M6" s="1395"/>
      <c r="N6" s="1395"/>
      <c r="O6" s="1395"/>
      <c r="P6" s="1395"/>
    </row>
    <row r="7" spans="1:16" ht="15">
      <c r="A7" s="3042"/>
      <c r="B7" s="3043"/>
      <c r="C7" s="3044"/>
      <c r="D7" s="2230" t="s">
        <v>1911</v>
      </c>
      <c r="E7" s="2235" t="s">
        <v>1918</v>
      </c>
      <c r="F7" s="1395"/>
      <c r="G7" s="2227" t="s">
        <v>1919</v>
      </c>
      <c r="H7" s="64"/>
      <c r="I7" s="420"/>
      <c r="J7" s="1395"/>
      <c r="K7" s="1395"/>
      <c r="L7" s="1395"/>
      <c r="M7" s="1395"/>
      <c r="N7" s="1395"/>
      <c r="O7" s="1395"/>
      <c r="P7" s="1395"/>
    </row>
    <row r="8" spans="1:16">
      <c r="A8" s="47" t="s">
        <v>1920</v>
      </c>
      <c r="B8" s="50" t="s">
        <v>1921</v>
      </c>
      <c r="C8" s="48" t="s">
        <v>1922</v>
      </c>
      <c r="D8" s="48">
        <f t="shared" ref="D8:D15" si="0">ROUND($D$3*E8/$E$3,2)</f>
        <v>303.25</v>
      </c>
      <c r="E8" s="51">
        <f>SUMIF('数据-基础表'!BB10:BK10,"地上",'数据-基础表'!BB5:BK5)</f>
        <v>606.5</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1932</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303.25</v>
      </c>
      <c r="E16" s="53">
        <f>SUM(E8:E15)</f>
        <v>606.5</v>
      </c>
      <c r="F16" s="1395"/>
      <c r="G16" s="2236"/>
      <c r="H16" s="2239" t="s">
        <v>1939</v>
      </c>
      <c r="I16" s="2240"/>
      <c r="J16" s="1395"/>
      <c r="K16" s="3039" t="s">
        <v>1939</v>
      </c>
      <c r="L16" s="3040"/>
      <c r="M16" s="3040"/>
      <c r="N16" s="3040"/>
      <c r="O16" s="3040"/>
      <c r="P16" s="3041"/>
    </row>
    <row r="17" spans="1:19" ht="15">
      <c r="A17" s="2241" t="s">
        <v>1940</v>
      </c>
      <c r="B17" s="2242" t="s">
        <v>1941</v>
      </c>
      <c r="C17" s="2243" t="s">
        <v>1942</v>
      </c>
      <c r="D17" s="2244" t="s">
        <v>1930</v>
      </c>
      <c r="E17" s="2245" t="s">
        <v>1931</v>
      </c>
      <c r="F17" s="2246"/>
      <c r="G17" s="2247"/>
      <c r="H17" s="2248" t="s">
        <v>1943</v>
      </c>
      <c r="I17" s="2249" t="s">
        <v>1928</v>
      </c>
      <c r="J17" s="1395"/>
      <c r="K17" s="3036" t="s">
        <v>1944</v>
      </c>
      <c r="L17" s="3037"/>
      <c r="M17" s="3038"/>
      <c r="N17" s="3036" t="s">
        <v>1945</v>
      </c>
      <c r="O17" s="3037"/>
      <c r="P17" s="3038"/>
      <c r="R17" s="2227" t="s">
        <v>1946</v>
      </c>
      <c r="S17" s="64"/>
    </row>
    <row r="18" spans="1:19" ht="15">
      <c r="A18" s="2237"/>
      <c r="B18" s="2250"/>
      <c r="C18" s="2251"/>
      <c r="D18" s="2252"/>
      <c r="E18" s="2253" t="s">
        <v>1947</v>
      </c>
      <c r="F18" s="2254" t="s">
        <v>1948</v>
      </c>
      <c r="G18" s="2255" t="s">
        <v>1949</v>
      </c>
      <c r="H18" s="1265" t="s">
        <v>1950</v>
      </c>
      <c r="I18" s="2256" t="s">
        <v>1951</v>
      </c>
      <c r="J18" s="1395"/>
      <c r="K18" s="1265" t="s">
        <v>1952</v>
      </c>
      <c r="L18" s="2257" t="s">
        <v>1953</v>
      </c>
      <c r="M18" s="1049" t="s">
        <v>1954</v>
      </c>
      <c r="N18" s="1265" t="s">
        <v>1952</v>
      </c>
      <c r="O18" s="2257" t="s">
        <v>1953</v>
      </c>
      <c r="P18" s="1049" t="s">
        <v>1954</v>
      </c>
      <c r="R18" s="1250" t="s">
        <v>1955</v>
      </c>
      <c r="S18" s="1250" t="s">
        <v>1956</v>
      </c>
    </row>
    <row r="19" spans="1:19">
      <c r="A19" s="2258"/>
      <c r="B19" s="50" t="s">
        <v>1929</v>
      </c>
      <c r="C19" s="2947" t="s">
        <v>3065</v>
      </c>
      <c r="D19" s="48">
        <f>ROUND($D$3*E19/$E$3,2)</f>
        <v>303.25</v>
      </c>
      <c r="E19" s="56">
        <f t="shared" ref="E19:E26" si="1">SUM(F19:G19)</f>
        <v>606.5</v>
      </c>
      <c r="F19" s="57">
        <f>'数据-基础表'!B3</f>
        <v>606.5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303.25</v>
      </c>
      <c r="S19" s="1251">
        <f t="shared" si="5"/>
        <v>606.5</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303.25</v>
      </c>
      <c r="E27" s="1397">
        <f>IF(SUM(E19:E26)='数据-基础表'!BA5,SUM(E19:E26),IF(F27="地上面积有误","面积有误","地下面积有误"))</f>
        <v>606.5</v>
      </c>
      <c r="F27" s="1396">
        <f>IF(SUM(F19:F26)=E8,SUM(F19:F26),"地上面积有误")</f>
        <v>606.5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303.25</v>
      </c>
      <c r="S27" s="1250">
        <f>IF(SUM(S19:S26)=$E$3,SUM(S19:S26),SUM(S19:S26)&amp;"误差"&amp;ROUND(SUM(S19:S26)-E3,2))</f>
        <v>606.5</v>
      </c>
    </row>
    <row r="28" spans="1:19">
      <c r="A28" s="2262"/>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1962</v>
      </c>
      <c r="D31" s="729">
        <f>D27+D30</f>
        <v>303.25</v>
      </c>
      <c r="E31" s="729">
        <f>E27+E30</f>
        <v>606.5</v>
      </c>
      <c r="F31" s="730">
        <f>F27+F30</f>
        <v>606.5</v>
      </c>
      <c r="G31" s="731">
        <f>G27+G30</f>
        <v>0</v>
      </c>
      <c r="H31" s="1395"/>
      <c r="I31" s="1395"/>
      <c r="J31" s="1395"/>
      <c r="K31" s="1395"/>
      <c r="L31" s="1395"/>
      <c r="M31" s="1395"/>
      <c r="N31" s="1395"/>
      <c r="O31" s="1395"/>
      <c r="P31" s="1395"/>
    </row>
    <row r="32" spans="1:19">
      <c r="A32" s="2232"/>
      <c r="B32" s="2232" t="s">
        <v>1963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AE23" sqref="AE2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1965</v>
      </c>
      <c r="B2" s="1269">
        <f>项目基本情况!D3</f>
        <v>43256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3087</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商业</v>
      </c>
      <c r="B6" s="2306" t="str">
        <f>IF(A6=0,"","经营性")</f>
        <v>经营性</v>
      </c>
      <c r="C6" s="2307" t="s">
        <v>1377</v>
      </c>
      <c r="D6" s="1054">
        <f>SUMIF(项目基本情况!D$12:I$12,C6,项目基本情况!D$14:I$14)</f>
        <v>40</v>
      </c>
      <c r="E6" s="1051">
        <f>IF(B6="","",SUMIF(项目基本情况!D$12:I$12,C6,项目基本情况!D$13:I$13))</f>
        <v>53833</v>
      </c>
      <c r="F6" s="72">
        <f>SUMIF(项目基本情况!D$12:I$12,C6,项目基本情况!D$15:I$15)</f>
        <v>28.97</v>
      </c>
      <c r="G6" s="73">
        <f>IF(ISERROR(ROUND(POWER(1+H6,D6-F6)*(POWER(1+H6,F6)-1)/(POWER(1+H6,D6)-1),3)),0,ROUND(POWER(1+H6,D6-F6)*(POWER(1+H6,F6)-1)/(POWER(1+H6,D6)-1),3))</f>
        <v>0.88200000000000001</v>
      </c>
      <c r="H6" s="802">
        <v>0.05</v>
      </c>
      <c r="I6" s="802">
        <v>5.5E-2</v>
      </c>
      <c r="J6" s="74">
        <v>8.5000000000000006E-2</v>
      </c>
      <c r="K6" s="1254">
        <f>SUMIF('数据-汇总表'!C$19:C$33,A6,'数据-汇总表'!E$19:E$33)</f>
        <v>606.5</v>
      </c>
      <c r="L6" s="2953">
        <v>1800</v>
      </c>
      <c r="M6" s="75">
        <f t="shared" ref="M6:M14" si="0">ROUND(K6*L6/10000,0)</f>
        <v>109</v>
      </c>
      <c r="N6" s="801">
        <v>0.6</v>
      </c>
      <c r="O6" s="75" t="str">
        <f>IF($N$5="成新度","——",ROUND(M6*N6,0))</f>
        <v>——</v>
      </c>
      <c r="P6" s="76" t="str">
        <f>IF($N$5="成新度","——",M6-O6)</f>
        <v>——</v>
      </c>
      <c r="Q6" s="804">
        <v>0.2</v>
      </c>
      <c r="R6" s="77">
        <f ca="1">SUMIF('数据-汇总表'!C$19:C$33,A6,'数据-汇总表'!R$19:R$27)</f>
        <v>303.25</v>
      </c>
      <c r="S6" s="54">
        <f>IF('数据-汇总表'!$I$17="按面积比例",SUMIF('数据-汇总表'!C$19:C$33,A6,'数据-汇总表'!K$19:K$33),SUMIF('数据-汇总表'!C$19:C$33,A6,'数据-汇总表'!N$19:N$33))</f>
        <v>0</v>
      </c>
      <c r="T6" s="1446">
        <f>ROUND($L$14*S6/10000,0)</f>
        <v>0</v>
      </c>
      <c r="U6" s="78">
        <v>3.75</v>
      </c>
      <c r="V6" s="79">
        <v>0</v>
      </c>
      <c r="W6" s="79">
        <v>0</v>
      </c>
      <c r="X6" s="1264"/>
      <c r="Y6" s="80">
        <f>N6</f>
        <v>0.6</v>
      </c>
      <c r="Z6" s="81">
        <f>ROUND('比较法-商业（租金）'!B3*(1+AA6)^AF6,2)</f>
        <v>8.52</v>
      </c>
      <c r="AA6" s="74">
        <v>2.5000000000000001E-2</v>
      </c>
      <c r="AB6" s="2955">
        <v>0.05</v>
      </c>
      <c r="AC6" s="1264"/>
      <c r="AD6" s="2954">
        <f>ROUND((50*N6-AF6)/50,2)</f>
        <v>0.56000000000000005</v>
      </c>
      <c r="AE6" s="1265">
        <f ca="1">IF(AN6="",0,SUMIF(INDIRECT("'"&amp;AN6&amp;"'"&amp;"!E:E"),$AE$5,INDIRECT("'"&amp;AN6&amp;"'"&amp;"!F:F")))</f>
        <v>28.97</v>
      </c>
      <c r="AF6" s="1807">
        <v>2.0699999999999998</v>
      </c>
      <c r="AG6" s="147">
        <f ca="1">IF(AF6="",0,AE6-AF6)</f>
        <v>26.9</v>
      </c>
      <c r="AH6" s="83"/>
      <c r="AI6" s="85">
        <v>365</v>
      </c>
      <c r="AJ6" s="86"/>
      <c r="AK6" s="87">
        <v>0.02</v>
      </c>
      <c r="AL6" s="88">
        <v>2E-3</v>
      </c>
      <c r="AM6" s="89">
        <v>0.02</v>
      </c>
      <c r="AN6" s="2308" t="s">
        <v>3075</v>
      </c>
      <c r="AO6" s="55">
        <f ca="1">SUMIF(INDIRECT("'"&amp;AN6&amp;"'"&amp;"!A:A"),"总价",INDIRECT("'"&amp;AN6&amp;"'"&amp;"!B:B"))</f>
        <v>2375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2013</v>
      </c>
      <c r="B16" s="97"/>
      <c r="C16" s="1008"/>
      <c r="D16" s="2313"/>
      <c r="E16" s="97"/>
      <c r="F16" s="97"/>
      <c r="G16" s="98">
        <f>ROUND(SUMPRODUCT(G6:G13,K6:K13)/SUMPRODUCT((G6:G13&gt;0)*(K6:K13)),3)</f>
        <v>0.88200000000000001</v>
      </c>
      <c r="H16" s="99">
        <f>ROUND(SUMPRODUCT(H6:H13,K6:K13)/SUMPRODUCT((H6:H13&gt;0)*(K6:K13)),3)</f>
        <v>0.05</v>
      </c>
      <c r="I16" s="100"/>
      <c r="J16" s="100"/>
      <c r="K16" s="101">
        <f>SUM(K6:K15)</f>
        <v>606.5</v>
      </c>
      <c r="L16" s="102">
        <f>ROUND(M16*10000/SUM(K6:K14),0)</f>
        <v>1797</v>
      </c>
      <c r="M16" s="102">
        <f>SUM(M6:M14)</f>
        <v>109</v>
      </c>
      <c r="N16" s="103">
        <f>ROUND(SUMPRODUCT(M6:M14,N6:N14)/M16,3)</f>
        <v>0.6</v>
      </c>
      <c r="O16" s="102">
        <f>SUM(O6:O14)</f>
        <v>0</v>
      </c>
      <c r="P16" s="102">
        <f>SUM(P6:P14)</f>
        <v>0</v>
      </c>
      <c r="Q16" s="104">
        <f>ROUND(SUMPRODUCT(Q6:Q13,K6:K13)/SUMPRODUCT((Q6:Q13&gt;0)*(K6:K13)),2)</f>
        <v>0.2</v>
      </c>
      <c r="R16" s="1258">
        <f ca="1">SUM(R6:R13)</f>
        <v>303.25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6" t="s">
        <v>2016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1</v>
      </c>
      <c r="C20" s="2276" t="s">
        <v>2018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2023</v>
      </c>
      <c r="B26" s="2319" t="s">
        <v>2024</v>
      </c>
      <c r="C26" s="2320" t="s">
        <v>2025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c r="C27" s="1767" t="s">
        <v>2027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f ca="1">成本法!C10</f>
        <v>12</v>
      </c>
      <c r="C29" s="1767" t="s">
        <v>2030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7" t="s">
        <v>2038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4.3499999999999997E-2</v>
      </c>
      <c r="C40" s="1766" t="s">
        <v>2048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7.0000000000000007E-2</v>
      </c>
      <c r="C44" s="1766" t="s">
        <v>2053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c r="C47" s="1767" t="s">
        <v>2059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269</v>
      </c>
      <c r="C53" s="1430" t="s">
        <v>2068</v>
      </c>
      <c r="D53" s="2336" t="s">
        <v>2069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51" t="s">
        <v>2080</v>
      </c>
      <c r="B1" s="3052"/>
      <c r="C1" s="3052"/>
      <c r="D1" s="3052"/>
      <c r="E1" s="3052"/>
      <c r="F1" s="3052"/>
      <c r="G1" s="305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0.5">
      <c r="A4" s="431"/>
      <c r="B4" s="1798" t="s">
        <v>2088</v>
      </c>
      <c r="C4" s="2956" t="s">
        <v>3132</v>
      </c>
      <c r="D4" s="2370"/>
      <c r="E4" s="2374"/>
      <c r="F4" s="42" t="s">
        <v>2089</v>
      </c>
      <c r="G4" s="2375" t="s">
        <v>2090</v>
      </c>
      <c r="H4" s="2367"/>
      <c r="I4" s="2367"/>
      <c r="J4" s="2367"/>
      <c r="K4" s="2367"/>
      <c r="L4" s="2367"/>
      <c r="M4" s="2367"/>
      <c r="N4" s="2367"/>
      <c r="O4" s="2367"/>
      <c r="P4" s="2367"/>
      <c r="Q4" s="2367"/>
      <c r="R4" s="2367"/>
    </row>
    <row r="5" spans="1:29" ht="41.25">
      <c r="A5" s="431"/>
      <c r="B5" s="1798" t="s">
        <v>2091</v>
      </c>
      <c r="C5" s="2373" t="s">
        <v>2092</v>
      </c>
      <c r="D5" s="2370"/>
      <c r="E5" s="2374"/>
      <c r="F5" s="1798" t="s">
        <v>2093</v>
      </c>
      <c r="G5" s="2375" t="s">
        <v>2094</v>
      </c>
      <c r="H5" s="2367"/>
      <c r="I5" s="2367"/>
      <c r="J5" s="2367"/>
      <c r="K5" s="2367"/>
      <c r="L5" s="2367"/>
      <c r="M5" s="2367"/>
      <c r="N5" s="2367"/>
      <c r="O5" s="2367"/>
      <c r="P5" s="2367"/>
      <c r="Q5" s="2367"/>
      <c r="R5" s="2367"/>
    </row>
    <row r="6" spans="1:29" ht="54">
      <c r="A6" s="431"/>
      <c r="B6" s="1798" t="s">
        <v>2095</v>
      </c>
      <c r="C6" s="2957" t="s">
        <v>3133</v>
      </c>
      <c r="D6" s="2370"/>
      <c r="E6" s="2374"/>
      <c r="F6" s="1798" t="s">
        <v>2096</v>
      </c>
      <c r="G6" s="2375" t="s">
        <v>2097</v>
      </c>
      <c r="H6" s="2367"/>
      <c r="I6" s="2367"/>
      <c r="J6" s="2367"/>
      <c r="K6" s="2367"/>
      <c r="L6" s="2367"/>
      <c r="M6" s="2367"/>
      <c r="N6" s="2367"/>
      <c r="O6" s="2367"/>
      <c r="P6" s="2367"/>
      <c r="Q6" s="2367"/>
      <c r="R6" s="2367"/>
    </row>
    <row r="7" spans="1:29" ht="41.25" thickBot="1">
      <c r="A7" s="431"/>
      <c r="B7" s="1798" t="s">
        <v>2093</v>
      </c>
      <c r="C7" s="2957" t="s">
        <v>3134</v>
      </c>
      <c r="D7" s="2376"/>
      <c r="E7" s="2377"/>
      <c r="F7" s="2378" t="s">
        <v>2098</v>
      </c>
      <c r="G7" s="2379" t="s">
        <v>2099</v>
      </c>
      <c r="H7" s="2367"/>
      <c r="I7" s="2367"/>
      <c r="J7" s="2367"/>
      <c r="K7" s="2367"/>
      <c r="L7" s="2367"/>
      <c r="M7" s="2367"/>
      <c r="N7" s="2367"/>
      <c r="O7" s="2367"/>
      <c r="P7" s="2367"/>
      <c r="Q7" s="2367"/>
      <c r="R7" s="2367"/>
    </row>
    <row r="8" spans="1:29" ht="15">
      <c r="A8" s="431"/>
      <c r="B8" s="1798" t="s">
        <v>2096</v>
      </c>
      <c r="C8" s="2957" t="s">
        <v>3135</v>
      </c>
      <c r="D8" s="2376"/>
      <c r="E8" s="2376"/>
      <c r="F8" s="1136"/>
      <c r="G8" s="1136"/>
      <c r="H8" s="2367"/>
      <c r="I8" s="2367"/>
      <c r="J8" s="2367"/>
      <c r="K8" s="2367"/>
      <c r="L8" s="2367"/>
      <c r="M8" s="2367"/>
      <c r="N8" s="2367"/>
      <c r="O8" s="2367"/>
      <c r="P8" s="2367"/>
      <c r="Q8" s="2367"/>
      <c r="R8" s="2367"/>
    </row>
    <row r="9" spans="1:29" ht="54">
      <c r="A9" s="431"/>
      <c r="B9" s="1798" t="s">
        <v>2100</v>
      </c>
      <c r="C9" s="2956" t="s">
        <v>3136</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958" t="s">
        <v>3137</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2102</v>
      </c>
      <c r="B13" s="2386"/>
      <c r="C13" s="2386"/>
      <c r="D13" s="2393"/>
      <c r="E13" s="2386"/>
      <c r="F13" s="2386"/>
      <c r="G13" s="2386"/>
    </row>
    <row r="14" spans="1:29" ht="15.75" thickBot="1">
      <c r="A14" s="2397"/>
      <c r="B14" s="2398"/>
      <c r="C14" s="2399" t="s">
        <v>2103</v>
      </c>
      <c r="D14" s="2370"/>
      <c r="E14" s="2400"/>
      <c r="F14" s="2400"/>
      <c r="G14" s="2364" t="s">
        <v>2104</v>
      </c>
    </row>
    <row r="15" spans="1:29" ht="57">
      <c r="A15" s="68" t="s">
        <v>2105</v>
      </c>
      <c r="B15" s="1270" t="s">
        <v>2084</v>
      </c>
      <c r="C15" s="2401" t="str">
        <f>C3</f>
        <v>估价对象周边居住用地比例、居住小区规模和社区发展完善程度，综合评价居住社区成熟度一般</v>
      </c>
      <c r="D15" s="2370"/>
      <c r="E15" s="2402" t="s">
        <v>2106</v>
      </c>
      <c r="F15" s="1270" t="s">
        <v>2107</v>
      </c>
      <c r="G15" s="135" t="str">
        <f>G3</f>
        <v>估价对象位于XX开发区，园区建设成熟度XX，产业集聚程度XX</v>
      </c>
    </row>
    <row r="16" spans="1:29" ht="42.75">
      <c r="A16" s="645"/>
      <c r="B16" s="2403" t="s">
        <v>2088</v>
      </c>
      <c r="C16" s="2404" t="str">
        <f>C4</f>
        <v>估价对象位于德内商圈，周边商业氛围成熟，人流量较大，商业繁华较好</v>
      </c>
      <c r="D16" s="2370"/>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6"/>
      <c r="E17" s="2405"/>
      <c r="F17" s="2406" t="s">
        <v>2108</v>
      </c>
      <c r="G17" s="1572"/>
    </row>
    <row r="18" spans="1:18" ht="57">
      <c r="A18" s="645"/>
      <c r="B18" s="2406" t="s">
        <v>2095</v>
      </c>
      <c r="C18" s="136" t="str">
        <f>C6</f>
        <v>估价对象周边交通路网密集、公共交通通达情况较好、停车便捷程度一般，综合评价交通便捷度较好</v>
      </c>
      <c r="D18" s="2376"/>
      <c r="E18" s="2405"/>
      <c r="F18" s="2406" t="s">
        <v>2098</v>
      </c>
      <c r="G18" s="136" t="str">
        <f>G7</f>
        <v>该园区内是否有污染型企业，绿化情况，卫生条件，整体环境状况判断</v>
      </c>
    </row>
    <row r="19" spans="1:18" ht="28.5">
      <c r="A19" s="645"/>
      <c r="B19" s="2406" t="s">
        <v>2109</v>
      </c>
      <c r="C19" s="1572"/>
      <c r="D19" s="2370"/>
      <c r="E19" s="2405"/>
      <c r="F19" s="1798" t="s">
        <v>2093</v>
      </c>
      <c r="G19" s="136" t="str">
        <f>G5</f>
        <v>估价对象所在区域公共配套设施齐备情况</v>
      </c>
    </row>
    <row r="20" spans="1:18" ht="57">
      <c r="A20" s="645"/>
      <c r="B20" s="2406" t="s">
        <v>2110</v>
      </c>
      <c r="C20" s="2404" t="str">
        <f>C9</f>
        <v>区域自然环境：什刹海公园、后海公园；人文环境：北京古钱币博物馆；综合评价环境状况较好</v>
      </c>
      <c r="D20" s="2376"/>
      <c r="E20" s="2405"/>
      <c r="F20" s="1798" t="s">
        <v>2111</v>
      </c>
      <c r="G20" s="136" t="str">
        <f>G6</f>
        <v>估价对象所在区域基础设施水平</v>
      </c>
    </row>
    <row r="21" spans="1:18" ht="28.5">
      <c r="A21" s="645"/>
      <c r="B21" s="1798" t="s">
        <v>2093</v>
      </c>
      <c r="C21" s="136" t="str">
        <f>C7</f>
        <v>估价对象所在区域公共配套设施齐备情况较好</v>
      </c>
      <c r="D21" s="2370"/>
      <c r="E21" s="2405"/>
      <c r="F21" s="2406" t="s">
        <v>2112</v>
      </c>
      <c r="G21" s="2407"/>
    </row>
    <row r="22" spans="1:18" ht="13.5" customHeight="1">
      <c r="A22" s="645"/>
      <c r="B22" s="1798" t="s">
        <v>2096</v>
      </c>
      <c r="C22" s="136" t="str">
        <f>C8</f>
        <v>七通一平</v>
      </c>
      <c r="D22" s="2370"/>
      <c r="E22" s="2405"/>
      <c r="F22" s="2406" t="s">
        <v>2101</v>
      </c>
      <c r="G22" s="1572"/>
    </row>
    <row r="23" spans="1:18" s="2367"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7" customFormat="1" ht="15.75" thickBot="1">
      <c r="A24" s="2411"/>
      <c r="B24" s="2409" t="s">
        <v>2114</v>
      </c>
      <c r="C24" s="137" t="str">
        <f>C10</f>
        <v>城市次干道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606.5</v>
      </c>
      <c r="C1" s="1745"/>
      <c r="D1" s="1745"/>
      <c r="E1" s="1745"/>
      <c r="F1" s="1745"/>
      <c r="G1" s="1743"/>
    </row>
    <row r="2" spans="1:10" ht="16.5">
      <c r="A2" s="1746" t="s">
        <v>1353</v>
      </c>
      <c r="B2" s="1746">
        <f>SUM(C14:C23)</f>
        <v>303.25</v>
      </c>
      <c r="C2" s="1745"/>
      <c r="D2" s="1745"/>
      <c r="E2" s="1745"/>
      <c r="F2" s="1745"/>
      <c r="G2" s="1743"/>
    </row>
    <row r="3" spans="1:10" ht="16.5">
      <c r="A3" s="1746" t="s">
        <v>1362</v>
      </c>
      <c r="B3" s="1747">
        <f>项目基本情况!D3</f>
        <v>43256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3803</v>
      </c>
      <c r="C5" s="1746">
        <f ca="1">ROUND(B5*10000/$B$1,0)</f>
        <v>62704</v>
      </c>
      <c r="D5" s="1746">
        <f ca="1">ROUND(B5*10000/$B$2,0)</f>
        <v>125408</v>
      </c>
      <c r="E5" s="1745"/>
      <c r="F5" s="1743"/>
      <c r="G5" s="1743"/>
    </row>
    <row r="6" spans="1:10" ht="16.5">
      <c r="A6" s="1746" t="s">
        <v>1356</v>
      </c>
      <c r="B6" s="1746">
        <f ca="1">SUM(G14:G23)</f>
        <v>3803</v>
      </c>
      <c r="C6" s="1746">
        <f ca="1">ROUND(B6*10000/$B$1,0)</f>
        <v>62704</v>
      </c>
      <c r="D6" s="1746">
        <f ca="1">ROUND(B6*10000/$B$2,0)</f>
        <v>125408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606.5</v>
      </c>
      <c r="C14" s="1744">
        <f>结果表!C118</f>
        <v>303.25</v>
      </c>
      <c r="D14" s="1744">
        <f ca="1">结果表!H118</f>
        <v>3803</v>
      </c>
      <c r="E14" s="1744">
        <f ca="1">ROUND(D14*10000/B14,0)</f>
        <v>62704</v>
      </c>
      <c r="F14" s="1744">
        <f ca="1">ROUND(D14*10000/C14,0)</f>
        <v>125408</v>
      </c>
      <c r="G14" s="1744">
        <f ca="1">结果表!D122</f>
        <v>3803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37" sqref="J3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2115</v>
      </c>
      <c r="B1" s="2417"/>
      <c r="C1" s="2418" t="s">
        <v>1377</v>
      </c>
      <c r="D1" s="2417"/>
      <c r="E1" s="2417"/>
      <c r="F1" s="2419" t="s">
        <v>2116</v>
      </c>
      <c r="G1" s="2070" t="s">
        <v>3054</v>
      </c>
      <c r="H1" s="2420" t="str">
        <f>IF(G1="现房","——","估价对象范围")</f>
        <v>——</v>
      </c>
      <c r="I1" s="2421" t="s">
        <v>3076</v>
      </c>
    </row>
    <row r="2" spans="1:12" ht="21.75" customHeight="1" thickBot="1">
      <c r="A2" s="3125" t="str">
        <f>项目基本情况!S2</f>
        <v>北京市西城区鼓楼西大街207号房地产</v>
      </c>
      <c r="B2" s="3126"/>
      <c r="C2" s="3126"/>
      <c r="D2" s="3126"/>
      <c r="E2" s="3126"/>
      <c r="F2" s="3126"/>
      <c r="G2" s="3126"/>
      <c r="H2" s="3126"/>
      <c r="I2" s="3127"/>
    </row>
    <row r="3" spans="1:12" ht="12.75">
      <c r="A3" s="3129" t="s">
        <v>2117</v>
      </c>
      <c r="B3" s="3130"/>
      <c r="C3" s="3130"/>
      <c r="D3" s="3130"/>
      <c r="E3" s="3130"/>
      <c r="F3" s="3130"/>
      <c r="G3" s="3130"/>
      <c r="H3" s="3130"/>
      <c r="I3" s="3130"/>
    </row>
    <row r="4" spans="1:12" ht="14.25">
      <c r="A4" s="2424" t="s">
        <v>2118</v>
      </c>
      <c r="B4" s="2425" t="s">
        <v>2119</v>
      </c>
      <c r="C4" s="2426" t="s">
        <v>3071</v>
      </c>
      <c r="D4" s="2426" t="s">
        <v>3075</v>
      </c>
      <c r="E4" s="3109" t="s">
        <v>2120</v>
      </c>
      <c r="F4" s="3122"/>
      <c r="G4" s="3122"/>
      <c r="H4" s="3122"/>
      <c r="I4" s="311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2121</v>
      </c>
      <c r="B5" s="3026">
        <v>25</v>
      </c>
      <c r="C5" s="3131"/>
      <c r="D5" s="3128"/>
      <c r="E5" s="140" t="s">
        <v>2122</v>
      </c>
      <c r="F5" s="2428"/>
      <c r="G5" s="2428"/>
      <c r="H5" s="2428"/>
      <c r="I5" s="1834"/>
    </row>
    <row r="6" spans="1:12" ht="12.75">
      <c r="A6" s="3100"/>
      <c r="B6" s="3026"/>
      <c r="C6" s="3133"/>
      <c r="D6" s="3128"/>
      <c r="E6" s="140" t="s">
        <v>2123</v>
      </c>
      <c r="F6" s="2428"/>
      <c r="G6" s="2428"/>
      <c r="H6" s="2428"/>
      <c r="I6" s="1834"/>
    </row>
    <row r="7" spans="1:12" ht="12.75">
      <c r="A7" s="3100"/>
      <c r="B7" s="3026"/>
      <c r="C7" s="3132"/>
      <c r="D7" s="3128"/>
      <c r="E7" s="140" t="s">
        <v>2124</v>
      </c>
      <c r="F7" s="2428"/>
      <c r="G7" s="2428"/>
      <c r="H7" s="2428"/>
      <c r="I7" s="1834"/>
    </row>
    <row r="8" spans="1:12" ht="12.75">
      <c r="A8" s="3100" t="s">
        <v>2125</v>
      </c>
      <c r="B8" s="3026">
        <v>15</v>
      </c>
      <c r="C8" s="3131"/>
      <c r="D8" s="3128"/>
      <c r="E8" s="140" t="s">
        <v>2126</v>
      </c>
      <c r="F8" s="2428"/>
      <c r="G8" s="2428"/>
      <c r="H8" s="2428"/>
      <c r="I8" s="1834"/>
    </row>
    <row r="9" spans="1:12" ht="12.75">
      <c r="A9" s="3100"/>
      <c r="B9" s="3026"/>
      <c r="C9" s="3132"/>
      <c r="D9" s="3128"/>
      <c r="E9" s="140" t="s">
        <v>2127</v>
      </c>
      <c r="F9" s="2428"/>
      <c r="G9" s="2428"/>
      <c r="H9" s="2428"/>
      <c r="I9" s="1834"/>
    </row>
    <row r="10" spans="1:12" ht="12.75">
      <c r="A10" s="3100" t="s">
        <v>2128</v>
      </c>
      <c r="B10" s="3026">
        <v>15</v>
      </c>
      <c r="C10" s="3131"/>
      <c r="D10" s="3128"/>
      <c r="E10" s="140" t="s">
        <v>2129</v>
      </c>
      <c r="F10" s="2428"/>
      <c r="G10" s="2428"/>
      <c r="H10" s="2428"/>
      <c r="I10" s="1834"/>
    </row>
    <row r="11" spans="1:12" ht="12.75">
      <c r="A11" s="3100"/>
      <c r="B11" s="3026"/>
      <c r="C11" s="3132"/>
      <c r="D11" s="3128"/>
      <c r="E11" s="140" t="s">
        <v>2130</v>
      </c>
      <c r="F11" s="2428"/>
      <c r="G11" s="2428"/>
      <c r="H11" s="2428"/>
      <c r="I11" s="1834"/>
    </row>
    <row r="12" spans="1:12" ht="12.75">
      <c r="A12" s="3100" t="s">
        <v>2131</v>
      </c>
      <c r="B12" s="3026">
        <v>15</v>
      </c>
      <c r="C12" s="3131"/>
      <c r="D12" s="3128"/>
      <c r="E12" s="140" t="s">
        <v>2132</v>
      </c>
      <c r="F12" s="2428"/>
      <c r="G12" s="2428"/>
      <c r="H12" s="2428"/>
      <c r="I12" s="1834"/>
    </row>
    <row r="13" spans="1:12" ht="12.75">
      <c r="A13" s="3100"/>
      <c r="B13" s="3026"/>
      <c r="C13" s="3132"/>
      <c r="D13" s="3128"/>
      <c r="E13" s="140" t="s">
        <v>2133</v>
      </c>
      <c r="F13" s="2428"/>
      <c r="G13" s="2428"/>
      <c r="H13" s="2428"/>
      <c r="I13" s="1834"/>
    </row>
    <row r="14" spans="1:12" ht="12.75">
      <c r="A14" s="3100" t="s">
        <v>2134</v>
      </c>
      <c r="B14" s="3026">
        <v>30</v>
      </c>
      <c r="C14" s="3144">
        <v>4</v>
      </c>
      <c r="D14" s="3118">
        <v>6</v>
      </c>
      <c r="E14" s="140" t="s">
        <v>2135</v>
      </c>
      <c r="F14" s="2428"/>
      <c r="G14" s="2428"/>
      <c r="H14" s="2428"/>
      <c r="I14" s="1834"/>
    </row>
    <row r="15" spans="1:12" ht="12.75">
      <c r="A15" s="3100"/>
      <c r="B15" s="3026"/>
      <c r="C15" s="3145"/>
      <c r="D15" s="3118"/>
      <c r="E15" s="140" t="s">
        <v>2136</v>
      </c>
      <c r="F15" s="2428"/>
      <c r="G15" s="2428"/>
      <c r="H15" s="2428"/>
      <c r="I15" s="1834"/>
    </row>
    <row r="16" spans="1:12" ht="12.75">
      <c r="A16" s="3100"/>
      <c r="B16" s="3026"/>
      <c r="C16" s="3146"/>
      <c r="D16" s="3118"/>
      <c r="E16" s="140" t="s">
        <v>2137</v>
      </c>
      <c r="F16" s="2428"/>
      <c r="G16" s="2428"/>
      <c r="H16" s="2428"/>
      <c r="I16" s="1834"/>
    </row>
    <row r="17" spans="1:35" ht="15">
      <c r="A17" s="2429" t="s">
        <v>2138</v>
      </c>
      <c r="B17" s="64"/>
      <c r="C17" s="141">
        <f>SUM(C5:C16)</f>
        <v>4</v>
      </c>
      <c r="D17" s="141">
        <f>SUM(D5:D16)</f>
        <v>6</v>
      </c>
      <c r="E17" s="138"/>
      <c r="F17" s="138"/>
      <c r="G17" s="138"/>
      <c r="H17" s="138"/>
      <c r="I17" s="138"/>
      <c r="K17" s="2427"/>
      <c r="L17" s="2430" t="s">
        <v>2139</v>
      </c>
      <c r="M17" s="2430" t="s">
        <v>2140</v>
      </c>
    </row>
    <row r="18" spans="1:35" ht="15.75" thickBot="1">
      <c r="A18" s="2431" t="s">
        <v>2141</v>
      </c>
      <c r="B18" s="2432"/>
      <c r="C18" s="142">
        <f>ROUND(C17/SUM(C17:D17),2)</f>
        <v>0.4</v>
      </c>
      <c r="D18" s="142">
        <f>1-C18</f>
        <v>0.6</v>
      </c>
      <c r="E18" s="138"/>
      <c r="F18" s="138"/>
      <c r="G18" s="138"/>
      <c r="H18" s="138"/>
      <c r="I18" s="138"/>
      <c r="K18" s="2427" t="s">
        <v>2142</v>
      </c>
      <c r="L18" s="2427">
        <f>IF(C1="",'数据-汇总表'!E3,SUMIF(项目类型,C1,'数据-汇总表'!E17:E26)+SUMIF(项目类型,C1,'数据-汇总表'!I17:I26))</f>
        <v>606.5</v>
      </c>
      <c r="M18" s="2427">
        <f>IF(C1="",'数据-汇总表'!E3,SUMIF(项目类型,C1,'数据-汇总表'!E17:E26))</f>
        <v>606.5</v>
      </c>
    </row>
    <row r="19" spans="1:35" ht="15">
      <c r="A19" s="2433" t="s">
        <v>2143</v>
      </c>
      <c r="B19" s="2434" t="s">
        <v>2144</v>
      </c>
      <c r="C19" s="143">
        <f ca="1">SUMIF(INDIRECT("'"&amp;C4&amp;"'"&amp;"!A:A"),结果表!B19,INDIRECT("'"&amp;C4&amp;"'"&amp;"!B:B"))</f>
        <v>5946</v>
      </c>
      <c r="D19" s="144">
        <f ca="1">SUMIF(INDIRECT("'"&amp;D4&amp;"'"&amp;"!A:A"),结果表!B19,INDIRECT("'"&amp;D4&amp;"'"&amp;"!B:B"))</f>
        <v>2375</v>
      </c>
      <c r="E19" s="2433" t="s">
        <v>2145</v>
      </c>
      <c r="F19" s="2434" t="s">
        <v>2144</v>
      </c>
      <c r="G19" s="145">
        <f ca="1">ROUND(C19*$C$18+D19*$D$18,0)</f>
        <v>3803</v>
      </c>
      <c r="H19" s="2435" t="s">
        <v>2146</v>
      </c>
      <c r="I19" s="138"/>
      <c r="K19" s="2427" t="s">
        <v>2147</v>
      </c>
      <c r="L19" s="2427">
        <f>IF(C1="",'数据-汇总表'!D3,SUMIF(项目类型,C1,'数据-汇总表'!D17:D26)+SUMIF(项目类型,C1,'数据-汇总表'!H17:H27))</f>
        <v>303.25</v>
      </c>
      <c r="M19" s="2427">
        <f>IF(C1="",'数据-汇总表'!D3,SUMIF(项目类型,C1,'数据-汇总表'!D17:D26))</f>
        <v>303.25</v>
      </c>
    </row>
    <row r="20" spans="1:35" ht="15">
      <c r="A20" s="2436"/>
      <c r="B20" s="1250" t="s">
        <v>2148</v>
      </c>
      <c r="C20" s="146">
        <f ca="1">SUMIF(INDIRECT("'"&amp;C4&amp;"'"&amp;"!A:A"),结果表!B20,INDIRECT("'"&amp;C4&amp;"'"&amp;"!B:B"))</f>
        <v>98038</v>
      </c>
      <c r="D20" s="147">
        <f ca="1">SUMIF(INDIRECT("'"&amp;D4&amp;"'"&amp;"!A:A"),结果表!B20,INDIRECT("'"&amp;D4&amp;"'"&amp;"!B:B"))</f>
        <v>39159</v>
      </c>
      <c r="E20" s="2436"/>
      <c r="F20" s="1250" t="s">
        <v>2148</v>
      </c>
      <c r="G20" s="148">
        <f ca="1">ROUND(C20*$C$18+D20*$D$18,0)</f>
        <v>62711</v>
      </c>
      <c r="H20" s="983" t="s">
        <v>2149</v>
      </c>
      <c r="I20" s="138"/>
    </row>
    <row r="21" spans="1:35" ht="15" customHeight="1" thickBot="1">
      <c r="A21" s="1003"/>
      <c r="B21" s="2437" t="s">
        <v>2150</v>
      </c>
      <c r="C21" s="789">
        <f ca="1">ROUND(C19*10000/L19,0)</f>
        <v>196076</v>
      </c>
      <c r="D21" s="790">
        <f ca="1">ROUND(D19*10000/L19,0)</f>
        <v>78318</v>
      </c>
      <c r="E21" s="1003"/>
      <c r="F21" s="2437" t="s">
        <v>2150</v>
      </c>
      <c r="G21" s="149">
        <f ca="1">ROUND(G19*10000/L19,0)</f>
        <v>125408</v>
      </c>
      <c r="H21" s="2438" t="s">
        <v>2149</v>
      </c>
      <c r="I21" s="138"/>
    </row>
    <row r="22" spans="1:35" ht="15" thickBot="1">
      <c r="A22" s="2280" t="s">
        <v>2151</v>
      </c>
      <c r="B22" s="2439"/>
      <c r="C22" s="2440"/>
      <c r="D22" s="791">
        <f ca="1">IF(C19&lt;D19,D19/C19-1,C19/D19-1)</f>
        <v>1.5035789473684211</v>
      </c>
      <c r="E22" s="138"/>
      <c r="F22" s="138"/>
      <c r="G22" s="138"/>
      <c r="H22" s="138"/>
      <c r="I22" s="138"/>
    </row>
    <row r="23" spans="1:35" ht="13.5" thickBot="1">
      <c r="A23" s="2417"/>
      <c r="B23" s="2417"/>
      <c r="C23" s="2417"/>
      <c r="D23" s="2417"/>
      <c r="E23" s="138"/>
      <c r="F23" s="138"/>
      <c r="G23" s="138"/>
      <c r="H23" s="138"/>
      <c r="I23" s="138"/>
    </row>
    <row r="24" spans="1:35" ht="14.25">
      <c r="A24" s="3140" t="s">
        <v>2152</v>
      </c>
      <c r="B24" s="2434" t="s">
        <v>2144</v>
      </c>
      <c r="C24" s="145">
        <f>IF(B30=0,0,D30)</f>
        <v>0</v>
      </c>
      <c r="D24" s="2441"/>
      <c r="E24" s="138"/>
      <c r="F24" s="138"/>
      <c r="G24" s="138"/>
      <c r="H24" s="138"/>
      <c r="I24" s="138"/>
    </row>
    <row r="25" spans="1:35" ht="14.25">
      <c r="A25" s="3141"/>
      <c r="B25" s="1250"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2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3803</v>
      </c>
      <c r="D32" s="2448" t="s">
        <v>2159</v>
      </c>
      <c r="E32" s="138"/>
      <c r="F32" s="138"/>
      <c r="G32" s="138"/>
      <c r="H32" s="138"/>
      <c r="I32" s="138"/>
    </row>
    <row r="33" spans="1:15" ht="15">
      <c r="A33" s="960" t="s">
        <v>2160</v>
      </c>
      <c r="B33" s="2449"/>
      <c r="C33" s="2450"/>
      <c r="D33" s="2451"/>
      <c r="E33" s="2452" t="s">
        <v>2161</v>
      </c>
      <c r="F33" s="2453" t="str">
        <f>IF(D32="楼面单价","取值（单价）","取值（总价）")</f>
        <v>取值（总价）</v>
      </c>
      <c r="G33" s="138"/>
      <c r="H33" s="138"/>
      <c r="I33" s="138"/>
    </row>
    <row r="34" spans="1:15" ht="15">
      <c r="A34" s="2454"/>
      <c r="B34" s="2455"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2163</v>
      </c>
      <c r="F34" s="1739"/>
      <c r="G34" s="138"/>
      <c r="H34" s="138"/>
      <c r="I34" s="138"/>
    </row>
    <row r="35" spans="1:15" ht="15.75" thickBot="1">
      <c r="A35" s="2457"/>
      <c r="B35" s="2458"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119" t="s">
        <v>2166</v>
      </c>
      <c r="B36" s="2460" t="s">
        <v>2167</v>
      </c>
      <c r="C36" s="154"/>
      <c r="D36" s="2461"/>
      <c r="E36" s="2462"/>
      <c r="F36" s="2463"/>
      <c r="G36" s="138"/>
      <c r="H36" s="138"/>
      <c r="I36" s="138"/>
    </row>
    <row r="37" spans="1:15" ht="15.75" thickBot="1">
      <c r="A37" s="3120"/>
      <c r="B37" s="2266" t="s">
        <v>2168</v>
      </c>
      <c r="C37" s="156"/>
      <c r="D37" s="1395"/>
      <c r="E37" s="1395"/>
      <c r="F37" s="2463"/>
      <c r="G37" s="138"/>
      <c r="H37" s="138"/>
      <c r="I37" s="138"/>
    </row>
    <row r="38" spans="1:15" ht="15.75" thickBot="1">
      <c r="A38" s="3121"/>
      <c r="B38" s="2464" t="s">
        <v>2169</v>
      </c>
      <c r="C38" s="727"/>
      <c r="D38" s="2465" t="s">
        <v>2170</v>
      </c>
      <c r="E38" s="1395"/>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137" t="s">
        <v>2180</v>
      </c>
      <c r="B45" s="3138"/>
      <c r="C45" s="3139"/>
      <c r="D45" s="164">
        <f ca="1">ROUND(H101*F45,0)</f>
        <v>3803</v>
      </c>
      <c r="E45" s="165" t="s">
        <v>2181</v>
      </c>
      <c r="F45" s="166">
        <v>1</v>
      </c>
      <c r="G45" s="167" t="s">
        <v>2182</v>
      </c>
      <c r="H45" s="138"/>
      <c r="I45" s="138"/>
      <c r="J45" s="3055" t="s">
        <v>2183</v>
      </c>
      <c r="K45" s="3055"/>
      <c r="L45" s="3055"/>
      <c r="M45" s="3055"/>
      <c r="N45" s="3055"/>
      <c r="O45" s="3055"/>
    </row>
    <row r="46" spans="1:15" ht="14.25" customHeight="1">
      <c r="A46" s="3134" t="s">
        <v>2184</v>
      </c>
      <c r="B46" s="3135"/>
      <c r="C46" s="3135"/>
      <c r="D46" s="3135"/>
      <c r="E46" s="3135"/>
      <c r="F46" s="3135"/>
      <c r="G46" s="3136"/>
      <c r="H46" s="2479"/>
      <c r="I46" s="168"/>
      <c r="J46" s="1812">
        <v>1</v>
      </c>
      <c r="K46" s="3055" t="s">
        <v>2185</v>
      </c>
      <c r="L46" s="3055"/>
      <c r="M46" s="3056"/>
      <c r="N46" s="3056"/>
      <c r="O46" s="3056"/>
    </row>
    <row r="47" spans="1:15" ht="12" customHeight="1">
      <c r="A47" s="169" t="s">
        <v>2186</v>
      </c>
      <c r="B47" s="170"/>
      <c r="C47" s="171"/>
      <c r="D47" s="172" t="s">
        <v>2187</v>
      </c>
      <c r="E47" s="24" t="s">
        <v>2188</v>
      </c>
      <c r="F47" s="173" t="s">
        <v>2189</v>
      </c>
      <c r="G47" s="174" t="s">
        <v>2190</v>
      </c>
      <c r="H47" s="2479"/>
      <c r="I47" s="168"/>
      <c r="J47" s="1812">
        <v>2</v>
      </c>
      <c r="K47" s="3055" t="s">
        <v>2191</v>
      </c>
      <c r="L47" s="3055"/>
      <c r="M47" s="3057">
        <f>'数据-取费表'!B2</f>
        <v>43256</v>
      </c>
      <c r="N47" s="3057"/>
      <c r="O47" s="3057"/>
    </row>
    <row r="48" spans="1:15" ht="25.5">
      <c r="A48" s="3123" t="s">
        <v>2192</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0" t="s">
        <v>2193</v>
      </c>
      <c r="H48" s="2481" t="s">
        <v>2194</v>
      </c>
      <c r="I48" s="2479"/>
      <c r="J48" s="1812">
        <v>3</v>
      </c>
      <c r="K48" s="3055" t="s">
        <v>2195</v>
      </c>
      <c r="L48" s="3055"/>
      <c r="M48" s="3058">
        <f ca="1">H101</f>
        <v>3803</v>
      </c>
      <c r="N48" s="3058"/>
      <c r="O48" s="3058"/>
    </row>
    <row r="49" spans="1:35" ht="25.5" customHeight="1">
      <c r="A49" s="176" t="s">
        <v>2196</v>
      </c>
      <c r="B49" s="3103" t="s">
        <v>2197</v>
      </c>
      <c r="C49" s="3103"/>
      <c r="D49" s="177">
        <v>0</v>
      </c>
      <c r="E49" s="23" t="s">
        <v>2198</v>
      </c>
      <c r="F49" s="28" t="s">
        <v>34</v>
      </c>
      <c r="G49" s="3084"/>
      <c r="H49" s="138"/>
      <c r="I49" s="2482"/>
      <c r="J49" s="1812">
        <v>4</v>
      </c>
      <c r="K49" s="3055" t="str">
        <f>IF(项目基本情况!E8="房地产抵押价值","房地产抵押价值","抵押担保权已注销时的房地产抵押价值")</f>
        <v>房地产抵押价值</v>
      </c>
      <c r="L49" s="3055"/>
      <c r="M49" s="3058">
        <f ca="1">IF(项目基本情况!E8="房地产抵押价值",H107,H109)</f>
        <v>3803</v>
      </c>
      <c r="N49" s="3058"/>
      <c r="O49" s="3058"/>
    </row>
    <row r="50" spans="1:35" ht="25.5" customHeight="1">
      <c r="A50" s="178"/>
      <c r="B50" s="3103" t="s">
        <v>2199</v>
      </c>
      <c r="C50" s="3103"/>
      <c r="D50" s="179"/>
      <c r="E50" s="31"/>
      <c r="F50" s="180"/>
      <c r="G50" s="3085"/>
      <c r="H50" s="138"/>
      <c r="I50" s="2482"/>
      <c r="J50" s="3055" t="s">
        <v>2200</v>
      </c>
      <c r="K50" s="3055"/>
      <c r="L50" s="3055"/>
      <c r="M50" s="3055"/>
      <c r="N50" s="3055"/>
      <c r="O50" s="3055"/>
    </row>
    <row r="51" spans="1:35" ht="12" customHeight="1">
      <c r="A51" s="181"/>
      <c r="B51" s="3103" t="s">
        <v>2201</v>
      </c>
      <c r="C51" s="3103"/>
      <c r="D51" s="182"/>
      <c r="E51" s="30"/>
      <c r="F51" s="180"/>
      <c r="G51" s="3086"/>
      <c r="H51" s="138"/>
      <c r="I51" s="2482"/>
      <c r="J51" s="2483" t="s">
        <v>2202</v>
      </c>
      <c r="K51" s="3055" t="s">
        <v>2203</v>
      </c>
      <c r="L51" s="3055"/>
      <c r="M51" s="2483" t="s">
        <v>2204</v>
      </c>
      <c r="N51" s="2483" t="s">
        <v>2205</v>
      </c>
      <c r="O51" s="2483" t="s">
        <v>2206</v>
      </c>
    </row>
    <row r="52" spans="1:35" ht="24" customHeight="1">
      <c r="A52" s="183" t="s">
        <v>2207</v>
      </c>
      <c r="B52" s="3103" t="s">
        <v>2208</v>
      </c>
      <c r="C52" s="3103"/>
      <c r="D52" s="182">
        <f ca="1">ROUND(D45*'数据-取费表'!B41/(1+'数据-取费表'!C42),0)</f>
        <v>203</v>
      </c>
      <c r="E52" s="11" t="s">
        <v>2209</v>
      </c>
      <c r="F52" s="184">
        <f>'数据-取费表'!B41</f>
        <v>5.6000000000000001E-2</v>
      </c>
      <c r="G52" s="2484"/>
      <c r="H52" s="138"/>
      <c r="I52" s="2482"/>
      <c r="J52" s="1812">
        <v>1</v>
      </c>
      <c r="K52" s="3078" t="s">
        <v>2210</v>
      </c>
      <c r="L52" s="3078"/>
      <c r="M52" s="1754">
        <f>D48</f>
        <v>0</v>
      </c>
      <c r="N52" s="1812" t="str">
        <f>E48</f>
        <v>销售额×税（费）率</v>
      </c>
      <c r="O52" s="1755" t="str">
        <f>F48</f>
        <v>免征</v>
      </c>
    </row>
    <row r="53" spans="1:35" ht="12" customHeight="1">
      <c r="A53" s="183" t="s">
        <v>2211</v>
      </c>
      <c r="B53" s="3104" t="s">
        <v>2212</v>
      </c>
      <c r="C53" s="3105"/>
      <c r="D53" s="182">
        <f ca="1">ROUND(D45*'数据-取费表'!B41/(1+'数据-取费表'!C42),0)</f>
        <v>203</v>
      </c>
      <c r="E53" s="11" t="s">
        <v>2209</v>
      </c>
      <c r="F53" s="184">
        <f>'数据-取费表'!B41</f>
        <v>5.6000000000000001E-2</v>
      </c>
      <c r="G53" s="2484"/>
      <c r="H53" s="138"/>
      <c r="I53" s="2482"/>
      <c r="J53" s="1812">
        <v>2</v>
      </c>
      <c r="K53" s="3078" t="s">
        <v>2213</v>
      </c>
      <c r="L53" s="3078"/>
      <c r="M53" s="1754">
        <f t="shared" ref="M53:O54" ca="1" si="0">D55</f>
        <v>2</v>
      </c>
      <c r="N53" s="1812" t="str">
        <f t="shared" si="0"/>
        <v>销售额×税（费）率</v>
      </c>
      <c r="O53" s="1755">
        <f t="shared" si="0"/>
        <v>5.0000000000000001E-4</v>
      </c>
    </row>
    <row r="54" spans="1:35" ht="12" customHeight="1">
      <c r="A54" s="183" t="s">
        <v>2214</v>
      </c>
      <c r="B54" s="3104" t="s">
        <v>2215</v>
      </c>
      <c r="C54" s="3105"/>
      <c r="D54" s="182">
        <f ca="1">C68</f>
        <v>203</v>
      </c>
      <c r="E54" s="30" t="s">
        <v>2216</v>
      </c>
      <c r="F54" s="184">
        <f>'数据-取费表'!B41</f>
        <v>5.6000000000000001E-2</v>
      </c>
      <c r="G54" s="2484"/>
      <c r="H54" s="2485"/>
      <c r="I54" s="2482"/>
      <c r="J54" s="1812">
        <v>3</v>
      </c>
      <c r="K54" s="3078" t="s">
        <v>2217</v>
      </c>
      <c r="L54" s="3078"/>
      <c r="M54" s="1754">
        <f t="shared" ca="1" si="0"/>
        <v>2152</v>
      </c>
      <c r="N54" s="1812" t="str">
        <f t="shared" si="0"/>
        <v>增值额×税（费）率</v>
      </c>
      <c r="O54" s="1756" t="str">
        <f t="shared" si="0"/>
        <v>——</v>
      </c>
    </row>
    <row r="55" spans="1:35" ht="24" customHeight="1">
      <c r="A55" s="3143" t="s">
        <v>2218</v>
      </c>
      <c r="B55" s="3124"/>
      <c r="C55" s="3124"/>
      <c r="D55" s="185">
        <f ca="1">IF(H55="个人住宅",0,ROUND(D45*I55,0))</f>
        <v>2</v>
      </c>
      <c r="E55" s="11" t="s">
        <v>2219</v>
      </c>
      <c r="F55" s="184">
        <f>IF(H55="正常",I55,"免征")</f>
        <v>5.0000000000000001E-4</v>
      </c>
      <c r="G55" s="2484"/>
      <c r="H55" s="2481" t="s">
        <v>2220</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3" t="s">
        <v>2221</v>
      </c>
      <c r="B56" s="3124"/>
      <c r="C56" s="3124"/>
      <c r="D56" s="185">
        <f ca="1">IF(H56="个人住宅",D57,D58)</f>
        <v>2152</v>
      </c>
      <c r="E56" s="11" t="s">
        <v>2222</v>
      </c>
      <c r="F56" s="184" t="str">
        <f>IF(H56="正常",F58,"免征")</f>
        <v>——</v>
      </c>
      <c r="G56" s="2486" t="s">
        <v>2223</v>
      </c>
      <c r="H56" s="2487" t="s">
        <v>2220</v>
      </c>
      <c r="I56" s="2488"/>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2196</v>
      </c>
      <c r="B57" s="3109" t="s">
        <v>2224</v>
      </c>
      <c r="C57" s="3110"/>
      <c r="D57" s="187">
        <v>0</v>
      </c>
      <c r="E57" s="23" t="s">
        <v>2198</v>
      </c>
      <c r="F57" s="155"/>
      <c r="G57" s="2484"/>
      <c r="H57" s="2488"/>
      <c r="I57" s="2488"/>
      <c r="J57" s="3078">
        <f>IF(AND(J55="",J56=""),4,IF(项目基本情况!K6="上海银行",结果表!J56+1,结果表!J55+1))</f>
        <v>4</v>
      </c>
      <c r="K57" s="3078" t="s">
        <v>2225</v>
      </c>
      <c r="L57" s="2489" t="s">
        <v>2226</v>
      </c>
      <c r="M57" s="1759"/>
      <c r="N57" s="1760">
        <f ca="1">SUMIF(M52:M56,"&lt;9e307")</f>
        <v>2154</v>
      </c>
      <c r="O57" s="2490"/>
      <c r="P57" s="1753">
        <f ca="1">N57/M49</f>
        <v>0.56639495135419404</v>
      </c>
    </row>
    <row r="58" spans="1:35" ht="24.75">
      <c r="A58" s="183" t="s">
        <v>2207</v>
      </c>
      <c r="B58" s="3109" t="s">
        <v>2227</v>
      </c>
      <c r="C58" s="3122"/>
      <c r="D58" s="185">
        <f ca="1">IF(H58="转让取得",C81,C97)</f>
        <v>2152</v>
      </c>
      <c r="E58" s="11" t="s">
        <v>2222</v>
      </c>
      <c r="F58" s="24" t="s">
        <v>34</v>
      </c>
      <c r="G58" s="2484"/>
      <c r="H58" s="2487" t="s">
        <v>2228</v>
      </c>
      <c r="I58" s="2488"/>
      <c r="J58" s="3078"/>
      <c r="K58" s="3078"/>
      <c r="L58" s="2489" t="s">
        <v>2229</v>
      </c>
      <c r="M58" s="1761"/>
      <c r="N58" s="2491" t="str">
        <f ca="1">NUMBERSTRING(INT(N57*10000),2)&amp;"元整"</f>
        <v>贰仟壹佰伍拾肆万元整</v>
      </c>
      <c r="O58" s="2492"/>
    </row>
    <row r="59" spans="1:35" ht="24.75" thickBot="1">
      <c r="A59" s="3082" t="s">
        <v>2230</v>
      </c>
      <c r="B59" s="3083"/>
      <c r="C59" s="3083"/>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80">
        <f>J57+1</f>
        <v>5</v>
      </c>
      <c r="K59" s="3078" t="s">
        <v>2232</v>
      </c>
      <c r="L59" s="1812" t="s">
        <v>2226</v>
      </c>
      <c r="M59" s="1762"/>
      <c r="N59" s="1763">
        <f ca="1">M49-N57</f>
        <v>1649</v>
      </c>
      <c r="O59" s="2494"/>
    </row>
    <row r="60" spans="1:35" ht="12" customHeight="1">
      <c r="A60" s="2495"/>
      <c r="B60" s="2417"/>
      <c r="C60" s="2417"/>
      <c r="D60" s="2417"/>
      <c r="E60" s="2165"/>
      <c r="F60" s="2488"/>
      <c r="G60" s="2488"/>
      <c r="H60" s="2496"/>
      <c r="I60" s="138"/>
      <c r="J60" s="3081"/>
      <c r="K60" s="3078"/>
      <c r="L60" s="2489" t="s">
        <v>2229</v>
      </c>
      <c r="M60" s="1761"/>
      <c r="N60" s="2491" t="str">
        <f ca="1">NUMBERSTRING(INT(N59*10000),2)&amp;"元整"</f>
        <v>壹仟陆佰肆拾玖万元整</v>
      </c>
      <c r="O60" s="2492"/>
    </row>
    <row r="61" spans="1:35" ht="13.5" thickBot="1">
      <c r="A61" s="3142" t="s">
        <v>2233</v>
      </c>
      <c r="B61" s="3142"/>
      <c r="C61" s="3142"/>
      <c r="D61" s="3142"/>
      <c r="E61" s="3142"/>
      <c r="F61" s="2488"/>
      <c r="G61" s="2488"/>
      <c r="H61" s="2496"/>
      <c r="I61" s="138"/>
      <c r="J61" s="1812">
        <f>J59+1</f>
        <v>6</v>
      </c>
      <c r="K61" s="3078" t="s">
        <v>2234</v>
      </c>
      <c r="L61" s="3078"/>
      <c r="M61" s="1764"/>
      <c r="N61" s="1765">
        <f ca="1">ROUND(N59*10000/'数据-汇总表'!E3,0)</f>
        <v>27189</v>
      </c>
      <c r="O61" s="2497"/>
    </row>
    <row r="62" spans="1:35" ht="12.75">
      <c r="A62" s="3098" t="s">
        <v>2235</v>
      </c>
      <c r="B62" s="3099"/>
      <c r="C62" s="1804"/>
      <c r="D62" s="1804" t="s">
        <v>2236</v>
      </c>
      <c r="E62" s="192" t="s">
        <v>2237</v>
      </c>
      <c r="F62" s="2488"/>
      <c r="G62" s="2488"/>
      <c r="H62" s="2496"/>
      <c r="I62" s="138"/>
    </row>
    <row r="63" spans="1:35" ht="12.75">
      <c r="A63" s="203" t="s">
        <v>775</v>
      </c>
      <c r="B63" s="193" t="s">
        <v>2238</v>
      </c>
      <c r="C63" s="194">
        <f ca="1">ROUND((C64+C65)/(1+'数据-取费表'!C42),0)</f>
        <v>3622</v>
      </c>
      <c r="D63" s="195"/>
      <c r="E63" s="196"/>
      <c r="F63" s="2488"/>
      <c r="G63" s="2488"/>
      <c r="H63" s="2496"/>
      <c r="I63" s="138"/>
      <c r="J63" s="3063" t="s">
        <v>2239</v>
      </c>
      <c r="K63" s="2498" t="s">
        <v>2240</v>
      </c>
      <c r="L63" s="1752">
        <f ca="1">IF(M49&gt;10000,M49*0.5%,IF(AND(M49&gt;1000,M49&lt;=10000),M49*1%,IF(AND(M49&gt;100,M49&lt;=1000),M49*3%,IF(AND(M49&gt;10,M49&lt;=100),M49*5%,M49*8%))))</f>
        <v>38.03</v>
      </c>
      <c r="M63" s="24">
        <f ca="1">ROUND(L63,1)</f>
        <v>38</v>
      </c>
      <c r="Z63" s="2422"/>
      <c r="AI63" s="2423"/>
    </row>
    <row r="64" spans="1:35" ht="14.25" customHeight="1">
      <c r="A64" s="197" t="s">
        <v>770</v>
      </c>
      <c r="B64" s="198" t="s">
        <v>2241</v>
      </c>
      <c r="C64" s="199">
        <f ca="1">D45</f>
        <v>3803</v>
      </c>
      <c r="D64" s="200" t="s">
        <v>32</v>
      </c>
      <c r="E64" s="201"/>
      <c r="F64" s="2488"/>
      <c r="G64" s="2488"/>
      <c r="H64" s="2496"/>
      <c r="I64" s="138"/>
      <c r="J64" s="3063"/>
      <c r="K64" s="2498" t="s">
        <v>2242</v>
      </c>
      <c r="L64" s="1752">
        <f ca="1">IF(M49&gt;2000,M49*0.5%,IF(AND(M49&gt;1000,M49&lt;=2000),M49*0.6%,IF(AND(M49&gt;500,M49&lt;=1000),M49*0.7%,IF(AND(M49&gt;200,M49&lt;=500),M49*0.8%,IF(AND(M49&gt;100,M49&lt;=200),M49*0.9%,IF(AND(M49&gt;50,M49&lt;=100),M49*1%,IF(AND(M49&gt;20,M49&lt;=50),M49*1.5%,IF(AND(M49&gt;10,M49&lt;=20),M49*2%,IF(AND(M49&gt;1,M49&lt;=10),M49*2.5%)))))))))</f>
        <v>19.015000000000001</v>
      </c>
      <c r="M64" s="24">
        <f t="shared" ref="M64:M65" ca="1" si="1">ROUND(L64,1)</f>
        <v>19</v>
      </c>
      <c r="N64" s="138" t="s">
        <v>2243</v>
      </c>
      <c r="Z64" s="2422"/>
      <c r="AI64" s="2423"/>
    </row>
    <row r="65" spans="1:35" ht="14.25" customHeight="1">
      <c r="A65" s="197" t="s">
        <v>771</v>
      </c>
      <c r="B65" s="198" t="s">
        <v>2244</v>
      </c>
      <c r="C65" s="202"/>
      <c r="D65" s="200"/>
      <c r="E65" s="201"/>
      <c r="F65" s="2488"/>
      <c r="G65" s="2488"/>
      <c r="H65" s="2496"/>
      <c r="I65" s="138"/>
      <c r="J65" s="3063"/>
      <c r="K65" s="2498" t="s">
        <v>2245</v>
      </c>
      <c r="L65" s="1752">
        <f ca="1">IF(M49&gt;1000,M49*0.1%,IF(AND(M49&gt;500,M49&lt;=1000),M49*0.5%,IF(AND(M49&gt;50,M49&lt;=500),M49*1%,IF(AND(M49&gt;1,M49&lt;=50),M49*1.5%))))</f>
        <v>3.8029999999999999</v>
      </c>
      <c r="M65" s="24">
        <f t="shared" ca="1" si="1"/>
        <v>3.8</v>
      </c>
      <c r="N65" s="138" t="s">
        <v>2243</v>
      </c>
      <c r="Z65" s="2422"/>
      <c r="AI65" s="2423"/>
    </row>
    <row r="66" spans="1:35" ht="14.25" customHeight="1">
      <c r="A66" s="203" t="s">
        <v>772</v>
      </c>
      <c r="B66" s="204" t="s">
        <v>2246</v>
      </c>
      <c r="C66" s="205"/>
      <c r="D66" s="206" t="s">
        <v>32</v>
      </c>
      <c r="E66" s="1776" t="s">
        <v>1371</v>
      </c>
      <c r="F66" s="2488"/>
      <c r="G66" s="2488"/>
      <c r="H66" s="2496"/>
      <c r="I66" s="138"/>
      <c r="J66" s="3063"/>
      <c r="K66" s="2498" t="s">
        <v>2247</v>
      </c>
      <c r="L66" s="1752">
        <f ca="1">M49*0.5%</f>
        <v>19.015000000000001</v>
      </c>
      <c r="M66" s="24">
        <f ca="1">IF(L66&gt;0.5,0.5,ROUND(L66,0))</f>
        <v>0.5</v>
      </c>
      <c r="N66" s="138" t="s">
        <v>2248</v>
      </c>
      <c r="Z66" s="2422"/>
      <c r="AI66" s="2423"/>
    </row>
    <row r="67" spans="1:35" ht="14.25" customHeight="1">
      <c r="A67" s="203" t="s">
        <v>773</v>
      </c>
      <c r="B67" s="204" t="s">
        <v>2249</v>
      </c>
      <c r="C67" s="207">
        <f ca="1">C63-C66</f>
        <v>3622</v>
      </c>
      <c r="D67" s="200" t="s">
        <v>32</v>
      </c>
      <c r="E67" s="201"/>
      <c r="F67" s="2488"/>
      <c r="G67" s="2488"/>
      <c r="H67" s="2496"/>
      <c r="I67" s="138"/>
      <c r="J67" s="3063"/>
      <c r="K67" s="2498"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2251</v>
      </c>
      <c r="C68" s="210">
        <f ca="1">IF(C67&lt;=0,0,ROUND(C67*D68,0))</f>
        <v>203</v>
      </c>
      <c r="D68" s="211">
        <f>'数据-取费表'!B41</f>
        <v>5.6000000000000001E-2</v>
      </c>
      <c r="E68" s="212"/>
      <c r="F68" s="2488"/>
      <c r="G68" s="2488"/>
      <c r="H68" s="2496"/>
      <c r="I68" s="138"/>
      <c r="J68" s="3063"/>
      <c r="K68" s="2498" t="s">
        <v>2252</v>
      </c>
      <c r="L68" s="1752">
        <f ca="1">IF(M49&gt;10000,M49*0.5%,IF(AND(M49&gt;5000,M49&lt;=10000),M49*1%,IF(AND(M49&gt;1000,M49&lt;=5000),M49*2%,IF(AND(M49&gt;200,M49&lt;=1000),M49*3%,M49*5%))))</f>
        <v>76.06</v>
      </c>
      <c r="M68" s="24">
        <f ca="1">ROUND(L68,1)</f>
        <v>76.099999999999994</v>
      </c>
      <c r="Z68" s="2422"/>
      <c r="AI68" s="2423"/>
    </row>
    <row r="69" spans="1:35" s="2445" customFormat="1" ht="16.5" customHeight="1">
      <c r="A69" s="2499"/>
      <c r="B69" s="2500"/>
      <c r="C69" s="2501"/>
      <c r="D69" s="2502"/>
      <c r="E69" s="2503"/>
      <c r="F69" s="2165"/>
      <c r="G69" s="2165"/>
      <c r="H69" s="2164"/>
      <c r="I69" s="2417"/>
      <c r="J69" s="3063"/>
      <c r="K69" s="2498" t="s">
        <v>2253</v>
      </c>
      <c r="L69" s="2504"/>
      <c r="M69" s="24">
        <f ca="1">ROUND(SUM(M63:M68),0)</f>
        <v>140</v>
      </c>
      <c r="N69" s="1753">
        <f ca="1">M69/M49</f>
        <v>3.6813042334998686E-2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7" t="s">
        <v>2254</v>
      </c>
      <c r="B70" s="3108"/>
      <c r="C70" s="3108"/>
      <c r="D70" s="3108"/>
      <c r="E70" s="3108"/>
      <c r="F70" s="3108"/>
      <c r="G70" s="3108"/>
      <c r="H70" s="310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8" t="s">
        <v>2235</v>
      </c>
      <c r="B71" s="3099"/>
      <c r="C71" s="1804"/>
      <c r="D71" s="1804"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3622</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22</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104" t="s">
        <v>2263</v>
      </c>
      <c r="F76" s="3103"/>
      <c r="G76" s="3103"/>
      <c r="H76" s="310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22</v>
      </c>
      <c r="D78" s="226">
        <f>'数据-取费表'!B43</f>
        <v>6.000000000000001E-3</v>
      </c>
      <c r="E78" s="3095" t="s">
        <v>2268</v>
      </c>
      <c r="F78" s="3096"/>
      <c r="G78" s="3096"/>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3600</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163.63636363636363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2152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7" t="s">
        <v>2272</v>
      </c>
      <c r="B83" s="3108"/>
      <c r="C83" s="3108"/>
      <c r="D83" s="3108"/>
      <c r="E83" s="3108"/>
      <c r="F83" s="3108"/>
      <c r="G83" s="3108"/>
      <c r="H83" s="310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8" t="s">
        <v>2235</v>
      </c>
      <c r="B84" s="3099"/>
      <c r="C84" s="1804"/>
      <c r="D84" s="1804"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3622</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22</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1800"/>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095" t="s">
        <v>2281</v>
      </c>
      <c r="F91" s="3096"/>
      <c r="G91" s="3096"/>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095" t="s">
        <v>2285</v>
      </c>
      <c r="F92" s="3096"/>
      <c r="G92" s="3096"/>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22</v>
      </c>
      <c r="D93" s="226">
        <f>'数据-取费表'!B43</f>
        <v>6.000000000000001E-3</v>
      </c>
      <c r="E93" s="3095" t="s">
        <v>2268</v>
      </c>
      <c r="F93" s="3096"/>
      <c r="G93" s="3096"/>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147" t="s">
        <v>2289</v>
      </c>
      <c r="F94" s="3148"/>
      <c r="G94" s="3148"/>
      <c r="H94" s="314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3600</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163.63636363636363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2152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2290</v>
      </c>
      <c r="B99" s="2417"/>
      <c r="C99" s="2417"/>
      <c r="D99" s="2417"/>
      <c r="E99" s="2165"/>
      <c r="F99" s="2165"/>
      <c r="G99" s="2165"/>
      <c r="H99" s="2164"/>
      <c r="I99" s="138"/>
    </row>
    <row r="100" spans="1:35" ht="18.75" customHeight="1">
      <c r="A100" s="3047" t="s">
        <v>2291</v>
      </c>
      <c r="B100" s="3048"/>
      <c r="C100" s="3048"/>
      <c r="D100" s="3079"/>
      <c r="E100" s="3048" t="s">
        <v>2292</v>
      </c>
      <c r="F100" s="3048"/>
      <c r="G100" s="3048"/>
      <c r="H100" s="3079"/>
      <c r="I100" s="138"/>
    </row>
    <row r="101" spans="1:35" ht="18.75" customHeight="1">
      <c r="A101" s="3087" t="s">
        <v>2293</v>
      </c>
      <c r="B101" s="3088"/>
      <c r="C101" s="736" t="str">
        <f>C4</f>
        <v>成本法</v>
      </c>
      <c r="D101" s="737" t="str">
        <f>D4</f>
        <v>收益法</v>
      </c>
      <c r="E101" s="3059" t="s">
        <v>2294</v>
      </c>
      <c r="F101" s="3060"/>
      <c r="G101" s="2519" t="s">
        <v>2295</v>
      </c>
      <c r="H101" s="1048">
        <f ca="1">H118</f>
        <v>3803</v>
      </c>
      <c r="I101" s="138"/>
    </row>
    <row r="102" spans="1:35" ht="18.75" customHeight="1">
      <c r="A102" s="3089" t="s">
        <v>2296</v>
      </c>
      <c r="B102" s="2519" t="s">
        <v>2295</v>
      </c>
      <c r="C102" s="736">
        <f ca="1">C19</f>
        <v>5946</v>
      </c>
      <c r="D102" s="737">
        <f ca="1">D19</f>
        <v>2375</v>
      </c>
      <c r="E102" s="3059"/>
      <c r="F102" s="3060"/>
      <c r="G102" s="2519" t="s">
        <v>2297</v>
      </c>
      <c r="H102" s="371">
        <f ca="1">I118</f>
        <v>62704</v>
      </c>
      <c r="I102" s="138"/>
    </row>
    <row r="103" spans="1:35" ht="42.75" customHeight="1">
      <c r="A103" s="3089"/>
      <c r="B103" s="2519" t="s">
        <v>2297</v>
      </c>
      <c r="C103" s="738">
        <f ca="1">C20</f>
        <v>98038</v>
      </c>
      <c r="D103" s="739">
        <f ca="1">D20</f>
        <v>39159</v>
      </c>
      <c r="E103" s="3053" t="s">
        <v>2298</v>
      </c>
      <c r="F103" s="3054"/>
      <c r="G103" s="2520" t="s">
        <v>2299</v>
      </c>
      <c r="H103" s="1048">
        <f>IF(D36="正常操作",H104+H105+H106,H105+H106)</f>
        <v>0</v>
      </c>
      <c r="I103" s="138"/>
    </row>
    <row r="104" spans="1:35" ht="18.75" customHeight="1">
      <c r="A104" s="3089" t="s">
        <v>2300</v>
      </c>
      <c r="B104" s="2521" t="s">
        <v>2295</v>
      </c>
      <c r="C104" s="740">
        <f ca="1">H118</f>
        <v>3803</v>
      </c>
      <c r="D104" s="741"/>
      <c r="E104" s="2266" t="s">
        <v>2301</v>
      </c>
      <c r="F104" s="2257"/>
      <c r="G104" s="2520" t="s">
        <v>2299</v>
      </c>
      <c r="H104" s="1049">
        <f>IF(D36="同一抵押权人同一抵押物续贷",C36&amp;"（未扣减，详见特别提示）",C36)</f>
        <v>0</v>
      </c>
      <c r="I104" s="138"/>
    </row>
    <row r="105" spans="1:35" ht="18.75" customHeight="1" thickBot="1">
      <c r="A105" s="3101"/>
      <c r="B105" s="2522" t="s">
        <v>2297</v>
      </c>
      <c r="C105" s="742">
        <f ca="1">I118</f>
        <v>62704</v>
      </c>
      <c r="D105" s="743"/>
      <c r="E105" s="2266" t="s">
        <v>2302</v>
      </c>
      <c r="F105" s="2257"/>
      <c r="G105" s="2520" t="s">
        <v>2299</v>
      </c>
      <c r="H105" s="1049">
        <f>C37</f>
        <v>0</v>
      </c>
      <c r="I105" s="138"/>
    </row>
    <row r="106" spans="1:35" ht="18.75" customHeight="1">
      <c r="A106" s="2417" t="s">
        <v>2303</v>
      </c>
      <c r="B106" s="2417"/>
      <c r="C106" s="2417"/>
      <c r="D106" s="2417"/>
      <c r="E106" s="2523" t="s">
        <v>2304</v>
      </c>
      <c r="F106" s="2257"/>
      <c r="G106" s="2520" t="s">
        <v>2299</v>
      </c>
      <c r="H106" s="1049">
        <f>C38</f>
        <v>0</v>
      </c>
      <c r="I106" s="138"/>
    </row>
    <row r="107" spans="1:35" ht="18.75" customHeight="1">
      <c r="A107" s="138"/>
      <c r="B107" s="138"/>
      <c r="C107" s="138"/>
      <c r="D107" s="138"/>
      <c r="E107" s="3090" t="str">
        <f>IF(项目基本情况!E8="已注销","——","3.房地产抵押价值")</f>
        <v>3.房地产抵押价值</v>
      </c>
      <c r="F107" s="3060"/>
      <c r="G107" s="2519" t="s">
        <v>2295</v>
      </c>
      <c r="H107" s="1048">
        <f ca="1">IF(E107="——","——",H101-H103)</f>
        <v>3803</v>
      </c>
      <c r="I107" s="138"/>
    </row>
    <row r="108" spans="1:35" ht="18.75" customHeight="1">
      <c r="A108" s="138"/>
      <c r="B108" s="138"/>
      <c r="C108" s="138"/>
      <c r="D108" s="138"/>
      <c r="E108" s="3090"/>
      <c r="F108" s="3060"/>
      <c r="G108" s="2519" t="s">
        <v>2297</v>
      </c>
      <c r="H108" s="371">
        <f ca="1">ROUND(H107*10000/'数据-汇总表'!E3,0)</f>
        <v>62704</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9" t="s">
        <v>2295</v>
      </c>
      <c r="H109" s="348" t="str">
        <f>IF(E109="——","——",H101-H105-H106)</f>
        <v>——</v>
      </c>
      <c r="I109" s="138"/>
    </row>
    <row r="110" spans="1:35" ht="18.75" customHeight="1">
      <c r="A110" s="138"/>
      <c r="B110" s="138"/>
      <c r="C110" s="138"/>
      <c r="D110" s="138"/>
      <c r="E110" s="3090"/>
      <c r="F110" s="3060"/>
      <c r="G110" s="2519" t="s">
        <v>2297</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9" t="s">
        <v>2295</v>
      </c>
      <c r="H111" s="1048" t="str">
        <f>IF(E111="——","——",N59)</f>
        <v>——</v>
      </c>
      <c r="I111" s="138"/>
    </row>
    <row r="112" spans="1:35" ht="18.75" customHeight="1" thickBot="1">
      <c r="A112" s="138"/>
      <c r="B112" s="138"/>
      <c r="C112" s="138"/>
      <c r="D112" s="138"/>
      <c r="E112" s="3093"/>
      <c r="F112" s="3094"/>
      <c r="G112" s="2524" t="s">
        <v>2297</v>
      </c>
      <c r="H112" s="790" t="str">
        <f>IF(E111="——","——",N61)</f>
        <v>——</v>
      </c>
      <c r="I112" s="138"/>
    </row>
    <row r="113" spans="1:11" ht="18.75" customHeight="1">
      <c r="A113" s="138"/>
      <c r="B113" s="138"/>
      <c r="C113" s="138"/>
      <c r="D113" s="138"/>
      <c r="E113" s="3102" t="s">
        <v>2303</v>
      </c>
      <c r="F113" s="3102"/>
      <c r="G113" s="3102"/>
      <c r="H113" s="3102"/>
      <c r="I113" s="138"/>
    </row>
    <row r="114" spans="1:11" ht="3.75" customHeight="1">
      <c r="A114" s="2417"/>
      <c r="B114" s="2417"/>
      <c r="C114" s="2417"/>
      <c r="D114" s="2417"/>
      <c r="E114" s="2495"/>
      <c r="F114" s="2495"/>
      <c r="G114" s="2495"/>
      <c r="H114" s="2495"/>
      <c r="I114" s="2417"/>
    </row>
    <row r="115" spans="1:11" ht="18.75" customHeight="1">
      <c r="A115" s="3115" t="s">
        <v>2305</v>
      </c>
      <c r="B115" s="3116"/>
      <c r="C115" s="3116"/>
      <c r="D115" s="3116"/>
      <c r="E115" s="3116"/>
      <c r="F115" s="3116"/>
      <c r="G115" s="3116"/>
      <c r="H115" s="3116"/>
      <c r="I115" s="3117"/>
    </row>
    <row r="116" spans="1:11" ht="27" customHeight="1">
      <c r="A116" s="3026" t="s">
        <v>2306</v>
      </c>
      <c r="B116" s="3069" t="s">
        <v>2307</v>
      </c>
      <c r="C116" s="3069" t="s">
        <v>2308</v>
      </c>
      <c r="D116" s="3075" t="s">
        <v>2309</v>
      </c>
      <c r="E116" s="3076"/>
      <c r="F116" s="3111" t="s">
        <v>2310</v>
      </c>
      <c r="G116" s="3111"/>
      <c r="H116" s="3026" t="s">
        <v>2311</v>
      </c>
      <c r="I116" s="3026"/>
    </row>
    <row r="117" spans="1:11" ht="18.75" customHeight="1">
      <c r="A117" s="3026"/>
      <c r="B117" s="3070"/>
      <c r="C117" s="3070"/>
      <c r="D117" s="1798" t="s">
        <v>2312</v>
      </c>
      <c r="E117" s="1798" t="s">
        <v>2313</v>
      </c>
      <c r="F117" s="1798" t="s">
        <v>2312</v>
      </c>
      <c r="G117" s="1798" t="s">
        <v>2314</v>
      </c>
      <c r="H117" s="1798" t="s">
        <v>2312</v>
      </c>
      <c r="I117" s="1798" t="s">
        <v>2314</v>
      </c>
    </row>
    <row r="118" spans="1:11" ht="24.75" customHeight="1">
      <c r="A118" s="2525" t="str">
        <f>项目基本情况!S2</f>
        <v>北京市西城区鼓楼西大街207号房地产</v>
      </c>
      <c r="B118" s="1798">
        <f>M18</f>
        <v>606.5</v>
      </c>
      <c r="C118" s="1798">
        <f>M19</f>
        <v>303.25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3803</v>
      </c>
      <c r="I118" s="1798">
        <f ca="1">ROUND(IF(D32="楼面单价",C32,H118*10000/B118),0)</f>
        <v>62704</v>
      </c>
    </row>
    <row r="119" spans="1:11" ht="18.75" customHeight="1">
      <c r="A119" s="3026" t="s">
        <v>2315</v>
      </c>
      <c r="B119" s="3026"/>
      <c r="C119" s="3026"/>
      <c r="D119" s="3071" t="e">
        <f ca="1">NUMBERSTRING(INT(D118*10000),2)&amp;"元整"</f>
        <v>#REF!</v>
      </c>
      <c r="E119" s="3072"/>
      <c r="F119" s="3071" t="e">
        <f ca="1">NUMBERSTRING(INT(F118*10000),2)&amp;"元整"</f>
        <v>#REF!</v>
      </c>
      <c r="G119" s="3072"/>
      <c r="H119" s="3071" t="str">
        <f ca="1">NUMBERSTRING(INT(H118*10000),2)&amp;"元整"</f>
        <v>叁仟捌佰零叁万元整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2" t="str">
        <f>IF(D120=0,"故，本次评估不存在"&amp;A120,"故，本次评估"&amp;A120&amp;"为人民币"&amp;D120&amp;"万元整。")</f>
        <v>故，本次评估不存在估价师知悉的法定优先受偿款</v>
      </c>
    </row>
    <row r="121" spans="1:11" ht="18.75" customHeight="1">
      <c r="A121" s="3112" t="s">
        <v>2315</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3803</v>
      </c>
      <c r="E122" s="3067"/>
      <c r="F122" s="3067"/>
      <c r="G122" s="3067"/>
      <c r="H122" s="3067"/>
      <c r="I122" s="3068"/>
    </row>
    <row r="123" spans="1:11" ht="18.75" customHeight="1">
      <c r="A123" s="3026" t="s">
        <v>2315</v>
      </c>
      <c r="B123" s="3026"/>
      <c r="C123" s="3026"/>
      <c r="D123" s="3071" t="str">
        <f ca="1">NUMBERSTRING(INT(D122*10000),2)&amp;"元整"</f>
        <v>叁仟捌佰零叁万元整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2315</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2315</v>
      </c>
      <c r="B127" s="3026"/>
      <c r="C127" s="3026"/>
      <c r="D127" s="3071" t="e">
        <f>NUMBERSTRING(INT(D126*10000),2)&amp;"元整"</f>
        <v>#VALUE!</v>
      </c>
      <c r="E127" s="3073"/>
      <c r="F127" s="3073"/>
      <c r="G127" s="3073"/>
      <c r="H127" s="3073"/>
      <c r="I127" s="3072"/>
    </row>
    <row r="128" spans="1:11" ht="21.75" customHeight="1">
      <c r="A128" s="3074" t="s">
        <v>2316</v>
      </c>
      <c r="B128" s="3074"/>
      <c r="C128" s="3074"/>
      <c r="D128" s="3074"/>
      <c r="E128" s="3074"/>
      <c r="F128" s="3074"/>
      <c r="G128" s="3074"/>
      <c r="H128" s="3074"/>
      <c r="I128" s="3074"/>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t="s">
        <v>1377</v>
      </c>
      <c r="C1" s="242"/>
      <c r="D1" s="242"/>
      <c r="E1" s="242"/>
      <c r="F1" s="242"/>
      <c r="G1" s="1382">
        <f>MATCH(B1,'数据-取费表'!A6:A16,0)+5</f>
        <v>6</v>
      </c>
    </row>
    <row r="2" spans="1:9" s="244" customFormat="1" ht="18" customHeight="1">
      <c r="A2" s="245" t="s">
        <v>2325</v>
      </c>
      <c r="B2" s="246">
        <f ca="1">IF(D2="——",C52,C52-E2)</f>
        <v>5946</v>
      </c>
      <c r="C2" s="243" t="s">
        <v>2326</v>
      </c>
      <c r="D2" s="2548" t="s">
        <v>3122</v>
      </c>
      <c r="E2" s="1443">
        <f ca="1">SUMIF(INDIRECT("'"&amp;G2&amp;"'"&amp;"!A:A"),"承租人权益价值",INDIRECT("'"&amp;G2&amp;"'"&amp;"!c:c"))</f>
        <v>137</v>
      </c>
      <c r="F2" s="2549" t="s">
        <v>2326</v>
      </c>
      <c r="G2" s="2550" t="s">
        <v>3075</v>
      </c>
    </row>
    <row r="3" spans="1:9" s="244" customFormat="1" ht="18" customHeight="1" thickBot="1">
      <c r="A3" s="247" t="s">
        <v>2327</v>
      </c>
      <c r="B3" s="248">
        <f ca="1">ROUND(B2*10000/(IF(B1="",'数据-汇总表'!E3,INDIRECT("'数据-取费表'!k"&amp;$G$1))),0)</f>
        <v>98038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4350</v>
      </c>
      <c r="D5" s="255" t="s">
        <v>2332</v>
      </c>
      <c r="E5" s="256" t="s">
        <v>2333</v>
      </c>
      <c r="F5" s="256" t="s">
        <v>2334</v>
      </c>
      <c r="G5" s="257"/>
    </row>
    <row r="6" spans="1:9" s="258" customFormat="1" ht="13.5" customHeight="1">
      <c r="A6" s="952" t="s">
        <v>2335</v>
      </c>
      <c r="B6" s="259" t="s">
        <v>2336</v>
      </c>
      <c r="C6" s="260">
        <f ca="1">基准地价修正!V2+基准地价修正!V3</f>
        <v>4210</v>
      </c>
      <c r="D6" s="261"/>
      <c r="E6" s="262"/>
      <c r="F6" s="262"/>
      <c r="G6" s="263"/>
    </row>
    <row r="7" spans="1:9" s="258" customFormat="1" ht="13.5" customHeight="1">
      <c r="A7" s="952" t="s">
        <v>2337</v>
      </c>
      <c r="B7" s="259" t="s">
        <v>2338</v>
      </c>
      <c r="C7" s="264">
        <f ca="1">ROUND(C6*F7,0)</f>
        <v>128</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12</v>
      </c>
      <c r="D8" s="266"/>
      <c r="E8" s="264"/>
      <c r="F8" s="265"/>
      <c r="G8" s="2551" t="s">
        <v>3092</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t="s">
        <v>3069</v>
      </c>
      <c r="H9" s="1393"/>
      <c r="I9" s="2553" t="s">
        <v>2342</v>
      </c>
    </row>
    <row r="10" spans="1:9" s="258" customFormat="1" ht="13.5" customHeight="1">
      <c r="A10" s="953" t="s">
        <v>801</v>
      </c>
      <c r="B10" s="268" t="s">
        <v>2343</v>
      </c>
      <c r="C10" s="269">
        <f ca="1">ROUND(D10*E10/10000,0)</f>
        <v>12</v>
      </c>
      <c r="D10" s="1035">
        <f ca="1">IF(B1="",'数据-汇总表'!E6,IF(INDIRECT("'数据-取费表'!c"&amp;$G$1)="住宅",INDIRECT("'数据-取费表'!s"&amp;$G$1),INDIRECT("'数据-取费表'!k"&amp;$G$1)+INDIRECT("'数据-取费表'!s"&amp;$G$1)))</f>
        <v>606.5</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606.5</v>
      </c>
      <c r="E19" s="255">
        <f>'数据-取费表'!B31</f>
        <v>200</v>
      </c>
      <c r="F19" s="275"/>
      <c r="G19" s="2551" t="s">
        <v>3070</v>
      </c>
    </row>
    <row r="20" spans="1:7" s="258" customFormat="1" ht="13.5" customHeight="1">
      <c r="A20" s="299" t="s">
        <v>2356</v>
      </c>
      <c r="B20" s="254" t="s">
        <v>2357</v>
      </c>
      <c r="C20" s="276">
        <f ca="1">ROUND((C5+C19)*F20,0)</f>
        <v>87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191</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189</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2</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887</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887</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5980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126</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109</v>
      </c>
      <c r="D34" s="261"/>
      <c r="E34" s="264"/>
      <c r="F34" s="301">
        <f ca="1">IF('数据-取费表'!B24=0,1,IF(B1="",'数据-取费表'!N16,INDIRECT("'数据-取费表'!n"&amp;$G$1)))</f>
        <v>1</v>
      </c>
      <c r="G34" s="263" t="s">
        <v>2389</v>
      </c>
    </row>
    <row r="35" spans="1:7" ht="13.5" customHeight="1">
      <c r="A35" s="954" t="s">
        <v>796</v>
      </c>
      <c r="B35" s="259" t="s">
        <v>2390</v>
      </c>
      <c r="C35" s="264">
        <f ca="1">ROUND(C34*F35,0)</f>
        <v>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12</v>
      </c>
      <c r="D37" s="261">
        <f ca="1">D19</f>
        <v>606.5</v>
      </c>
      <c r="E37" s="293">
        <f>'数据-取费表'!B35</f>
        <v>200</v>
      </c>
      <c r="F37" s="303"/>
      <c r="G37" s="305" t="s">
        <v>2395</v>
      </c>
    </row>
    <row r="38" spans="1:7" ht="13.5" customHeight="1">
      <c r="A38" s="954" t="s">
        <v>799</v>
      </c>
      <c r="B38" s="259" t="s">
        <v>2396</v>
      </c>
      <c r="C38" s="264">
        <f ca="1">ROUND(C34*F38,0)</f>
        <v>2</v>
      </c>
      <c r="D38" s="264"/>
      <c r="E38" s="264"/>
      <c r="F38" s="303">
        <f>'数据-取费表'!B36</f>
        <v>1.4999999999999999E-2</v>
      </c>
      <c r="G38" s="263" t="s">
        <v>2391</v>
      </c>
    </row>
    <row r="39" spans="1:7" s="258" customFormat="1" ht="13.5" customHeight="1">
      <c r="A39" s="299" t="s">
        <v>2397</v>
      </c>
      <c r="B39" s="254" t="s">
        <v>2398</v>
      </c>
      <c r="C39" s="276">
        <f ca="1">ROUND(C33*F20,0)</f>
        <v>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3</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3</v>
      </c>
      <c r="D42" s="282"/>
      <c r="E42" s="282"/>
      <c r="F42" s="283"/>
      <c r="G42" s="3150" t="s">
        <v>2407</v>
      </c>
    </row>
    <row r="43" spans="1:7" ht="13.5" customHeight="1">
      <c r="A43" s="954" t="s">
        <v>792</v>
      </c>
      <c r="B43" s="259" t="s">
        <v>2408</v>
      </c>
      <c r="C43" s="282">
        <f ca="1">ROUND(IF('数据-取费表'!B22&lt;=1,C39*F22*'数据-取费表'!B21/2,C39*(POWER((1+F22),'数据-取费表'!B21/2)-1)),0)</f>
        <v>0</v>
      </c>
      <c r="D43" s="282"/>
      <c r="E43" s="282"/>
      <c r="F43" s="283"/>
      <c r="G43" s="3151"/>
    </row>
    <row r="44" spans="1:7" ht="13.5" customHeight="1">
      <c r="A44" s="954" t="s">
        <v>793</v>
      </c>
      <c r="B44" s="259" t="s">
        <v>2409</v>
      </c>
      <c r="C44" s="282">
        <f ca="1">ROUND(IF('数据-取费表'!B22&lt;=1,C40*F22*'数据-取费表'!B21/2,C40*(POWER((1+F22),'数据-取费表'!B21/2)-1)),4)</f>
        <v>4.0000000000000002E-4</v>
      </c>
      <c r="D44" s="282"/>
      <c r="E44" s="282"/>
      <c r="F44" s="283"/>
      <c r="G44" s="3152"/>
    </row>
    <row r="45" spans="1:7" s="258" customFormat="1" ht="13.5" customHeight="1">
      <c r="A45" s="299" t="s">
        <v>2410</v>
      </c>
      <c r="B45" s="288" t="s">
        <v>2376</v>
      </c>
      <c r="C45" s="289">
        <f ca="1">C46</f>
        <v>26</v>
      </c>
      <c r="D45" s="279">
        <f ca="1">C47</f>
        <v>4.0000000000000001E-3</v>
      </c>
      <c r="E45" s="280" t="s">
        <v>2402</v>
      </c>
      <c r="F45" s="290"/>
      <c r="G45" s="291" t="s">
        <v>2411</v>
      </c>
    </row>
    <row r="46" spans="1:7" s="258" customFormat="1" ht="13.5" customHeight="1">
      <c r="A46" s="954" t="s">
        <v>791</v>
      </c>
      <c r="B46" s="292" t="s">
        <v>2412</v>
      </c>
      <c r="C46" s="293">
        <f ca="1">ROUND((C33+C39)*F27,0)</f>
        <v>26</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171</v>
      </c>
      <c r="D49" s="276"/>
      <c r="E49" s="276"/>
      <c r="F49" s="308"/>
      <c r="G49" s="278" t="s">
        <v>2417</v>
      </c>
    </row>
    <row r="50" spans="1:7" s="302" customFormat="1" ht="24">
      <c r="A50" s="299" t="s">
        <v>2418</v>
      </c>
      <c r="B50" s="254" t="s">
        <v>2419</v>
      </c>
      <c r="C50" s="276"/>
      <c r="D50" s="276"/>
      <c r="E50" s="276"/>
      <c r="F50" s="308">
        <f>IF('数据-取费表'!B24=0,'数据-取费表'!N16,1)</f>
        <v>0.6</v>
      </c>
      <c r="G50" s="291" t="s">
        <v>2420</v>
      </c>
    </row>
    <row r="51" spans="1:7" ht="16.5" customHeight="1">
      <c r="A51" s="299" t="s">
        <v>2421</v>
      </c>
      <c r="B51" s="254" t="s">
        <v>2422</v>
      </c>
      <c r="C51" s="276">
        <f ca="1">ROUND(C49*F50,0)</f>
        <v>103</v>
      </c>
      <c r="D51" s="276"/>
      <c r="E51" s="276"/>
      <c r="F51" s="308"/>
      <c r="G51" s="278" t="s">
        <v>2423</v>
      </c>
    </row>
    <row r="52" spans="1:7" s="252" customFormat="1" ht="16.5" thickBot="1">
      <c r="A52" s="309" t="s">
        <v>2424</v>
      </c>
      <c r="B52" s="310"/>
      <c r="C52" s="311">
        <f ca="1">C31+C51</f>
        <v>6083</v>
      </c>
      <c r="D52" s="310"/>
      <c r="E52" s="310"/>
      <c r="F52" s="310"/>
      <c r="G52" s="312"/>
    </row>
    <row r="55" spans="1:7" ht="15">
      <c r="B55" s="314" t="s">
        <v>2425</v>
      </c>
      <c r="C55" s="315"/>
    </row>
    <row r="56" spans="1:7">
      <c r="B56" s="317" t="s">
        <v>1512</v>
      </c>
      <c r="C56" s="319">
        <f ca="1">1-C57</f>
        <v>0.98299999999999998</v>
      </c>
    </row>
    <row r="57" spans="1:7">
      <c r="B57" s="317" t="s">
        <v>1513</v>
      </c>
      <c r="C57" s="318">
        <f ca="1">ROUND(C51/C52,3)</f>
        <v>1.7000000000000001E-2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7" sqref="B37"/>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北京市西城区鼓楼西大街207号房地产抵押价值预评估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北京万方达隆物业管理有限公司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康正预评字2018-1-0403-P01DYGJ2号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4"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136</v>
      </c>
      <c r="C2" s="243" t="s">
        <v>2326</v>
      </c>
      <c r="D2" s="2548" t="s">
        <v>70</v>
      </c>
      <c r="E2" s="1443"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2242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121300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121300</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121300</v>
      </c>
      <c r="D10" s="1035">
        <f ca="1">IF(B1="",'数据-汇总表'!E6,IF(INDIRECT("'数据-取费表'!c"&amp;$G$1)="住宅",INDIRECT("'数据-取费表'!s"&amp;$G$1),INDIRECT("'数据-取费表'!k"&amp;$G$1)+INDIRECT("'数据-取费表'!s"&amp;$G$1)))</f>
        <v>606.5</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121300</v>
      </c>
      <c r="D19" s="1039">
        <f ca="1">D9+D10</f>
        <v>606.5</v>
      </c>
      <c r="E19" s="255">
        <f>'数据-取费表'!B31</f>
        <v>200</v>
      </c>
      <c r="F19" s="275"/>
      <c r="G19" s="2551"/>
    </row>
    <row r="20" spans="1:7" s="258" customFormat="1" ht="13.5" customHeight="1">
      <c r="A20" s="299" t="s">
        <v>2437</v>
      </c>
      <c r="B20" s="254" t="s">
        <v>2438</v>
      </c>
      <c r="C20" s="276">
        <f ca="1">ROUND((C5+C19)*F20,0)</f>
        <v>4852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10660</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5277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5277</v>
      </c>
      <c r="D24" s="282"/>
      <c r="E24" s="282"/>
      <c r="F24" s="283"/>
      <c r="G24" s="284" t="s">
        <v>2449</v>
      </c>
    </row>
    <row r="25" spans="1:7" s="258" customFormat="1" ht="24">
      <c r="A25" s="954" t="s">
        <v>2339</v>
      </c>
      <c r="B25" s="259" t="s">
        <v>2450</v>
      </c>
      <c r="C25" s="1384">
        <f ca="1">ROUND(IF('数据-取费表'!B22&lt;=1,C20*F22*'数据-取费表'!B22/2,C20*(POWER((1+F22),'数据-取费表'!B22/2)-1)),0)</f>
        <v>106</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49490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49490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333516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1262127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1091700</v>
      </c>
      <c r="D34" s="261"/>
      <c r="E34" s="264"/>
      <c r="F34" s="301"/>
      <c r="G34" s="263"/>
    </row>
    <row r="35" spans="1:7" ht="13.5" customHeight="1">
      <c r="A35" s="954" t="s">
        <v>796</v>
      </c>
      <c r="B35" s="259" t="s">
        <v>2390</v>
      </c>
      <c r="C35" s="264">
        <f ca="1">ROUND(C34*F35,0)</f>
        <v>32751</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121300</v>
      </c>
      <c r="D37" s="261">
        <f ca="1">D19</f>
        <v>606.5</v>
      </c>
      <c r="E37" s="293">
        <f>'数据-取费表'!B35</f>
        <v>200</v>
      </c>
      <c r="F37" s="303"/>
      <c r="G37" s="305"/>
    </row>
    <row r="38" spans="1:7" ht="13.5" customHeight="1">
      <c r="A38" s="954" t="s">
        <v>799</v>
      </c>
      <c r="B38" s="259" t="s">
        <v>2396</v>
      </c>
      <c r="C38" s="264">
        <f ca="1">ROUND(C34*F38,0)</f>
        <v>16376</v>
      </c>
      <c r="D38" s="264"/>
      <c r="E38" s="264"/>
      <c r="F38" s="303">
        <f>'数据-取费表'!B36</f>
        <v>1.4999999999999999E-2</v>
      </c>
      <c r="G38" s="263" t="s">
        <v>2391</v>
      </c>
    </row>
    <row r="39" spans="1:7" s="258" customFormat="1" ht="13.5" customHeight="1">
      <c r="A39" s="299" t="s">
        <v>2397</v>
      </c>
      <c r="B39" s="254" t="s">
        <v>2398</v>
      </c>
      <c r="C39" s="276">
        <f ca="1">ROUND(C33*F20,0)</f>
        <v>25243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28000</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27451</v>
      </c>
      <c r="D42" s="282"/>
      <c r="E42" s="282"/>
      <c r="F42" s="283"/>
      <c r="G42" s="3150" t="s">
        <v>2454</v>
      </c>
    </row>
    <row r="43" spans="1:7" ht="13.5" customHeight="1">
      <c r="A43" s="954" t="s">
        <v>792</v>
      </c>
      <c r="B43" s="259" t="s">
        <v>2408</v>
      </c>
      <c r="C43" s="282">
        <f ca="1">ROUND(IF('数据-取费表'!B22&lt;=1,C39*F22*'数据-取费表'!B20/2,C39*(POWER((1+F22),'数据-取费表'!B20/2)-1)),0)</f>
        <v>549</v>
      </c>
      <c r="D43" s="282"/>
      <c r="E43" s="282"/>
      <c r="F43" s="283"/>
      <c r="G43" s="3151"/>
    </row>
    <row r="44" spans="1:7" ht="13.5" customHeight="1">
      <c r="A44" s="954" t="s">
        <v>793</v>
      </c>
      <c r="B44" s="259" t="s">
        <v>2409</v>
      </c>
      <c r="C44" s="282">
        <f ca="1">ROUND(IF('数据-取费表'!B22&lt;=1,C40*F22*'数据-取费表'!B20/2,C40*(POWER((1+F22),'数据-取费表'!B20/2)-1)),4)</f>
        <v>4.0000000000000002E-4</v>
      </c>
      <c r="D44" s="282"/>
      <c r="E44" s="282"/>
      <c r="F44" s="283"/>
      <c r="G44" s="3152"/>
    </row>
    <row r="45" spans="1:7" s="258" customFormat="1" ht="13.5" customHeight="1">
      <c r="A45" s="299" t="s">
        <v>2410</v>
      </c>
      <c r="B45" s="288" t="s">
        <v>2376</v>
      </c>
      <c r="C45" s="289">
        <f ca="1">C46</f>
        <v>257474</v>
      </c>
      <c r="D45" s="279">
        <f ca="1">C47</f>
        <v>4.0000000000000001E-3</v>
      </c>
      <c r="E45" s="280" t="s">
        <v>2402</v>
      </c>
      <c r="F45" s="290"/>
      <c r="G45" s="291" t="s">
        <v>2411</v>
      </c>
    </row>
    <row r="46" spans="1:7" s="258" customFormat="1" ht="13.5" customHeight="1">
      <c r="A46" s="954" t="s">
        <v>791</v>
      </c>
      <c r="B46" s="292" t="s">
        <v>2412</v>
      </c>
      <c r="C46" s="293">
        <f ca="1">ROUND((C33+C39)*F27,0)</f>
        <v>257474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1705350</v>
      </c>
      <c r="D49" s="276"/>
      <c r="E49" s="276"/>
      <c r="F49" s="308"/>
      <c r="G49" s="278" t="s">
        <v>2417</v>
      </c>
    </row>
    <row r="50" spans="1:7" s="302" customFormat="1">
      <c r="A50" s="299" t="s">
        <v>2418</v>
      </c>
      <c r="B50" s="254" t="s">
        <v>2419</v>
      </c>
      <c r="C50" s="276"/>
      <c r="D50" s="276"/>
      <c r="E50" s="276"/>
      <c r="F50" s="308">
        <f>IF('数据-取费表'!B24=0,'数据-取费表'!N16,1)</f>
        <v>0.6</v>
      </c>
      <c r="G50" s="291"/>
    </row>
    <row r="51" spans="1:7" ht="16.5" customHeight="1">
      <c r="A51" s="299" t="s">
        <v>2421</v>
      </c>
      <c r="B51" s="254" t="s">
        <v>2456</v>
      </c>
      <c r="C51" s="276">
        <f ca="1">ROUND(C49*F50,0)</f>
        <v>1023210</v>
      </c>
      <c r="D51" s="276"/>
      <c r="E51" s="276"/>
      <c r="F51" s="308"/>
      <c r="G51" s="278" t="s">
        <v>2423</v>
      </c>
    </row>
    <row r="52" spans="1:7" s="252" customFormat="1" ht="16.5" thickBot="1">
      <c r="A52" s="309" t="s">
        <v>2424</v>
      </c>
      <c r="B52" s="310"/>
      <c r="C52" s="311">
        <f ca="1">C31+C51</f>
        <v>1356726</v>
      </c>
      <c r="D52" s="310"/>
      <c r="E52" s="310"/>
      <c r="F52" s="310"/>
      <c r="G52" s="312"/>
    </row>
    <row r="55" spans="1:7" ht="15">
      <c r="B55" s="314" t="s">
        <v>2425</v>
      </c>
      <c r="C55" s="315"/>
    </row>
    <row r="56" spans="1:7">
      <c r="B56" s="317" t="s">
        <v>1512</v>
      </c>
      <c r="C56" s="319">
        <f ca="1">1-C57</f>
        <v>0.246</v>
      </c>
    </row>
    <row r="57" spans="1:7">
      <c r="B57" s="317" t="s">
        <v>1513</v>
      </c>
      <c r="C57" s="318">
        <f ca="1">ROUND(C51/C52,3)</f>
        <v>0.754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5" t="s">
        <v>2463</v>
      </c>
      <c r="D5" s="2555" t="s">
        <v>2464</v>
      </c>
      <c r="E5" s="2555" t="s">
        <v>2465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606.5</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606.5</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7"/>
      <c r="H18" s="1580"/>
      <c r="I18" s="2558"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12</v>
      </c>
      <c r="D20" s="1036">
        <f ca="1">IF(C1="",'数据-汇总表'!E6,IF(INDIRECT("'数据-取费表'!c"&amp;$K$1)="住宅",INDIRECT("'数据-取费表'!s"&amp;$K$1),INDIRECT("'数据-取费表'!k"&amp;$K$1)+INDIRECT("'数据-取费表'!s"&amp;$K$1)))</f>
        <v>606.5</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2507</v>
      </c>
      <c r="B28" s="2560"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1"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t="s">
        <v>1377</v>
      </c>
      <c r="D1" s="1823" t="s">
        <v>70</v>
      </c>
      <c r="E1" s="1824" t="s">
        <v>1387</v>
      </c>
      <c r="F1" s="1286">
        <f ca="1">J53</f>
        <v>28.97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2375</v>
      </c>
      <c r="C2" s="1848" t="s">
        <v>1515</v>
      </c>
      <c r="D2" s="1848"/>
      <c r="E2" s="1849"/>
      <c r="F2" s="1850"/>
      <c r="G2" s="1851"/>
      <c r="H2" s="1843"/>
      <c r="I2" s="1843"/>
      <c r="J2" s="1843"/>
      <c r="K2" s="1844"/>
      <c r="L2" s="1843"/>
      <c r="M2" s="1843"/>
    </row>
    <row r="3" spans="1:37" ht="18" customHeight="1" thickBot="1">
      <c r="A3" s="1852" t="s">
        <v>1516</v>
      </c>
      <c r="B3" s="1853">
        <f ca="1">IF(ISERROR(B2*10000/F43),0,ROUND(B2*10000/F43,0))</f>
        <v>39159</v>
      </c>
      <c r="C3" s="1848" t="s">
        <v>1517</v>
      </c>
      <c r="D3" s="1848"/>
      <c r="E3" s="1849"/>
      <c r="F3" s="1850"/>
      <c r="G3" s="1851"/>
      <c r="H3" s="744" t="s">
        <v>1586</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83</v>
      </c>
      <c r="D5" s="1825" t="s">
        <v>1402</v>
      </c>
      <c r="E5" s="1296"/>
      <c r="F5" s="1297"/>
      <c r="G5" s="1854"/>
      <c r="H5" s="344">
        <v>1</v>
      </c>
      <c r="I5" s="345" t="s">
        <v>1401</v>
      </c>
      <c r="J5" s="1295">
        <f ca="1">J6+J10+J12</f>
        <v>179</v>
      </c>
      <c r="K5" s="1825" t="s">
        <v>1402</v>
      </c>
      <c r="L5" s="1296"/>
      <c r="M5" s="1297"/>
    </row>
    <row r="6" spans="1:37" ht="18" customHeight="1">
      <c r="A6" s="1294" t="s">
        <v>1035</v>
      </c>
      <c r="B6" s="3155" t="s">
        <v>1403</v>
      </c>
      <c r="C6" s="1299">
        <f ca="1">ROUND(F6*F8*F7*(1-F9)/10000,0)</f>
        <v>83</v>
      </c>
      <c r="D6" s="164" t="s">
        <v>3031</v>
      </c>
      <c r="E6" s="347" t="s">
        <v>1405</v>
      </c>
      <c r="F6" s="348">
        <f ca="1">INDIRECT("'数据-取费表'!u"&amp;$G$1)</f>
        <v>3.75</v>
      </c>
      <c r="G6" s="1854"/>
      <c r="H6" s="1294" t="s">
        <v>1035</v>
      </c>
      <c r="I6" s="3155" t="s">
        <v>1403</v>
      </c>
      <c r="J6" s="346">
        <f ca="1">ROUND(M6*M8*M7*(1-M9)/10000,0)</f>
        <v>179</v>
      </c>
      <c r="K6" s="164" t="s">
        <v>3030</v>
      </c>
      <c r="L6" s="347" t="s">
        <v>1405</v>
      </c>
      <c r="M6" s="348">
        <f ca="1">INDIRECT("'数据-取费表'!z"&amp;$G$1)</f>
        <v>8.52</v>
      </c>
    </row>
    <row r="7" spans="1:37" ht="18" customHeight="1">
      <c r="A7" s="1298"/>
      <c r="B7" s="3156"/>
      <c r="C7" s="1300"/>
      <c r="D7" s="352"/>
      <c r="E7" s="1301" t="s">
        <v>1406</v>
      </c>
      <c r="F7" s="348">
        <f ca="1">IF(INDIRECT("'数据-取费表'!ah"&amp;$G$1)="",INDIRECT("'数据-取费表'!k"&amp;$G$1),INDIRECT("'数据-取费表'!ah"&amp;$G$1))</f>
        <v>606.5</v>
      </c>
      <c r="G7" s="1854"/>
      <c r="H7" s="349"/>
      <c r="I7" s="3156"/>
      <c r="J7" s="351"/>
      <c r="K7" s="352"/>
      <c r="L7" s="347" t="s">
        <v>1406</v>
      </c>
      <c r="M7" s="348">
        <f ca="1">F7</f>
        <v>606.5</v>
      </c>
    </row>
    <row r="8" spans="1:37" ht="18" customHeight="1">
      <c r="A8" s="349"/>
      <c r="B8" s="3156"/>
      <c r="C8" s="351"/>
      <c r="D8" s="352"/>
      <c r="E8" s="347" t="s">
        <v>1407</v>
      </c>
      <c r="F8" s="348">
        <f ca="1">INDIRECT("'数据-取费表'!ai"&amp;$G$1)</f>
        <v>365</v>
      </c>
      <c r="G8" s="1854"/>
      <c r="H8" s="349"/>
      <c r="I8" s="3156"/>
      <c r="J8" s="351"/>
      <c r="K8" s="352"/>
      <c r="L8" s="347" t="s">
        <v>1407</v>
      </c>
      <c r="M8" s="348">
        <f ca="1">INDIRECT("'数据-取费表'!ai"&amp;$G$1)</f>
        <v>365</v>
      </c>
    </row>
    <row r="9" spans="1:37" ht="18" customHeight="1">
      <c r="A9" s="349"/>
      <c r="B9" s="3157"/>
      <c r="C9" s="351"/>
      <c r="D9" s="352"/>
      <c r="E9" s="347" t="s">
        <v>1408</v>
      </c>
      <c r="F9" s="357">
        <f ca="1">INDIRECT("'数据-取费表'!w"&amp;$G$1)</f>
        <v>0</v>
      </c>
      <c r="G9" s="1854"/>
      <c r="H9" s="349"/>
      <c r="I9" s="3157"/>
      <c r="J9" s="351"/>
      <c r="K9" s="352"/>
      <c r="L9" s="358" t="s">
        <v>1408</v>
      </c>
      <c r="M9" s="359">
        <f ca="1">INDIRECT("'数据-取费表'!ab"&amp;$G$1)</f>
        <v>0.05</v>
      </c>
    </row>
    <row r="10" spans="1:37" ht="18" customHeight="1">
      <c r="A10" s="1294" t="s">
        <v>1039</v>
      </c>
      <c r="B10" s="1826" t="s">
        <v>1409</v>
      </c>
      <c r="C10" s="361">
        <f ca="1">ROUND(IF(F10="押一",C6/12*F11,IF(F10="押二",C6/12*2*F11,IF(F10="押三",C6/12*3*F11,C11*F11))),0)</f>
        <v>0</v>
      </c>
      <c r="D10" s="1827" t="s">
        <v>3040</v>
      </c>
      <c r="E10" s="358" t="s">
        <v>1410</v>
      </c>
      <c r="F10" s="1369" t="s">
        <v>3072</v>
      </c>
      <c r="G10" s="1854"/>
      <c r="H10" s="1294" t="s">
        <v>1039</v>
      </c>
      <c r="I10" s="1826" t="s">
        <v>1409</v>
      </c>
      <c r="J10" s="346">
        <f ca="1">ROUND(IF(M10="押一",J6/12*M11,IF(M10="押二",J6/12*2*M11,IF(M10="押三",J6/12*3*M11,J11*M11))),0)</f>
        <v>0</v>
      </c>
      <c r="K10" s="1827" t="s">
        <v>3039</v>
      </c>
      <c r="L10" s="358" t="s">
        <v>1410</v>
      </c>
      <c r="M10" s="1369" t="s">
        <v>3072</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103</v>
      </c>
      <c r="D13" s="1334" t="s">
        <v>1414</v>
      </c>
      <c r="E13" s="1334" t="s">
        <v>1415</v>
      </c>
      <c r="F13" s="1335">
        <f ca="1">INDIRECT("'数据-取费表'!y"&amp;$G$1)</f>
        <v>0.6</v>
      </c>
      <c r="G13" s="1854"/>
      <c r="H13" s="1332">
        <v>2</v>
      </c>
      <c r="I13" s="1333" t="s">
        <v>1413</v>
      </c>
      <c r="J13" s="1293">
        <f ca="1">ROUND(J14*J15,0)</f>
        <v>96</v>
      </c>
      <c r="K13" s="1340" t="s">
        <v>1414</v>
      </c>
      <c r="L13" s="1855"/>
      <c r="M13" s="1856"/>
    </row>
    <row r="14" spans="1:37" ht="18" customHeight="1">
      <c r="A14" s="1204" t="s">
        <v>1034</v>
      </c>
      <c r="B14" s="347" t="s">
        <v>1416</v>
      </c>
      <c r="C14" s="363">
        <f ca="1">INDIRECT("'数据-取费表'!m"&amp;$G$1)+INDIRECT("'数据-取费表'!t"&amp;$G$1)</f>
        <v>109</v>
      </c>
      <c r="D14" s="1803" t="s">
        <v>1417</v>
      </c>
      <c r="E14" s="1797"/>
      <c r="F14" s="364"/>
      <c r="G14" s="1854"/>
      <c r="H14" s="1204" t="s">
        <v>1035</v>
      </c>
      <c r="I14" s="347" t="s">
        <v>1418</v>
      </c>
      <c r="J14" s="24">
        <f ca="1">C29</f>
        <v>171</v>
      </c>
      <c r="K14" s="15"/>
      <c r="L14" s="982"/>
      <c r="M14" s="983"/>
    </row>
    <row r="15" spans="1:37" s="1861" customFormat="1" ht="18" customHeight="1" thickBot="1">
      <c r="A15" s="1204" t="s">
        <v>1036</v>
      </c>
      <c r="B15" s="347" t="s">
        <v>1419</v>
      </c>
      <c r="C15" s="24">
        <f ca="1">ROUND(C14*F15,0)</f>
        <v>3</v>
      </c>
      <c r="D15" s="365" t="s">
        <v>1420</v>
      </c>
      <c r="E15" s="365" t="s">
        <v>1421</v>
      </c>
      <c r="F15" s="366">
        <f>'数据-取费表'!B33</f>
        <v>0.03</v>
      </c>
      <c r="G15" s="1857"/>
      <c r="H15" s="1342" t="s">
        <v>1039</v>
      </c>
      <c r="I15" s="1343" t="s">
        <v>1415</v>
      </c>
      <c r="J15" s="1352">
        <f ca="1">INDIRECT("'数据-取费表'!ad"&amp;$G$1)</f>
        <v>0.56000000000000005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39</v>
      </c>
      <c r="K16" s="1340" t="s">
        <v>1424</v>
      </c>
      <c r="L16" s="1341"/>
      <c r="M16" s="1297"/>
    </row>
    <row r="17" spans="1:37" s="1861" customFormat="1" ht="18" customHeight="1">
      <c r="A17" s="1204" t="s">
        <v>1390</v>
      </c>
      <c r="B17" s="347" t="s">
        <v>1425</v>
      </c>
      <c r="C17" s="24">
        <f ca="1">ROUND(F17*(F43+INDIRECT("'数据-取费表'!S"&amp;$G$1))/10000,0)</f>
        <v>12</v>
      </c>
      <c r="D17" s="347" t="s">
        <v>1426</v>
      </c>
      <c r="E17" s="347" t="s">
        <v>1427</v>
      </c>
      <c r="F17" s="26">
        <f>'数据-取费表'!B35</f>
        <v>200</v>
      </c>
      <c r="G17" s="1857"/>
      <c r="H17" s="1204" t="s">
        <v>1035</v>
      </c>
      <c r="I17" s="347" t="s">
        <v>1428</v>
      </c>
      <c r="J17" s="24">
        <f ca="1">ROUND(IF(项目基本情况!B11="自然人",J5*M17,J18+J19+J20),1)</f>
        <v>31.8</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2</v>
      </c>
      <c r="D18" s="347" t="s">
        <v>1420</v>
      </c>
      <c r="E18" s="347" t="s">
        <v>1421</v>
      </c>
      <c r="F18" s="367">
        <f>'数据-取费表'!B36</f>
        <v>1.4999999999999999E-2</v>
      </c>
      <c r="G18" s="1857"/>
      <c r="H18" s="1204" t="s">
        <v>1034</v>
      </c>
      <c r="I18" s="347" t="s">
        <v>1432</v>
      </c>
      <c r="J18" s="24">
        <f ca="1">ROUND(J5*M18/(1+'数据-取费表'!C42),2)</f>
        <v>9.5500000000000007</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126</v>
      </c>
      <c r="D19" s="140" t="s">
        <v>1435</v>
      </c>
      <c r="E19" s="1821"/>
      <c r="F19" s="26"/>
      <c r="G19" s="1854"/>
      <c r="H19" s="1204" t="s">
        <v>1036</v>
      </c>
      <c r="I19" s="347" t="s">
        <v>1436</v>
      </c>
      <c r="J19" s="24">
        <f ca="1">IF(K19="按租金收入计税",ROUND(J5*M19,2),ROUND(C29*M19*0.7,2))</f>
        <v>21.48</v>
      </c>
      <c r="K19" s="1831" t="s">
        <v>3096</v>
      </c>
      <c r="L19" s="347" t="s">
        <v>1421</v>
      </c>
      <c r="M19" s="367">
        <f>IF(K19="按租金收入计税",'数据-取费表'!B51,'数据-取费表'!B50)</f>
        <v>0.12</v>
      </c>
    </row>
    <row r="20" spans="1:37" s="1861" customFormat="1" ht="18" customHeight="1">
      <c r="A20" s="1204" t="s">
        <v>1039</v>
      </c>
      <c r="B20" s="347" t="s">
        <v>1438</v>
      </c>
      <c r="C20" s="24">
        <f ca="1">ROUND(C19*F20,0)</f>
        <v>3</v>
      </c>
      <c r="D20" s="369" t="s">
        <v>1439</v>
      </c>
      <c r="E20" s="347" t="s">
        <v>1421</v>
      </c>
      <c r="F20" s="367">
        <f>'数据-取费表'!B37</f>
        <v>0.02</v>
      </c>
      <c r="G20" s="1857"/>
      <c r="H20" s="1204" t="s">
        <v>1389</v>
      </c>
      <c r="I20" s="164" t="s">
        <v>1440</v>
      </c>
      <c r="J20" s="25">
        <f ca="1">ROUND(M20*M21/10000,2)</f>
        <v>0.73</v>
      </c>
      <c r="K20" s="370" t="s">
        <v>1441</v>
      </c>
      <c r="L20" s="347" t="s">
        <v>1442</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303.25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3.4</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3</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0.2</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ROUND(J5*M24,1)</f>
        <v>3.6</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140</v>
      </c>
      <c r="K25" s="1348" t="s">
        <v>1463</v>
      </c>
      <c r="L25" s="1349"/>
      <c r="M25" s="1350"/>
    </row>
    <row r="26" spans="1:37">
      <c r="A26" s="1204" t="s">
        <v>1034</v>
      </c>
      <c r="B26" s="347" t="s">
        <v>1464</v>
      </c>
      <c r="C26" s="24">
        <f ca="1">ROUND((C19+C20)*F26,0)</f>
        <v>26</v>
      </c>
      <c r="D26" s="369" t="s">
        <v>1465</v>
      </c>
      <c r="E26" s="358" t="s">
        <v>1466</v>
      </c>
      <c r="F26" s="357">
        <f ca="1">INDIRECT("'数据-取费表'!q"&amp;$G$1)</f>
        <v>0.2</v>
      </c>
      <c r="G26" s="1854"/>
      <c r="H26" s="344" t="s">
        <v>1032</v>
      </c>
      <c r="I26" s="345" t="s">
        <v>1467</v>
      </c>
      <c r="J26" s="346">
        <f ca="1">IF(J5&lt;&gt;0,ROUND(J25*(1-((1+M28)/(1+M26))^M27)/(M26-M28),0),0)</f>
        <v>2519</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26.9</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171</v>
      </c>
      <c r="D29" s="1345"/>
      <c r="E29" s="1343"/>
      <c r="F29" s="1346"/>
      <c r="G29" s="1857"/>
      <c r="H29" s="380" t="s">
        <v>1033</v>
      </c>
      <c r="I29" s="381" t="s">
        <v>1478</v>
      </c>
      <c r="J29" s="382">
        <f ca="1">ROUND(J26/(1+F40)^F41,0)</f>
        <v>2255</v>
      </c>
      <c r="K29" s="383" t="s">
        <v>1479</v>
      </c>
      <c r="L29" s="384"/>
      <c r="M29" s="385">
        <f ca="1">INDIRECT("'数据-取费表'!k"&amp;$G$1)</f>
        <v>606.5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15.1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4.43</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9.9600000000000009</v>
      </c>
      <c r="D33" s="1831" t="s">
        <v>3096</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0.73</v>
      </c>
      <c r="D34" s="370" t="s">
        <v>1441</v>
      </c>
      <c r="E34" s="347" t="s">
        <v>1442</v>
      </c>
      <c r="F34" s="371">
        <f>'数据-取费表'!B52</f>
        <v>24</v>
      </c>
      <c r="G34" s="1854"/>
      <c r="H34" s="745"/>
      <c r="I34" s="1863"/>
      <c r="J34" s="1864"/>
      <c r="K34" s="1866"/>
      <c r="L34" s="1867"/>
      <c r="M34" s="1867"/>
    </row>
    <row r="35" spans="1:18" ht="18" customHeight="1">
      <c r="A35" s="1356"/>
      <c r="B35" s="1354"/>
      <c r="C35" s="29"/>
      <c r="D35" s="373"/>
      <c r="E35" s="347" t="s">
        <v>1446</v>
      </c>
      <c r="F35" s="348">
        <f ca="1">INDIRECT("'数据-取费表'!r"&amp;$G$1)</f>
        <v>303.25</v>
      </c>
      <c r="G35" s="1854"/>
      <c r="H35" s="745"/>
      <c r="I35" s="1863"/>
      <c r="J35" s="1864"/>
      <c r="K35" s="1865"/>
      <c r="L35" s="1862"/>
      <c r="M35" s="1862"/>
    </row>
    <row r="36" spans="1:18" ht="18" customHeight="1">
      <c r="A36" s="1355" t="s">
        <v>1039</v>
      </c>
      <c r="B36" s="347" t="s">
        <v>1448</v>
      </c>
      <c r="C36" s="24">
        <f ca="1">ROUND(C29*F36,1)</f>
        <v>3.4</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0.2</v>
      </c>
      <c r="D37" s="1801" t="s">
        <v>1453</v>
      </c>
      <c r="E37" s="347" t="s">
        <v>1454</v>
      </c>
      <c r="F37" s="376">
        <f ca="1">INDIRECT("'数据-取费表'!Al"&amp;$G$1)</f>
        <v>2E-3</v>
      </c>
      <c r="G37" s="1854"/>
      <c r="H37" s="1862"/>
      <c r="I37" s="1863"/>
      <c r="J37" s="1864"/>
      <c r="K37" s="751"/>
      <c r="L37" s="1862"/>
      <c r="M37" s="1862"/>
    </row>
    <row r="38" spans="1:18" ht="18" customHeight="1" thickBot="1">
      <c r="A38" s="1342" t="s">
        <v>1393</v>
      </c>
      <c r="B38" s="1343" t="s">
        <v>1438</v>
      </c>
      <c r="C38" s="1344">
        <f ca="1">ROUND(C5*F38,1)</f>
        <v>1.7</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63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120</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2.0699999999999998</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1979</v>
      </c>
      <c r="D43" s="383" t="s">
        <v>1487</v>
      </c>
      <c r="E43" s="384" t="s">
        <v>1488</v>
      </c>
      <c r="F43" s="385">
        <f ca="1">INDIRECT("'数据-取费表'!k"&amp;$G$1)</f>
        <v>606.5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137</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3073</v>
      </c>
      <c r="K47" s="1885" t="s">
        <v>1526</v>
      </c>
      <c r="L47" s="1886">
        <f ca="1">INDIRECT("'数据-取费表'!d"&amp;$G$1)</f>
        <v>40</v>
      </c>
      <c r="M47" s="1841" t="str">
        <f>IF(ISNUMBER(FIND("住宅",C1)),"住宅","非住宅")</f>
        <v>非住宅</v>
      </c>
      <c r="O47" s="1887" t="s">
        <v>1040</v>
      </c>
      <c r="P47" s="1888" t="s">
        <v>1527</v>
      </c>
      <c r="Q47" s="1889">
        <f ca="1">C40+J29</f>
        <v>2375</v>
      </c>
      <c r="R47" s="1889" t="s">
        <v>1528</v>
      </c>
    </row>
    <row r="48" spans="1:18" s="1845" customFormat="1" ht="28.5" thickBot="1">
      <c r="A48" s="1363" t="s">
        <v>1135</v>
      </c>
      <c r="B48" s="345" t="s">
        <v>1401</v>
      </c>
      <c r="C48" s="1820">
        <f ca="1">C49+C53+C55</f>
        <v>170</v>
      </c>
      <c r="D48" s="1365"/>
      <c r="E48" s="1366"/>
      <c r="F48" s="1184"/>
      <c r="G48" s="792"/>
      <c r="H48" s="793"/>
      <c r="I48" s="1890" t="s">
        <v>1529</v>
      </c>
      <c r="J48" s="1891" t="s">
        <v>3074</v>
      </c>
      <c r="K48" s="1892" t="s">
        <v>1530</v>
      </c>
      <c r="L48" s="1893">
        <f ca="1">INDIRECT("'数据-取费表'!f"&amp;$G$1)</f>
        <v>28.97</v>
      </c>
      <c r="O48" s="1887" t="s">
        <v>1041</v>
      </c>
      <c r="P48" s="1888" t="s">
        <v>1531</v>
      </c>
      <c r="Q48" s="1889" t="str">
        <f ca="1">J60</f>
        <v>0</v>
      </c>
      <c r="R48" s="1889" t="s">
        <v>1532</v>
      </c>
    </row>
    <row r="49" spans="1:18" s="1845" customFormat="1" ht="13.5" thickBot="1">
      <c r="A49" s="1197" t="s">
        <v>1136</v>
      </c>
      <c r="B49" s="1832" t="s">
        <v>1489</v>
      </c>
      <c r="C49" s="1367">
        <f ca="1">ROUND(F49*F51*F50*(1-F52)/10000,0)</f>
        <v>170</v>
      </c>
      <c r="D49" s="1279" t="s">
        <v>3032</v>
      </c>
      <c r="E49" s="1833" t="s">
        <v>1490</v>
      </c>
      <c r="F49" s="1284">
        <f>'比较法-商业（租金）'!C48</f>
        <v>8.1</v>
      </c>
      <c r="G49" s="1894"/>
      <c r="H49" s="793"/>
      <c r="I49" s="1890" t="s">
        <v>1533</v>
      </c>
      <c r="J49" s="1895">
        <f>2018-(50*(1-'数据-取费表'!N6))</f>
        <v>1998</v>
      </c>
      <c r="K49" s="1892" t="s">
        <v>1534</v>
      </c>
      <c r="L49" s="1896"/>
      <c r="O49" s="1897" t="s">
        <v>1042</v>
      </c>
      <c r="P49" s="1888" t="s">
        <v>1535</v>
      </c>
      <c r="Q49" s="1889">
        <f ca="1">C29</f>
        <v>171</v>
      </c>
      <c r="R49" s="1889" t="s">
        <v>1528</v>
      </c>
    </row>
    <row r="50" spans="1:18" s="1845" customFormat="1" ht="13.5" thickBot="1">
      <c r="A50" s="1198"/>
      <c r="B50" s="1201"/>
      <c r="C50" s="1371"/>
      <c r="D50" s="1175"/>
      <c r="E50" s="1280" t="s">
        <v>1406</v>
      </c>
      <c r="F50" s="1281">
        <f ca="1">F7</f>
        <v>606.5</v>
      </c>
      <c r="H50" s="793"/>
      <c r="I50" s="1890" t="s">
        <v>1536</v>
      </c>
      <c r="J50" s="1898">
        <f>SUMPRODUCT((I63:I65=J47)*(J62:L62=J48)*(J63:L65))</f>
        <v>50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30</v>
      </c>
      <c r="K51" s="1903" t="s">
        <v>1540</v>
      </c>
      <c r="L51" s="1904">
        <f ca="1">ROUND(-PV(INDIRECT("'数据-取费表'!h"&amp;$G$1),L48,(C39-C13*C76),0),0)</f>
        <v>821</v>
      </c>
      <c r="M51" s="1905"/>
      <c r="O51" s="1897" t="s">
        <v>1044</v>
      </c>
      <c r="P51" s="1888" t="s">
        <v>1541</v>
      </c>
      <c r="Q51" s="1900">
        <f>J52</f>
        <v>0.09</v>
      </c>
      <c r="R51" s="1889"/>
    </row>
    <row r="52" spans="1:18" s="1845" customFormat="1" ht="13.5" thickBot="1">
      <c r="A52" s="1199"/>
      <c r="B52" s="1201"/>
      <c r="C52" s="1202"/>
      <c r="D52" s="1175"/>
      <c r="E52" s="1203" t="s">
        <v>1408</v>
      </c>
      <c r="F52" s="1278">
        <f>'数据-取费表'!AB6</f>
        <v>0.05</v>
      </c>
      <c r="I52" s="1906" t="s">
        <v>1542</v>
      </c>
      <c r="J52" s="1907">
        <v>0.09</v>
      </c>
      <c r="K52" s="1906" t="s">
        <v>1543</v>
      </c>
      <c r="L52" s="1907">
        <f>'数据-取费表'!H6</f>
        <v>0.05</v>
      </c>
      <c r="O52" s="1897" t="s">
        <v>1045</v>
      </c>
      <c r="P52" s="1888" t="s">
        <v>1544</v>
      </c>
      <c r="Q52" s="1889">
        <f ca="1">J53</f>
        <v>28.97</v>
      </c>
      <c r="R52" s="1889" t="s">
        <v>1545</v>
      </c>
    </row>
    <row r="53" spans="1:18" s="1845" customFormat="1" ht="24.75" thickBot="1">
      <c r="A53" s="1408" t="s">
        <v>1137</v>
      </c>
      <c r="B53" s="1834" t="s">
        <v>1409</v>
      </c>
      <c r="C53" s="361">
        <f ca="1">ROUND(IF(F53="押一",C49/12*F11,IF(F53="押二",C49/12*2*F11,IF(F53="押三",C49/12*3*F11,C54*F11))),0)</f>
        <v>0</v>
      </c>
      <c r="D53" s="1827" t="s">
        <v>3039</v>
      </c>
      <c r="E53" s="358" t="s">
        <v>1410</v>
      </c>
      <c r="F53" s="1369" t="s">
        <v>3072</v>
      </c>
      <c r="I53" s="1908" t="s">
        <v>1546</v>
      </c>
      <c r="J53" s="1909">
        <f ca="1">IF(M47="住宅",J51,IF(D1="——",MIN(J51,L48),IF(D1="在建（套用方法）",MIN(J51,L48-'数据-取费表'!B24),IF(D1="土地（套用方法）",MIN(J51,L48-'数据-取费表'!B20)))))</f>
        <v>28.97</v>
      </c>
      <c r="K53" s="3153" t="s">
        <v>1547</v>
      </c>
      <c r="L53" s="3154"/>
      <c r="O53" s="1887" t="s">
        <v>1046</v>
      </c>
      <c r="P53" s="1888" t="s">
        <v>1548</v>
      </c>
      <c r="Q53" s="1889">
        <f ca="1">Q47+Q48</f>
        <v>2375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3097</v>
      </c>
      <c r="O55" s="1880" t="s">
        <v>1521</v>
      </c>
      <c r="P55" s="1881" t="s">
        <v>1522</v>
      </c>
      <c r="Q55" s="1882" t="s">
        <v>1523</v>
      </c>
      <c r="R55" s="1882" t="s">
        <v>1524</v>
      </c>
    </row>
    <row r="56" spans="1:18" s="1845" customFormat="1" ht="25.5" thickTop="1" thickBot="1">
      <c r="A56" s="1179">
        <v>2</v>
      </c>
      <c r="B56" s="1180" t="s">
        <v>1413</v>
      </c>
      <c r="C56" s="276">
        <f ca="1">C13</f>
        <v>103</v>
      </c>
      <c r="D56" s="1917"/>
      <c r="E56" s="1918"/>
      <c r="F56" s="1910"/>
      <c r="I56" s="1919" t="s">
        <v>1552</v>
      </c>
      <c r="J56" s="1920" t="s">
        <v>3052</v>
      </c>
      <c r="K56" s="1890" t="s">
        <v>1553</v>
      </c>
      <c r="L56" s="1893" t="str">
        <f ca="1">IF(L48&lt;J51,"——",L48-J53)</f>
        <v>——</v>
      </c>
      <c r="O56" s="1887" t="s">
        <v>1040</v>
      </c>
      <c r="P56" s="1888" t="s">
        <v>1527</v>
      </c>
      <c r="Q56" s="1889">
        <f ca="1">C40+J29</f>
        <v>2375</v>
      </c>
      <c r="R56" s="1889" t="s">
        <v>1528</v>
      </c>
    </row>
    <row r="57" spans="1:18" s="1845" customFormat="1" ht="24.75" thickBot="1">
      <c r="A57" s="1921"/>
      <c r="B57" s="1172" t="s">
        <v>1477</v>
      </c>
      <c r="C57" s="282">
        <f ca="1">C29</f>
        <v>171</v>
      </c>
      <c r="D57" s="1922"/>
      <c r="E57" s="1923"/>
      <c r="F57" s="1924"/>
      <c r="I57" s="1925" t="s">
        <v>1554</v>
      </c>
      <c r="J57" s="1926" t="str">
        <f ca="1">IF(OR(M47="住宅",J51&lt;L48,J56="是"),"——",J51-L48)</f>
        <v>——</v>
      </c>
      <c r="K57" s="1890" t="s">
        <v>1555</v>
      </c>
      <c r="L57" s="1893" t="str">
        <f ca="1">IF(L48&lt;J51,"——",IF(L55="比较法",L49,IF(L55="基准地价",L50,L51)))</f>
        <v>——</v>
      </c>
      <c r="O57" s="1887" t="s">
        <v>1041</v>
      </c>
      <c r="P57" s="1888" t="s">
        <v>1556</v>
      </c>
      <c r="Q57" s="1889">
        <f ca="1">L60</f>
        <v>0</v>
      </c>
      <c r="R57" s="1889" t="s">
        <v>1557</v>
      </c>
    </row>
    <row r="58" spans="1:18" s="1845" customFormat="1" ht="24.75" thickBot="1">
      <c r="A58" s="360" t="s">
        <v>1030</v>
      </c>
      <c r="B58" s="1180" t="s">
        <v>1423</v>
      </c>
      <c r="C58" s="361">
        <f ca="1">ROUND(C59+C64+C65+C66,0)</f>
        <v>37</v>
      </c>
      <c r="D58" s="1182" t="s">
        <v>1424</v>
      </c>
      <c r="E58" s="1183"/>
      <c r="F58" s="1184"/>
      <c r="I58" s="1925" t="s">
        <v>1558</v>
      </c>
      <c r="J58" s="1927" t="e">
        <f ca="1">IF(J55&lt;0.4,0.4,J55)</f>
        <v>#VALUE!</v>
      </c>
      <c r="K58" s="1903" t="s">
        <v>1559</v>
      </c>
      <c r="L58" s="1893">
        <f ca="1">ROUND(POWER(1+L52,L47-L48)*(POWER(1+L52,L48)-1)/(POWER(1+L52,L47)-1),4)</f>
        <v>0.88200000000000001</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ROUND(IF(项目基本情况!B11="自然人",C48*F59,C60+C61+C62),1)</f>
        <v>30.2</v>
      </c>
      <c r="D59" s="1185" t="s">
        <v>1429</v>
      </c>
      <c r="E59" s="1186" t="s">
        <v>1430</v>
      </c>
      <c r="F59" s="368" t="str">
        <f ca="1">IF(项目基本情况!B11="企业","",IF(INDIRECT("'数据-取费表'!c"&amp;$G$1)="住宅",5%,IF(F49*F50*F51/12/(1+'数据-取费表'!C42)&gt;20000,12%,7%)))</f>
        <v/>
      </c>
      <c r="I59" s="1925" t="s">
        <v>1561</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0.89590000000000003</v>
      </c>
      <c r="M59" s="1841">
        <f ca="1">ROUND(POWER(1+L52,L47-(J51+'数据-取费表'!B24))*(POWER(1+L52,(J51+'数据-取费表'!B24))-1)/(POWER(1+L52,L47)-1),4)</f>
        <v>0.89590000000000003</v>
      </c>
      <c r="N59" s="1841">
        <f ca="1">ROUND(POWER(1+L52,L47-(J51+'数据-取费表'!B20))*(POWER(1+L52,(J51+'数据-取费表'!B20))-1)/(POWER(1+L52,L47)-1),4)</f>
        <v>0.90869999999999995</v>
      </c>
      <c r="O59" s="1897" t="s">
        <v>1043</v>
      </c>
      <c r="P59" s="1888" t="s">
        <v>1562</v>
      </c>
      <c r="Q59" s="1900">
        <f>L52</f>
        <v>0.05</v>
      </c>
      <c r="R59" s="1889"/>
    </row>
    <row r="60" spans="1:18" s="1845" customFormat="1" ht="16.5" thickBot="1">
      <c r="A60" s="1204" t="s">
        <v>1034</v>
      </c>
      <c r="B60" s="1172" t="s">
        <v>1432</v>
      </c>
      <c r="C60" s="24">
        <f ca="1">IF(项目基本情况!B11="自然人","——",ROUND(C48*F60/(1+'数据-取费表'!C42),2))</f>
        <v>9.07</v>
      </c>
      <c r="D60" s="1186" t="s">
        <v>1433</v>
      </c>
      <c r="E60" s="1172" t="s">
        <v>1421</v>
      </c>
      <c r="F60" s="377">
        <f t="shared" ref="F60:F66" si="0">F32</f>
        <v>5.6000000000000001E-2</v>
      </c>
      <c r="I60" s="1928" t="s">
        <v>1563</v>
      </c>
      <c r="J60" s="1929" t="str">
        <f ca="1">IF(OR(M47="住宅",J51&lt;L48,J56="是"),"0",ROUND(J59/(1+J52)^J53,0))</f>
        <v>0</v>
      </c>
      <c r="K60" s="1930" t="s">
        <v>1564</v>
      </c>
      <c r="L60" s="1929">
        <f ca="1">IF(OR(M47="住宅",L48&lt;J51),0,ROUND(L57*(L58/L59-1),0))</f>
        <v>0</v>
      </c>
      <c r="O60" s="1897" t="s">
        <v>1044</v>
      </c>
      <c r="P60" s="1888" t="s">
        <v>1565</v>
      </c>
      <c r="Q60" s="1889">
        <f ca="1">L58</f>
        <v>0.88200000000000001</v>
      </c>
      <c r="R60" s="1889" t="s">
        <v>1566</v>
      </c>
    </row>
    <row r="61" spans="1:18" s="1845" customFormat="1" ht="13.5" thickBot="1">
      <c r="A61" s="1204" t="s">
        <v>1491</v>
      </c>
      <c r="B61" s="1172" t="s">
        <v>1492</v>
      </c>
      <c r="C61" s="24">
        <f ca="1">IF(项目基本情况!B11="自然人","——",IF(D61="按租金收入计税",ROUND(C48*F61,2),IF(D61="按房产原值计税",ROUND(C57*F61*0.7,2),INDIRECT("'数据-取费表'!Aj"&amp;$G$1))))</f>
        <v>20.399999999999999</v>
      </c>
      <c r="D61" s="1831" t="s">
        <v>3096</v>
      </c>
      <c r="E61" s="1172" t="s">
        <v>1493</v>
      </c>
      <c r="F61" s="367">
        <f t="shared" si="0"/>
        <v>0.12</v>
      </c>
      <c r="I61" s="1931"/>
      <c r="J61" s="1931"/>
      <c r="K61" s="1931"/>
      <c r="L61" s="1931"/>
      <c r="O61" s="1897" t="s">
        <v>1045</v>
      </c>
      <c r="P61" s="1888" t="str">
        <f>K59</f>
        <v>建筑物剩余耐用年限下的土地年期修正系数Kn</v>
      </c>
      <c r="Q61" s="1889">
        <f ca="1">L59</f>
        <v>0.89590000000000003</v>
      </c>
      <c r="R61" s="1889" t="s">
        <v>1567</v>
      </c>
    </row>
    <row r="62" spans="1:18" s="1845" customFormat="1" ht="13.5" thickBot="1">
      <c r="A62" s="1204" t="s">
        <v>1494</v>
      </c>
      <c r="B62" s="1171" t="s">
        <v>1495</v>
      </c>
      <c r="C62" s="25">
        <f ca="1">IF(项目基本情况!B11="自然人","——",ROUND(F62*F63/10000,2))</f>
        <v>0.73</v>
      </c>
      <c r="D62" s="1187" t="s">
        <v>1496</v>
      </c>
      <c r="E62" s="1172" t="s">
        <v>1497</v>
      </c>
      <c r="F62" s="371">
        <f t="shared" si="0"/>
        <v>24</v>
      </c>
      <c r="I62" s="1932" t="s">
        <v>1568</v>
      </c>
      <c r="J62" s="1933" t="s">
        <v>1569</v>
      </c>
      <c r="K62" s="1933" t="s">
        <v>1570</v>
      </c>
      <c r="L62" s="1933" t="s">
        <v>1571</v>
      </c>
      <c r="M62" s="1934" t="s">
        <v>1572</v>
      </c>
      <c r="O62" s="1887" t="s">
        <v>1046</v>
      </c>
      <c r="P62" s="1888" t="s">
        <v>1573</v>
      </c>
      <c r="Q62" s="1889">
        <f ca="1">Q56+Q57</f>
        <v>2375</v>
      </c>
      <c r="R62" s="1889" t="s">
        <v>1047</v>
      </c>
    </row>
    <row r="63" spans="1:18" s="1845" customFormat="1" ht="13.5" thickBot="1">
      <c r="A63" s="372"/>
      <c r="B63" s="1178"/>
      <c r="C63" s="29"/>
      <c r="D63" s="1188"/>
      <c r="E63" s="1172" t="s">
        <v>1498</v>
      </c>
      <c r="F63" s="348">
        <f t="shared" ca="1" si="0"/>
        <v>303.25</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ROUND(C57*F64,1)</f>
        <v>3.4</v>
      </c>
      <c r="D64" s="1186" t="s">
        <v>1501</v>
      </c>
      <c r="E64" s="1172" t="s">
        <v>1493</v>
      </c>
      <c r="F64" s="374">
        <f t="shared" ca="1" si="0"/>
        <v>0.02</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0.2</v>
      </c>
      <c r="D65" s="1186" t="s">
        <v>1453</v>
      </c>
      <c r="E65" s="1172" t="s">
        <v>1454</v>
      </c>
      <c r="F65" s="376">
        <f t="shared" ca="1" si="0"/>
        <v>2E-3</v>
      </c>
      <c r="I65" s="1932" t="s">
        <v>1577</v>
      </c>
      <c r="J65" s="1933">
        <v>40</v>
      </c>
      <c r="K65" s="1933">
        <v>30</v>
      </c>
      <c r="L65" s="1933">
        <v>50</v>
      </c>
      <c r="M65" s="1935">
        <v>0.02</v>
      </c>
      <c r="O65" s="1887" t="s">
        <v>1040</v>
      </c>
      <c r="P65" s="1888" t="s">
        <v>1578</v>
      </c>
      <c r="Q65" s="1889">
        <f ca="1">C40+J29</f>
        <v>2375</v>
      </c>
      <c r="R65" s="1889" t="s">
        <v>1528</v>
      </c>
    </row>
    <row r="66" spans="1:18" s="1845" customFormat="1" ht="16.5" thickBot="1">
      <c r="A66" s="1204" t="s">
        <v>1503</v>
      </c>
      <c r="B66" s="1172" t="s">
        <v>1438</v>
      </c>
      <c r="C66" s="24">
        <f ca="1">ROUND(C48*F66,1)</f>
        <v>3.4</v>
      </c>
      <c r="D66" s="1186" t="s">
        <v>1504</v>
      </c>
      <c r="E66" s="1172" t="s">
        <v>1421</v>
      </c>
      <c r="F66" s="357">
        <f t="shared" ca="1" si="0"/>
        <v>0.02</v>
      </c>
      <c r="O66" s="1887" t="s">
        <v>1041</v>
      </c>
      <c r="P66" s="1888" t="s">
        <v>1556</v>
      </c>
      <c r="Q66" s="1889">
        <f ca="1">L60</f>
        <v>0</v>
      </c>
      <c r="R66" s="1889" t="s">
        <v>1579</v>
      </c>
    </row>
    <row r="67" spans="1:18" s="1845" customFormat="1" ht="16.5" thickBot="1">
      <c r="A67" s="1179" t="s">
        <v>1031</v>
      </c>
      <c r="B67" s="1189" t="s">
        <v>1462</v>
      </c>
      <c r="C67" s="361">
        <f ca="1">C48-C58</f>
        <v>133</v>
      </c>
      <c r="D67" s="1185" t="s">
        <v>1463</v>
      </c>
      <c r="E67" s="1190"/>
      <c r="F67" s="1191"/>
      <c r="O67" s="1897" t="s">
        <v>1042</v>
      </c>
      <c r="P67" s="1888" t="s">
        <v>1560</v>
      </c>
      <c r="Q67" s="1936">
        <f ca="1">L51</f>
        <v>821</v>
      </c>
      <c r="R67" s="1889" t="s">
        <v>1580</v>
      </c>
    </row>
    <row r="68" spans="1:18" s="1845" customFormat="1" ht="16.5" thickBot="1">
      <c r="A68" s="1169" t="s">
        <v>1032</v>
      </c>
      <c r="B68" s="1170" t="s">
        <v>1484</v>
      </c>
      <c r="C68" s="346">
        <f ca="1">ROUND(C67*(1-((1+F70)/(1+F68))^F69)/(F68-F70),0)</f>
        <v>257</v>
      </c>
      <c r="D68" s="1187" t="s">
        <v>1468</v>
      </c>
      <c r="E68" s="1172" t="s">
        <v>1469</v>
      </c>
      <c r="F68" s="357">
        <f ca="1">F40</f>
        <v>5.5E-2</v>
      </c>
      <c r="O68" s="1897" t="s">
        <v>1043</v>
      </c>
      <c r="P68" s="1937" t="s">
        <v>1581</v>
      </c>
      <c r="Q68" s="1889">
        <f ca="1">ROUND(Q69-Q70*Q71,0)</f>
        <v>54</v>
      </c>
      <c r="R68" s="1889" t="s">
        <v>1051</v>
      </c>
    </row>
    <row r="69" spans="1:18" s="1845" customFormat="1" ht="13.5" thickBot="1">
      <c r="A69" s="1173"/>
      <c r="B69" s="1174"/>
      <c r="C69" s="351"/>
      <c r="D69" s="1192" t="s">
        <v>1472</v>
      </c>
      <c r="E69" s="1172" t="s">
        <v>1473</v>
      </c>
      <c r="F69" s="379">
        <f ca="1">F41</f>
        <v>2.0699999999999998</v>
      </c>
      <c r="O69" s="1897" t="s">
        <v>1048</v>
      </c>
      <c r="P69" s="1937" t="s">
        <v>1582</v>
      </c>
      <c r="Q69" s="1889">
        <f ca="1">C39</f>
        <v>63</v>
      </c>
      <c r="R69" s="1889" t="s">
        <v>1528</v>
      </c>
    </row>
    <row r="70" spans="1:18" s="1845" customFormat="1" ht="13.5" thickBot="1">
      <c r="A70" s="1176"/>
      <c r="B70" s="1177"/>
      <c r="C70" s="355"/>
      <c r="D70" s="1188"/>
      <c r="E70" s="1172" t="s">
        <v>1476</v>
      </c>
      <c r="F70" s="1278">
        <f>'数据-取费表'!AA6</f>
        <v>2.5000000000000001E-2</v>
      </c>
      <c r="O70" s="1897" t="s">
        <v>1049</v>
      </c>
      <c r="P70" s="1937" t="s">
        <v>1583</v>
      </c>
      <c r="Q70" s="1889">
        <f ca="1">C13</f>
        <v>103</v>
      </c>
      <c r="R70" s="1889" t="s">
        <v>1528</v>
      </c>
    </row>
    <row r="71" spans="1:18" s="1845" customFormat="1" ht="13.5" thickBot="1">
      <c r="A71" s="1193" t="s">
        <v>1033</v>
      </c>
      <c r="B71" s="1194" t="s">
        <v>1486</v>
      </c>
      <c r="C71" s="382">
        <f ca="1">ROUND(C68*10000/F71,0)</f>
        <v>4237</v>
      </c>
      <c r="D71" s="1195" t="s">
        <v>1487</v>
      </c>
      <c r="E71" s="1196" t="s">
        <v>1488</v>
      </c>
      <c r="F71" s="385">
        <f ca="1">F43</f>
        <v>606.5</v>
      </c>
      <c r="O71" s="1897" t="s">
        <v>1050</v>
      </c>
      <c r="P71" s="1937" t="s">
        <v>1584</v>
      </c>
      <c r="Q71" s="1900">
        <f ca="1">C76</f>
        <v>8.5000000000000006E-2</v>
      </c>
      <c r="R71" s="1889"/>
    </row>
    <row r="72" spans="1:18" s="1845" customFormat="1" ht="13.5" thickBot="1">
      <c r="B72" s="796"/>
      <c r="C72" s="796"/>
      <c r="O72" s="1897" t="s">
        <v>1044</v>
      </c>
      <c r="P72" s="1888" t="s">
        <v>1562</v>
      </c>
      <c r="Q72" s="1900">
        <f>L52</f>
        <v>0.05</v>
      </c>
      <c r="R72" s="1889"/>
    </row>
    <row r="73" spans="1:18" ht="16.5" thickBot="1">
      <c r="A73" s="1845"/>
      <c r="B73" s="796"/>
      <c r="C73" s="796"/>
      <c r="D73" s="1845"/>
      <c r="E73" s="1845"/>
      <c r="F73" s="1845"/>
      <c r="O73" s="1897" t="s">
        <v>1045</v>
      </c>
      <c r="P73" s="1888" t="s">
        <v>1565</v>
      </c>
      <c r="Q73" s="1889">
        <f ca="1">L58</f>
        <v>0.88200000000000001</v>
      </c>
      <c r="R73" s="1889" t="s">
        <v>1566</v>
      </c>
    </row>
    <row r="74" spans="1:18" ht="13.5" thickBot="1">
      <c r="A74" s="1845"/>
      <c r="B74" s="317" t="s">
        <v>1585</v>
      </c>
      <c r="C74" s="1939"/>
      <c r="D74" s="1845"/>
      <c r="E74" s="1845"/>
      <c r="F74" s="1845"/>
      <c r="O74" s="1897" t="s">
        <v>1052</v>
      </c>
      <c r="P74" s="1888" t="str">
        <f>K59</f>
        <v>建筑物剩余耐用年限下的土地年期修正系数Kn</v>
      </c>
      <c r="Q74" s="1889">
        <f ca="1">L59</f>
        <v>0.89590000000000003</v>
      </c>
      <c r="R74" s="1889" t="s">
        <v>1567</v>
      </c>
    </row>
    <row r="75" spans="1:18" ht="13.5" thickBot="1">
      <c r="A75" s="1845"/>
      <c r="B75" s="386" t="s">
        <v>1505</v>
      </c>
      <c r="C75" s="387">
        <f ca="1">ROUND(C13*C76,0)</f>
        <v>9</v>
      </c>
      <c r="D75" s="1845"/>
      <c r="E75" s="1845"/>
      <c r="F75" s="1845"/>
      <c r="K75" s="1871"/>
      <c r="L75" s="1845"/>
      <c r="O75" s="1887" t="s">
        <v>1046</v>
      </c>
      <c r="P75" s="1888" t="s">
        <v>1548</v>
      </c>
      <c r="Q75" s="1889">
        <f ca="1">Q65+Q66</f>
        <v>2375</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0.85699999999999998</v>
      </c>
    </row>
    <row r="80" spans="1:18">
      <c r="B80" s="386" t="s">
        <v>1510</v>
      </c>
      <c r="C80" s="318">
        <f ca="1">ROUND(C75/C39,3)</f>
        <v>0.14299999999999999</v>
      </c>
    </row>
    <row r="81" spans="2:3">
      <c r="B81" s="314" t="s">
        <v>1511</v>
      </c>
      <c r="C81" s="282"/>
    </row>
    <row r="82" spans="2:3">
      <c r="B82" s="317" t="s">
        <v>1512</v>
      </c>
      <c r="C82" s="319">
        <f ca="1">1-C83</f>
        <v>0.14200000000000002</v>
      </c>
    </row>
    <row r="83" spans="2:3">
      <c r="B83" s="317" t="s">
        <v>1513</v>
      </c>
      <c r="C83" s="318">
        <f ca="1">ROUND(C13/C40,3)</f>
        <v>0.85799999999999998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1588</v>
      </c>
      <c r="B2" s="1847" t="e">
        <f ca="1">ROUND(D2/10000,0)</f>
        <v>#DIV/0!</v>
      </c>
      <c r="C2" s="1848" t="s">
        <v>1589</v>
      </c>
      <c r="D2" s="1941" t="e">
        <f ca="1">C40+J29+L46</f>
        <v>#DIV/0!</v>
      </c>
      <c r="E2" s="1849" t="s">
        <v>1590</v>
      </c>
      <c r="F2" s="1850"/>
      <c r="G2" s="1851"/>
      <c r="H2" s="1843"/>
      <c r="I2" s="1843"/>
      <c r="J2" s="1843"/>
      <c r="K2" s="1844"/>
      <c r="L2" s="1843"/>
      <c r="M2" s="1843"/>
    </row>
    <row r="3" spans="1:37" ht="18" customHeight="1" thickBot="1">
      <c r="A3" s="1852" t="s">
        <v>1591</v>
      </c>
      <c r="B3" s="1853">
        <f ca="1">IF(ISERROR(D2/F43),0,ROUND(D2/F43,0))</f>
        <v>0</v>
      </c>
      <c r="C3" s="1848" t="s">
        <v>1592</v>
      </c>
      <c r="D3" s="1848"/>
      <c r="E3" s="1849"/>
      <c r="F3" s="1850"/>
      <c r="G3" s="1851"/>
      <c r="H3" s="744" t="s">
        <v>1586</v>
      </c>
      <c r="I3" s="1843"/>
      <c r="J3" s="1843"/>
      <c r="K3" s="1844"/>
      <c r="L3" s="1843"/>
      <c r="M3" s="1843"/>
    </row>
    <row r="4" spans="1:37" ht="18" customHeight="1">
      <c r="A4" s="340" t="s">
        <v>1593</v>
      </c>
      <c r="B4" s="341" t="s">
        <v>1594</v>
      </c>
      <c r="C4" s="341" t="s">
        <v>1595</v>
      </c>
      <c r="D4" s="341" t="s">
        <v>1596</v>
      </c>
      <c r="E4" s="342" t="s">
        <v>1597</v>
      </c>
      <c r="F4" s="343"/>
      <c r="G4" s="1854"/>
      <c r="H4" s="340" t="s">
        <v>1593</v>
      </c>
      <c r="I4" s="341" t="s">
        <v>1594</v>
      </c>
      <c r="J4" s="341" t="s">
        <v>1595</v>
      </c>
      <c r="K4" s="341" t="s">
        <v>1596</v>
      </c>
      <c r="L4" s="342" t="s">
        <v>1597</v>
      </c>
      <c r="M4" s="343"/>
    </row>
    <row r="5" spans="1:37" ht="18" customHeight="1">
      <c r="A5" s="344">
        <v>1</v>
      </c>
      <c r="B5" s="345" t="s">
        <v>1598</v>
      </c>
      <c r="C5" s="1295">
        <f ca="1">C6+C10+C12</f>
        <v>0</v>
      </c>
      <c r="D5" s="1825" t="s">
        <v>1599</v>
      </c>
      <c r="E5" s="1296"/>
      <c r="F5" s="1297"/>
      <c r="G5" s="1854"/>
      <c r="H5" s="344">
        <v>1</v>
      </c>
      <c r="I5" s="345" t="s">
        <v>1598</v>
      </c>
      <c r="J5" s="1295">
        <f ca="1">J6+J10+J12</f>
        <v>0</v>
      </c>
      <c r="K5" s="1825" t="s">
        <v>1599</v>
      </c>
      <c r="L5" s="1296"/>
      <c r="M5" s="1297"/>
    </row>
    <row r="6" spans="1:37" ht="18" customHeight="1">
      <c r="A6" s="1294" t="s">
        <v>1035</v>
      </c>
      <c r="B6" s="3155" t="s">
        <v>1403</v>
      </c>
      <c r="C6" s="1299">
        <f ca="1">ROUND(F6*F8*F7*(1-F9),0)</f>
        <v>0</v>
      </c>
      <c r="D6" s="164" t="s">
        <v>3028</v>
      </c>
      <c r="E6" s="347" t="s">
        <v>1405</v>
      </c>
      <c r="F6" s="348">
        <f ca="1">INDIRECT("'数据-取费表'!u"&amp;$G$1)</f>
        <v>0</v>
      </c>
      <c r="G6" s="1854"/>
      <c r="H6" s="1294" t="s">
        <v>1035</v>
      </c>
      <c r="I6" s="3155" t="s">
        <v>1403</v>
      </c>
      <c r="J6" s="346">
        <f ca="1">ROUND(M6*M8*M7*(1-M9),0)</f>
        <v>0</v>
      </c>
      <c r="K6" s="1837" t="s">
        <v>3029</v>
      </c>
      <c r="L6" s="347" t="s">
        <v>1405</v>
      </c>
      <c r="M6" s="348">
        <f ca="1">INDIRECT("'数据-取费表'!z"&amp;$G$1)</f>
        <v>0</v>
      </c>
    </row>
    <row r="7" spans="1:37" ht="18" customHeight="1">
      <c r="A7" s="1298"/>
      <c r="B7" s="3156"/>
      <c r="C7" s="1300"/>
      <c r="D7" s="352"/>
      <c r="E7" s="1301" t="s">
        <v>1406</v>
      </c>
      <c r="F7" s="348">
        <f ca="1">IF(INDIRECT("'数据-取费表'!ah"&amp;$G$1)="",INDIRECT("'数据-取费表'!k"&amp;$G$1),INDIRECT("'数据-取费表'!ah"&amp;$G$1))</f>
        <v>0</v>
      </c>
      <c r="G7" s="1854"/>
      <c r="H7" s="349"/>
      <c r="I7" s="3156"/>
      <c r="J7" s="351"/>
      <c r="K7" s="352"/>
      <c r="L7" s="347" t="s">
        <v>1406</v>
      </c>
      <c r="M7" s="348">
        <f ca="1">F7</f>
        <v>0</v>
      </c>
    </row>
    <row r="8" spans="1:37" ht="18" customHeight="1">
      <c r="A8" s="349"/>
      <c r="B8" s="3156"/>
      <c r="C8" s="351"/>
      <c r="D8" s="352"/>
      <c r="E8" s="347" t="s">
        <v>1407</v>
      </c>
      <c r="F8" s="348">
        <f ca="1">INDIRECT("'数据-取费表'!ai"&amp;$G$1)</f>
        <v>0</v>
      </c>
      <c r="G8" s="1854"/>
      <c r="H8" s="349"/>
      <c r="I8" s="3156"/>
      <c r="J8" s="351"/>
      <c r="K8" s="352"/>
      <c r="L8" s="347" t="s">
        <v>1407</v>
      </c>
      <c r="M8" s="348">
        <f ca="1">INDIRECT("'数据-取费表'!ai"&amp;$G$1)</f>
        <v>0</v>
      </c>
    </row>
    <row r="9" spans="1:37" ht="18" customHeight="1">
      <c r="A9" s="349"/>
      <c r="B9" s="3157"/>
      <c r="C9" s="351"/>
      <c r="D9" s="352"/>
      <c r="E9" s="347" t="s">
        <v>1408</v>
      </c>
      <c r="F9" s="357">
        <f ca="1">INDIRECT("'数据-取费表'!w"&amp;$G$1)</f>
        <v>0</v>
      </c>
      <c r="G9" s="1854"/>
      <c r="H9" s="349"/>
      <c r="I9" s="315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1600</v>
      </c>
      <c r="C11" s="1181"/>
      <c r="D11" s="352"/>
      <c r="E11" s="358" t="s">
        <v>1411</v>
      </c>
      <c r="F11" s="359">
        <f ca="1">'数据-取费表'!B39</f>
        <v>1.4999999999999999E-2</v>
      </c>
      <c r="G11" s="1854"/>
      <c r="H11" s="1302"/>
      <c r="I11" s="1828" t="s">
        <v>1601</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24</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1602</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1546</v>
      </c>
      <c r="J53" s="1909" t="b">
        <f>IF(M47="住宅",J51,IF(D1="——",MIN(J51,L48),IF(D1="在建（套用方法）",MIN(J51,L48-'数据-取费表'!B24),IF(D1="土地（套用方法）",MIN(J51,L48-'数据-取费表'!B20)))))</f>
        <v>0</v>
      </c>
      <c r="K53" s="3153" t="s">
        <v>1547</v>
      </c>
      <c r="L53" s="3154"/>
      <c r="O53" s="1887" t="s">
        <v>1046</v>
      </c>
      <c r="P53" s="1888" t="s">
        <v>1548</v>
      </c>
      <c r="Q53" s="1889" t="e">
        <f ca="1">Q47+Q48</f>
        <v>#DIV/0!</v>
      </c>
      <c r="R53" s="1889" t="s">
        <v>1047</v>
      </c>
    </row>
    <row r="54" spans="1:18" s="1845" customFormat="1" ht="13.5" thickBot="1">
      <c r="A54" s="1197"/>
      <c r="B54" s="1944" t="s">
        <v>1601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1552</v>
      </c>
      <c r="J56" s="1920"/>
      <c r="K56" s="1890" t="s">
        <v>1553</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1554</v>
      </c>
      <c r="J57" s="1926">
        <f ca="1">IF(OR(M47="住宅",J51&lt;L48,J56="是"),"——",J51-L48)</f>
        <v>0</v>
      </c>
      <c r="K57" s="1890" t="s">
        <v>1603</v>
      </c>
      <c r="L57" s="1893">
        <f ca="1">IF(L48&lt;J51,"——",IF(L55="比较法",L49,IF(L55="基准地价",L50,L51)))</f>
        <v>0</v>
      </c>
      <c r="O57" s="1887" t="s">
        <v>1041</v>
      </c>
      <c r="P57" s="1888" t="s">
        <v>1604</v>
      </c>
      <c r="Q57" s="1889" t="e">
        <f ca="1">L60</f>
        <v>#DIV/0!</v>
      </c>
      <c r="R57" s="1889" t="s">
        <v>1605</v>
      </c>
    </row>
    <row r="58" spans="1:18" s="1845" customFormat="1" ht="24.75" thickBot="1">
      <c r="A58" s="360" t="s">
        <v>1030</v>
      </c>
      <c r="B58" s="1180" t="s">
        <v>1423</v>
      </c>
      <c r="C58" s="361">
        <f ca="1">ROUND(C59+C64+C65+C66,0)</f>
        <v>0</v>
      </c>
      <c r="D58" s="1182" t="s">
        <v>1424</v>
      </c>
      <c r="E58" s="1183"/>
      <c r="F58" s="1184"/>
      <c r="I58" s="1925" t="s">
        <v>1558</v>
      </c>
      <c r="J58" s="1927" t="e">
        <f ca="1">IF(J55&lt;0.4,0.4,J55)</f>
        <v>#DIV/0!</v>
      </c>
      <c r="K58" s="1903" t="s">
        <v>1606</v>
      </c>
      <c r="L58" s="1893" t="e">
        <f ca="1">ROUND(POWER(1+L52,L47-L48)*(POWER(1+L52,L48)-1)/(POWER(1+L52,L47)-1),4)</f>
        <v>#DIV/0!</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1561</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1562</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1563</v>
      </c>
      <c r="J60" s="1929" t="e">
        <f ca="1">IF(OR(M47="住宅",J51&lt;L48,J56="是"),"0",ROUND(J59/(1+J52)^J53,0))</f>
        <v>#DIV/0!</v>
      </c>
      <c r="K60" s="1930" t="s">
        <v>1564</v>
      </c>
      <c r="L60" s="1929" t="e">
        <f ca="1">IF(OR(M47="住宅",L48&lt;J51),0,ROUND(L57*(L58/L59-1),0))</f>
        <v>#DIV/0!</v>
      </c>
      <c r="O60" s="1897" t="s">
        <v>1044</v>
      </c>
      <c r="P60" s="1888" t="s">
        <v>1565</v>
      </c>
      <c r="Q60" s="1889" t="e">
        <f ca="1">L58</f>
        <v>#DIV/0!</v>
      </c>
      <c r="R60" s="1889" t="s">
        <v>1566</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1567</v>
      </c>
    </row>
    <row r="62" spans="1:18" s="1845" customFormat="1" ht="13.5" thickBot="1">
      <c r="A62" s="1204" t="s">
        <v>1494</v>
      </c>
      <c r="B62" s="1171" t="s">
        <v>1495</v>
      </c>
      <c r="C62" s="25">
        <f ca="1">IF(项目基本情况!B11="自然人","——",ROUND(F62*F63,0))</f>
        <v>0</v>
      </c>
      <c r="D62" s="1187" t="s">
        <v>1496</v>
      </c>
      <c r="E62" s="1172" t="s">
        <v>1497</v>
      </c>
      <c r="F62" s="371">
        <f t="shared" si="0"/>
        <v>24</v>
      </c>
      <c r="I62" s="1932" t="s">
        <v>1568</v>
      </c>
      <c r="J62" s="1933" t="s">
        <v>1569</v>
      </c>
      <c r="K62" s="1933" t="s">
        <v>1570</v>
      </c>
      <c r="L62" s="1933" t="s">
        <v>1571</v>
      </c>
      <c r="M62" s="1934" t="s">
        <v>1572</v>
      </c>
      <c r="O62" s="1887" t="s">
        <v>1046</v>
      </c>
      <c r="P62" s="1888" t="s">
        <v>1573</v>
      </c>
      <c r="Q62" s="1889" t="e">
        <f ca="1">Q56+Q57</f>
        <v>#DIV/0!</v>
      </c>
      <c r="R62" s="1889" t="s">
        <v>1047</v>
      </c>
    </row>
    <row r="63" spans="1:18" s="1845" customFormat="1" ht="13.5" thickBot="1">
      <c r="A63" s="372"/>
      <c r="B63" s="1178"/>
      <c r="C63" s="29"/>
      <c r="D63" s="1188"/>
      <c r="E63" s="1172" t="s">
        <v>1498</v>
      </c>
      <c r="F63" s="348">
        <f t="shared" ca="1" si="0"/>
        <v>0</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1577</v>
      </c>
      <c r="J65" s="1933">
        <v>40</v>
      </c>
      <c r="K65" s="1933">
        <v>30</v>
      </c>
      <c r="L65" s="1933">
        <v>50</v>
      </c>
      <c r="M65" s="1935">
        <v>0.02</v>
      </c>
      <c r="O65" s="1887" t="s">
        <v>1040</v>
      </c>
      <c r="P65" s="1888" t="s">
        <v>1578</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1556</v>
      </c>
      <c r="Q66" s="1889" t="e">
        <f ca="1">L60</f>
        <v>#DIV/0!</v>
      </c>
      <c r="R66" s="1889" t="s">
        <v>1579</v>
      </c>
    </row>
    <row r="67" spans="1:18" s="1845" customFormat="1" ht="16.5" thickBot="1">
      <c r="A67" s="1179" t="s">
        <v>1031</v>
      </c>
      <c r="B67" s="1189" t="s">
        <v>1462</v>
      </c>
      <c r="C67" s="361">
        <f ca="1">C48-C58</f>
        <v>0</v>
      </c>
      <c r="D67" s="1185" t="s">
        <v>1463</v>
      </c>
      <c r="E67" s="1190"/>
      <c r="F67" s="1191"/>
      <c r="O67" s="1897" t="s">
        <v>1042</v>
      </c>
      <c r="P67" s="1888" t="s">
        <v>1560</v>
      </c>
      <c r="Q67" s="1936">
        <f ca="1">L51</f>
        <v>0</v>
      </c>
      <c r="R67" s="1889" t="s">
        <v>1580</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1581</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1582</v>
      </c>
      <c r="Q69" s="1889">
        <f ca="1">C39</f>
        <v>0</v>
      </c>
      <c r="R69" s="1889" t="s">
        <v>1528</v>
      </c>
    </row>
    <row r="70" spans="1:18" s="1845" customFormat="1" ht="13.5" thickBot="1">
      <c r="A70" s="1176"/>
      <c r="B70" s="1177"/>
      <c r="C70" s="355"/>
      <c r="D70" s="1188"/>
      <c r="E70" s="1172" t="s">
        <v>1476</v>
      </c>
      <c r="F70" s="1278">
        <f ca="1">F42</f>
        <v>0</v>
      </c>
      <c r="O70" s="1897" t="s">
        <v>1049</v>
      </c>
      <c r="P70" s="1937" t="s">
        <v>1583</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1584</v>
      </c>
      <c r="Q71" s="1900">
        <f ca="1">C76</f>
        <v>0</v>
      </c>
      <c r="R71" s="1889"/>
    </row>
    <row r="72" spans="1:18" s="1845" customFormat="1" ht="13.5" thickBot="1">
      <c r="B72" s="796"/>
      <c r="C72" s="796"/>
      <c r="O72" s="1897" t="s">
        <v>1044</v>
      </c>
      <c r="P72" s="1888" t="s">
        <v>1562</v>
      </c>
      <c r="Q72" s="1900">
        <f>L52</f>
        <v>0</v>
      </c>
      <c r="R72" s="1889"/>
    </row>
    <row r="73" spans="1:18" ht="16.5" thickBot="1">
      <c r="A73" s="1845"/>
      <c r="B73" s="796"/>
      <c r="C73" s="796"/>
      <c r="D73" s="1845"/>
      <c r="E73" s="1845"/>
      <c r="F73" s="1845"/>
      <c r="O73" s="1897" t="s">
        <v>1045</v>
      </c>
      <c r="P73" s="1888" t="s">
        <v>1565</v>
      </c>
      <c r="Q73" s="1889" t="e">
        <f ca="1">L58</f>
        <v>#DIV/0!</v>
      </c>
      <c r="R73" s="1889" t="s">
        <v>1566</v>
      </c>
    </row>
    <row r="74" spans="1:18" ht="13.5" thickBot="1">
      <c r="A74" s="1845"/>
      <c r="B74" s="317" t="s">
        <v>1585</v>
      </c>
      <c r="C74" s="1939"/>
      <c r="D74" s="1845"/>
      <c r="E74" s="1845"/>
      <c r="F74" s="1845"/>
      <c r="O74" s="1897" t="s">
        <v>1052</v>
      </c>
      <c r="P74" s="1888" t="str">
        <f>K59</f>
        <v>建设期及建筑物耐用年限下的土地年期修正系数Kn</v>
      </c>
      <c r="Q74" s="1889" t="e">
        <f ca="1">L59</f>
        <v>#DIV/0!</v>
      </c>
      <c r="R74" s="1889" t="s">
        <v>1567</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2524</v>
      </c>
      <c r="B1" s="2563"/>
      <c r="C1" s="2563"/>
      <c r="D1" s="2563"/>
      <c r="E1" s="2564"/>
    </row>
    <row r="2" spans="1:6" ht="15.75">
      <c r="A2" s="2565" t="s">
        <v>2325</v>
      </c>
      <c r="B2" s="2566">
        <f ca="1">SUMIF(B6:B13,"&lt;&gt;#ref!",B6:B13)</f>
        <v>2375</v>
      </c>
      <c r="C2" s="2567" t="s">
        <v>2517</v>
      </c>
      <c r="D2" s="2568" t="s">
        <v>2518</v>
      </c>
      <c r="E2" s="2569">
        <f>SUM(E6:E13)</f>
        <v>606.5</v>
      </c>
    </row>
    <row r="3" spans="1:6" ht="15.75">
      <c r="A3" s="2565" t="s">
        <v>1395</v>
      </c>
      <c r="B3" s="2566">
        <f ca="1">ROUND(B2*10000/E2,0)</f>
        <v>39159</v>
      </c>
      <c r="C3" s="2567" t="s">
        <v>2525</v>
      </c>
      <c r="D3" s="2570"/>
      <c r="E3" s="2571"/>
    </row>
    <row r="4" spans="1:6" ht="15.75">
      <c r="A4" s="2572"/>
      <c r="B4" s="2570"/>
      <c r="C4" s="2570"/>
      <c r="D4" s="2570"/>
      <c r="E4" s="2571"/>
    </row>
    <row r="5" spans="1:6" ht="15">
      <c r="A5" s="2573" t="s">
        <v>2519</v>
      </c>
      <c r="B5" s="3158" t="s">
        <v>2520</v>
      </c>
      <c r="C5" s="3158"/>
      <c r="D5" s="2574"/>
      <c r="E5" s="2575" t="s">
        <v>2521</v>
      </c>
      <c r="F5" s="2576" t="s">
        <v>2522</v>
      </c>
    </row>
    <row r="6" spans="1:6">
      <c r="A6" s="2577" t="str">
        <f>'数据-取费表'!AN6</f>
        <v>收益法</v>
      </c>
      <c r="B6" s="2576">
        <f ca="1">IF(F6="是",'数据-取费表'!AO6,0)</f>
        <v>2375</v>
      </c>
      <c r="C6" s="2567" t="s">
        <v>2517</v>
      </c>
      <c r="D6" s="2570"/>
      <c r="E6" s="2578">
        <f>IF(OR(A6=0,F6="否"),0,'数据-取费表'!K6+'数据-取费表'!S6)</f>
        <v>606.5</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t="e">
        <f ca="1">IF(F8="是",'数据-取费表'!AO8,0)</f>
        <v>#REF!</v>
      </c>
      <c r="C8" s="2567" t="s">
        <v>2517</v>
      </c>
      <c r="D8" s="2570"/>
      <c r="E8" s="2578">
        <f>IF(OR(A8=0,F8="否"),0,'数据-取费表'!K8+'数据-取费表'!S8)</f>
        <v>0</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9" t="s">
        <v>1076</v>
      </c>
      <c r="B1" s="3160"/>
      <c r="C1" s="3161"/>
      <c r="D1" s="3162">
        <f>SUM(I10,I15,I20,I21,I23)</f>
        <v>0</v>
      </c>
      <c r="E1" s="3162"/>
      <c r="F1" s="3162"/>
      <c r="G1" s="3162"/>
      <c r="H1" s="3162"/>
      <c r="I1" s="3163"/>
    </row>
    <row r="2" spans="1:9">
      <c r="A2" s="3164" t="s">
        <v>1077</v>
      </c>
      <c r="B2" s="3165" t="s">
        <v>1078</v>
      </c>
      <c r="C2" s="3165"/>
      <c r="D2" s="1304" t="s">
        <v>1079</v>
      </c>
      <c r="E2" s="1304" t="s">
        <v>1080</v>
      </c>
      <c r="F2" s="1304" t="s">
        <v>1081</v>
      </c>
      <c r="G2" s="1304" t="s">
        <v>1082</v>
      </c>
      <c r="H2" s="1304" t="s">
        <v>1083</v>
      </c>
      <c r="I2" s="1305" t="s">
        <v>1084</v>
      </c>
    </row>
    <row r="3" spans="1:9">
      <c r="A3" s="3164"/>
      <c r="B3" s="3165" t="s">
        <v>1085</v>
      </c>
      <c r="C3" s="3165"/>
      <c r="D3" s="1306"/>
      <c r="E3" s="1304"/>
      <c r="F3" s="1307"/>
      <c r="G3" s="1307"/>
      <c r="H3" s="1308"/>
      <c r="I3" s="1309">
        <f>ROUND(D3*E3*F3*G3*H3/10000,0)</f>
        <v>0</v>
      </c>
    </row>
    <row r="4" spans="1:9">
      <c r="A4" s="3164"/>
      <c r="B4" s="3165" t="s">
        <v>1086</v>
      </c>
      <c r="C4" s="3165"/>
      <c r="D4" s="1306"/>
      <c r="E4" s="1304"/>
      <c r="F4" s="1307"/>
      <c r="G4" s="1307"/>
      <c r="H4" s="1308"/>
      <c r="I4" s="1309">
        <f t="shared" ref="I4:I9" si="0">ROUND(D4*E4*F4*G4*H4/10000,0)</f>
        <v>0</v>
      </c>
    </row>
    <row r="5" spans="1:9">
      <c r="A5" s="3164"/>
      <c r="B5" s="3165" t="s">
        <v>1087</v>
      </c>
      <c r="C5" s="3165"/>
      <c r="D5" s="1306"/>
      <c r="E5" s="1304"/>
      <c r="F5" s="1307"/>
      <c r="G5" s="1307"/>
      <c r="H5" s="1308"/>
      <c r="I5" s="1309">
        <f t="shared" si="0"/>
        <v>0</v>
      </c>
    </row>
    <row r="6" spans="1:9">
      <c r="A6" s="3164"/>
      <c r="B6" s="3165" t="s">
        <v>1088</v>
      </c>
      <c r="C6" s="3165"/>
      <c r="D6" s="1306"/>
      <c r="E6" s="1304"/>
      <c r="F6" s="1307"/>
      <c r="G6" s="1307"/>
      <c r="H6" s="1308"/>
      <c r="I6" s="1309">
        <f t="shared" si="0"/>
        <v>0</v>
      </c>
    </row>
    <row r="7" spans="1:9">
      <c r="A7" s="3164"/>
      <c r="B7" s="3165" t="s">
        <v>1089</v>
      </c>
      <c r="C7" s="3165"/>
      <c r="D7" s="1306"/>
      <c r="E7" s="1304"/>
      <c r="F7" s="1307"/>
      <c r="G7" s="1307"/>
      <c r="H7" s="1308"/>
      <c r="I7" s="1309">
        <f t="shared" si="0"/>
        <v>0</v>
      </c>
    </row>
    <row r="8" spans="1:9">
      <c r="A8" s="3164"/>
      <c r="B8" s="3165" t="s">
        <v>1090</v>
      </c>
      <c r="C8" s="3165"/>
      <c r="D8" s="1306"/>
      <c r="E8" s="1304"/>
      <c r="F8" s="1307"/>
      <c r="G8" s="1307"/>
      <c r="H8" s="1308"/>
      <c r="I8" s="1309">
        <f t="shared" si="0"/>
        <v>0</v>
      </c>
    </row>
    <row r="9" spans="1:9">
      <c r="A9" s="3164"/>
      <c r="B9" s="3165" t="s">
        <v>1091</v>
      </c>
      <c r="C9" s="3165"/>
      <c r="D9" s="1306"/>
      <c r="E9" s="1304"/>
      <c r="F9" s="1307"/>
      <c r="G9" s="1307"/>
      <c r="H9" s="1308"/>
      <c r="I9" s="1309">
        <f t="shared" si="0"/>
        <v>0</v>
      </c>
    </row>
    <row r="10" spans="1:9">
      <c r="A10" s="3164"/>
      <c r="B10" s="3166" t="s">
        <v>1092</v>
      </c>
      <c r="C10" s="3166"/>
      <c r="D10" s="1310"/>
      <c r="E10" s="1310" t="e">
        <f>ROUND(D1*10000/D10/H9,0)</f>
        <v>#DIV/0!</v>
      </c>
      <c r="F10" s="1311"/>
      <c r="G10" s="1311"/>
      <c r="H10" s="1312"/>
      <c r="I10" s="1313">
        <f>SUM(I3:I9)</f>
        <v>0</v>
      </c>
    </row>
    <row r="11" spans="1:9" ht="14.25">
      <c r="A11" s="3164" t="s">
        <v>1093</v>
      </c>
      <c r="B11" s="3165" t="s">
        <v>1094</v>
      </c>
      <c r="C11" s="3165"/>
      <c r="D11" s="1306" t="s">
        <v>1095</v>
      </c>
      <c r="E11" s="1306" t="s">
        <v>1096</v>
      </c>
      <c r="F11" s="1307" t="s">
        <v>1097</v>
      </c>
      <c r="G11" s="1307" t="s">
        <v>1083</v>
      </c>
      <c r="H11" s="1314" t="s">
        <v>1098</v>
      </c>
      <c r="I11" s="1305" t="s">
        <v>1084</v>
      </c>
    </row>
    <row r="12" spans="1:9">
      <c r="A12" s="3164"/>
      <c r="B12" s="3165" t="s">
        <v>1099</v>
      </c>
      <c r="C12" s="3165"/>
      <c r="D12" s="1306"/>
      <c r="E12" s="1306"/>
      <c r="F12" s="1307"/>
      <c r="G12" s="1308"/>
      <c r="H12" s="1315"/>
      <c r="I12" s="1305">
        <f>ROUND(D12*E12*F12*G12/10000,0)</f>
        <v>0</v>
      </c>
    </row>
    <row r="13" spans="1:9">
      <c r="A13" s="3164"/>
      <c r="B13" s="3165" t="s">
        <v>1100</v>
      </c>
      <c r="C13" s="3165"/>
      <c r="D13" s="1306"/>
      <c r="E13" s="1306"/>
      <c r="F13" s="1307"/>
      <c r="G13" s="1308"/>
      <c r="H13" s="1315"/>
      <c r="I13" s="1305">
        <f>ROUND(D13*E13*F13*G13/10000,0)</f>
        <v>0</v>
      </c>
    </row>
    <row r="14" spans="1:9">
      <c r="A14" s="3164"/>
      <c r="B14" s="3165" t="s">
        <v>1101</v>
      </c>
      <c r="C14" s="3165"/>
      <c r="D14" s="1306"/>
      <c r="E14" s="1306"/>
      <c r="F14" s="1307"/>
      <c r="G14" s="1308"/>
      <c r="H14" s="1315"/>
      <c r="I14" s="1305">
        <f>ROUND(D14*E14*F14*G14/10000,0)</f>
        <v>0</v>
      </c>
    </row>
    <row r="15" spans="1:9">
      <c r="A15" s="3164"/>
      <c r="B15" s="3166" t="s">
        <v>1092</v>
      </c>
      <c r="C15" s="3166"/>
      <c r="D15" s="1310"/>
      <c r="E15" s="1310">
        <f>SUM(E12:E14)</f>
        <v>0</v>
      </c>
      <c r="F15" s="1311"/>
      <c r="G15" s="1308"/>
      <c r="H15" s="1315"/>
      <c r="I15" s="1316">
        <f>SUM(I12:I14)</f>
        <v>0</v>
      </c>
    </row>
    <row r="16" spans="1:9" ht="24">
      <c r="A16" s="3164" t="s">
        <v>1102</v>
      </c>
      <c r="B16" s="3165" t="s">
        <v>1103</v>
      </c>
      <c r="C16" s="3165"/>
      <c r="D16" s="1306" t="s">
        <v>1079</v>
      </c>
      <c r="E16" s="1317" t="s">
        <v>1104</v>
      </c>
      <c r="F16" s="1307" t="s">
        <v>1105</v>
      </c>
      <c r="G16" s="1308" t="s">
        <v>1083</v>
      </c>
      <c r="H16" s="1314" t="s">
        <v>1098</v>
      </c>
      <c r="I16" s="1305" t="s">
        <v>1084</v>
      </c>
    </row>
    <row r="17" spans="1:9" ht="14.25">
      <c r="A17" s="3164"/>
      <c r="B17" s="3165" t="s">
        <v>1106</v>
      </c>
      <c r="C17" s="3165"/>
      <c r="D17" s="1306"/>
      <c r="E17" s="1306"/>
      <c r="F17" s="1307"/>
      <c r="G17" s="1308"/>
      <c r="H17" s="1318"/>
      <c r="I17" s="1319">
        <f>ROUND(D17*E17*F17*G17/10000,0)</f>
        <v>0</v>
      </c>
    </row>
    <row r="18" spans="1:9" ht="14.25">
      <c r="A18" s="3164"/>
      <c r="B18" s="3165" t="s">
        <v>1107</v>
      </c>
      <c r="C18" s="3165"/>
      <c r="D18" s="1306"/>
      <c r="E18" s="1306"/>
      <c r="F18" s="1307"/>
      <c r="G18" s="1308"/>
      <c r="H18" s="1318"/>
      <c r="I18" s="1319">
        <f>ROUND(D18*E18*F18*G18/10000,0)</f>
        <v>0</v>
      </c>
    </row>
    <row r="19" spans="1:9" ht="14.25">
      <c r="A19" s="3164"/>
      <c r="B19" s="3165" t="s">
        <v>1108</v>
      </c>
      <c r="C19" s="3165"/>
      <c r="D19" s="1306"/>
      <c r="E19" s="1306"/>
      <c r="F19" s="1307"/>
      <c r="G19" s="1308"/>
      <c r="H19" s="1318"/>
      <c r="I19" s="1319">
        <f>ROUND(D19*E19*F19*G19/10000,0)</f>
        <v>0</v>
      </c>
    </row>
    <row r="20" spans="1:9">
      <c r="A20" s="3164"/>
      <c r="B20" s="3166" t="s">
        <v>1092</v>
      </c>
      <c r="C20" s="3166"/>
      <c r="D20" s="1310">
        <f>SUM(D17:D19)</f>
        <v>0</v>
      </c>
      <c r="E20" s="1310"/>
      <c r="F20" s="1311"/>
      <c r="G20" s="1308"/>
      <c r="H20" s="1315"/>
      <c r="I20" s="1316">
        <f>SUM(I17:I19)</f>
        <v>0</v>
      </c>
    </row>
    <row r="21" spans="1:9">
      <c r="A21" s="3164" t="s">
        <v>1109</v>
      </c>
      <c r="B21" s="3168"/>
      <c r="C21" s="3168"/>
      <c r="D21" s="3168"/>
      <c r="E21" s="3168"/>
      <c r="F21" s="3168"/>
      <c r="G21" s="3168"/>
      <c r="H21" s="1768">
        <v>0.1</v>
      </c>
      <c r="I21" s="1313">
        <f>ROUND(I10*H21,0)</f>
        <v>0</v>
      </c>
    </row>
    <row r="22" spans="1:9" ht="14.25">
      <c r="A22" s="3169" t="s">
        <v>1110</v>
      </c>
      <c r="B22" s="3170"/>
      <c r="C22" s="3171"/>
      <c r="D22" s="1320" t="s">
        <v>1111</v>
      </c>
      <c r="E22" s="1320" t="s">
        <v>1112</v>
      </c>
      <c r="F22" s="1321" t="s">
        <v>1113</v>
      </c>
      <c r="G22" s="1321" t="s">
        <v>1114</v>
      </c>
      <c r="H22" s="1314" t="s">
        <v>1115</v>
      </c>
      <c r="I22" s="1305" t="s">
        <v>1116</v>
      </c>
    </row>
    <row r="23" spans="1:9" ht="14.25" thickBot="1">
      <c r="A23" s="3172"/>
      <c r="B23" s="3173"/>
      <c r="C23" s="3174"/>
      <c r="D23" s="1322"/>
      <c r="E23" s="1322"/>
      <c r="F23" s="1322"/>
      <c r="G23" s="1323"/>
      <c r="H23" s="1324"/>
      <c r="I23" s="1325">
        <f>ROUND(E23*D23*F23*(1-G23)/10000,0)</f>
        <v>0</v>
      </c>
    </row>
    <row r="26" spans="1:9">
      <c r="A26" s="1326" t="s">
        <v>1117</v>
      </c>
      <c r="B26" s="1326"/>
      <c r="C26" s="1326"/>
      <c r="D26" s="1326"/>
      <c r="E26" s="3175">
        <f>C27-C30-C31-C32</f>
        <v>0</v>
      </c>
      <c r="F26" s="3175"/>
      <c r="G26" s="3175"/>
      <c r="H26" s="1740" t="s">
        <v>1340</v>
      </c>
    </row>
    <row r="27" spans="1:9">
      <c r="A27" s="1327">
        <v>1</v>
      </c>
      <c r="B27" s="1328" t="s">
        <v>1118</v>
      </c>
      <c r="C27" s="1328">
        <f>C28+C29</f>
        <v>0</v>
      </c>
      <c r="D27" s="1328"/>
      <c r="E27" s="3176"/>
      <c r="F27" s="3176"/>
      <c r="G27" s="3176"/>
    </row>
    <row r="28" spans="1:9">
      <c r="A28" s="1329" t="s">
        <v>1119</v>
      </c>
      <c r="B28" s="1328" t="s">
        <v>1120</v>
      </c>
      <c r="C28" s="1328"/>
      <c r="D28" s="1328"/>
      <c r="E28" s="3176"/>
      <c r="F28" s="3176"/>
      <c r="G28" s="317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7"/>
      <c r="F32" s="3167"/>
      <c r="G32" s="3167"/>
    </row>
    <row r="33" spans="1:7" hidden="1">
      <c r="A33" s="3177" t="s">
        <v>1129</v>
      </c>
      <c r="B33" s="3178"/>
      <c r="C33" s="3178"/>
      <c r="D33" s="3179"/>
      <c r="E33" s="3175"/>
      <c r="F33" s="3175"/>
      <c r="G33" s="3175"/>
    </row>
    <row r="34" spans="1:7" hidden="1">
      <c r="A34" s="1331">
        <v>1</v>
      </c>
      <c r="B34" s="1328" t="s">
        <v>1130</v>
      </c>
      <c r="C34" s="1328"/>
      <c r="D34" s="1328"/>
      <c r="E34" s="3176"/>
      <c r="F34" s="3176"/>
      <c r="G34" s="3176"/>
    </row>
    <row r="35" spans="1:7" hidden="1">
      <c r="A35" s="1331">
        <v>2</v>
      </c>
      <c r="B35" s="1328" t="s">
        <v>1131</v>
      </c>
      <c r="C35" s="1328"/>
      <c r="D35" s="1328"/>
      <c r="E35" s="3176"/>
      <c r="F35" s="3176"/>
      <c r="G35" s="3176"/>
    </row>
    <row r="36" spans="1:7" hidden="1">
      <c r="A36" s="1331">
        <v>3</v>
      </c>
      <c r="B36" s="1328" t="s">
        <v>1132</v>
      </c>
      <c r="C36" s="1328"/>
      <c r="D36" s="1328"/>
      <c r="E36" s="3176"/>
      <c r="F36" s="3176"/>
      <c r="G36" s="3176"/>
    </row>
    <row r="37" spans="1:7" hidden="1">
      <c r="A37" s="1331">
        <v>4</v>
      </c>
      <c r="B37" s="1328" t="s">
        <v>1133</v>
      </c>
      <c r="C37" s="1328"/>
      <c r="D37" s="1328"/>
      <c r="E37" s="3176"/>
      <c r="F37" s="3176"/>
      <c r="G37" s="3176"/>
    </row>
    <row r="38" spans="1:7" hidden="1">
      <c r="A38" s="3177" t="s">
        <v>1134</v>
      </c>
      <c r="B38" s="3178"/>
      <c r="C38" s="3178"/>
      <c r="D38" s="3179"/>
      <c r="E38" s="3175"/>
      <c r="F38" s="3175"/>
      <c r="G38" s="31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3" t="s">
        <v>2527</v>
      </c>
      <c r="C1" s="1637" t="s">
        <v>2528</v>
      </c>
      <c r="D1" s="1624"/>
      <c r="E1" s="2584"/>
      <c r="F1" s="2585" t="s">
        <v>2529</v>
      </c>
      <c r="G1" s="1634" t="s">
        <v>2530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2531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606.5</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2533</v>
      </c>
      <c r="B4" s="402"/>
      <c r="C4" s="3198" t="s">
        <v>2534</v>
      </c>
      <c r="D4" s="3199"/>
      <c r="E4" s="3200" t="s">
        <v>2535</v>
      </c>
      <c r="F4" s="3201"/>
      <c r="G4" s="3198" t="s">
        <v>2536</v>
      </c>
      <c r="H4" s="3199"/>
      <c r="I4" s="3198" t="s">
        <v>2537</v>
      </c>
      <c r="J4" s="3199"/>
      <c r="K4" s="2597" t="s">
        <v>2538</v>
      </c>
      <c r="L4" s="1133"/>
      <c r="M4" s="1134"/>
      <c r="N4" s="1134"/>
      <c r="O4" s="1134"/>
      <c r="P4" s="3202" t="s">
        <v>2539</v>
      </c>
      <c r="Q4" s="3203"/>
      <c r="R4" s="3185" t="s">
        <v>2535</v>
      </c>
      <c r="S4" s="3186"/>
      <c r="T4" s="3185" t="s">
        <v>2536</v>
      </c>
      <c r="U4" s="3186"/>
      <c r="V4" s="3210" t="s">
        <v>2537</v>
      </c>
      <c r="W4" s="3210"/>
      <c r="X4" s="1816"/>
      <c r="Y4" s="3185" t="s">
        <v>2539</v>
      </c>
      <c r="Z4" s="3186"/>
      <c r="AA4" s="3180" t="s">
        <v>2535</v>
      </c>
      <c r="AB4" s="3180" t="s">
        <v>2536</v>
      </c>
      <c r="AC4" s="3180" t="s">
        <v>2537</v>
      </c>
    </row>
    <row r="5" spans="1:29" ht="15">
      <c r="A5" s="404"/>
      <c r="B5" s="405"/>
      <c r="C5" s="3191" t="s">
        <v>2540</v>
      </c>
      <c r="D5" s="3192"/>
      <c r="E5" s="3189" t="s">
        <v>2541</v>
      </c>
      <c r="F5" s="3190"/>
      <c r="G5" s="3191" t="s">
        <v>2542</v>
      </c>
      <c r="H5" s="3192"/>
      <c r="I5" s="3191" t="s">
        <v>2543</v>
      </c>
      <c r="J5" s="3192"/>
      <c r="K5" s="2598"/>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2544</v>
      </c>
      <c r="D6" s="3194"/>
      <c r="E6" s="3195" t="s">
        <v>2544</v>
      </c>
      <c r="F6" s="3196"/>
      <c r="G6" s="3193" t="s">
        <v>2544</v>
      </c>
      <c r="H6" s="3194"/>
      <c r="I6" s="3193" t="s">
        <v>2544</v>
      </c>
      <c r="J6" s="3194"/>
      <c r="K6" s="2598" t="s">
        <v>2545</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2546</v>
      </c>
      <c r="B7" s="409"/>
      <c r="C7" s="410">
        <f>'数据-取费表'!B2</f>
        <v>43256</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83" t="s">
        <v>2547</v>
      </c>
      <c r="Q7" s="3211"/>
      <c r="R7" s="770" t="s">
        <v>23</v>
      </c>
      <c r="S7" s="771">
        <f t="shared" ref="S7:S15" si="0">F7</f>
        <v>0</v>
      </c>
      <c r="T7" s="770" t="s">
        <v>23</v>
      </c>
      <c r="U7" s="771">
        <f t="shared" ref="U7:U15" si="1">H7</f>
        <v>0</v>
      </c>
      <c r="V7" s="770" t="s">
        <v>23</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83" t="s">
        <v>2550</v>
      </c>
      <c r="Q8" s="3184"/>
      <c r="R8" s="770" t="s">
        <v>23</v>
      </c>
      <c r="S8" s="771">
        <f t="shared" si="0"/>
        <v>0</v>
      </c>
      <c r="T8" s="770" t="s">
        <v>23</v>
      </c>
      <c r="U8" s="771">
        <f t="shared" si="1"/>
        <v>0</v>
      </c>
      <c r="V8" s="770" t="s">
        <v>23</v>
      </c>
      <c r="W8" s="771">
        <f t="shared" si="2"/>
        <v>0</v>
      </c>
      <c r="X8" s="772"/>
      <c r="Y8" s="3183" t="s">
        <v>2550</v>
      </c>
      <c r="Z8" s="318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7" t="s">
        <v>2553</v>
      </c>
      <c r="Q9" s="1798"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2557</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4" t="s">
        <v>2558</v>
      </c>
      <c r="Q15" s="1813" t="str">
        <f t="shared" si="6"/>
        <v>居住社区成熟度</v>
      </c>
      <c r="R15" s="774" t="s">
        <v>21</v>
      </c>
      <c r="S15" s="775">
        <f t="shared" si="0"/>
        <v>100</v>
      </c>
      <c r="T15" s="774" t="s">
        <v>21</v>
      </c>
      <c r="U15" s="775">
        <f t="shared" si="1"/>
        <v>100</v>
      </c>
      <c r="V15" s="774" t="s">
        <v>21</v>
      </c>
      <c r="W15" s="775">
        <f t="shared" si="2"/>
        <v>100</v>
      </c>
      <c r="X15" s="1816"/>
      <c r="Y15" s="3217" t="s">
        <v>2558</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25"/>
      <c r="Q16" s="1813"/>
      <c r="R16" s="774"/>
      <c r="S16" s="775"/>
      <c r="T16" s="774"/>
      <c r="U16" s="775"/>
      <c r="V16" s="774"/>
      <c r="W16" s="775"/>
      <c r="X16" s="1816"/>
      <c r="Y16" s="3218"/>
      <c r="Z16" s="1817"/>
      <c r="AA16" s="1814">
        <v>1</v>
      </c>
      <c r="AB16" s="1814">
        <v>1</v>
      </c>
      <c r="AC16" s="1814">
        <v>1</v>
      </c>
    </row>
    <row r="17" spans="1:29" ht="99.75">
      <c r="A17" s="428"/>
      <c r="B17" s="451" t="s">
        <v>2095</v>
      </c>
      <c r="C17" s="2608" t="str">
        <f>估价对象房地状况!C6</f>
        <v>估价对象周边交通路网密集、公共交通通达情况较好、停车便捷程度一般，综合评价交通便捷度较好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5"/>
      <c r="Q17" s="1813" t="str">
        <f>B17</f>
        <v>交通便捷度</v>
      </c>
      <c r="R17" s="774" t="s">
        <v>21</v>
      </c>
      <c r="S17" s="775">
        <f>F17</f>
        <v>100</v>
      </c>
      <c r="T17" s="774" t="s">
        <v>21</v>
      </c>
      <c r="U17" s="775">
        <f>H17</f>
        <v>100</v>
      </c>
      <c r="V17" s="774" t="s">
        <v>21</v>
      </c>
      <c r="W17" s="775">
        <f>J17</f>
        <v>100</v>
      </c>
      <c r="X17" s="1816"/>
      <c r="Y17" s="3218"/>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25"/>
      <c r="Q18" s="1813"/>
      <c r="R18" s="774"/>
      <c r="S18" s="775"/>
      <c r="T18" s="774"/>
      <c r="U18" s="775"/>
      <c r="V18" s="774"/>
      <c r="W18" s="775"/>
      <c r="X18" s="1816"/>
      <c r="Y18" s="3218"/>
      <c r="Z18" s="1817"/>
      <c r="AA18" s="1814">
        <v>1</v>
      </c>
      <c r="AB18" s="1814">
        <v>1</v>
      </c>
      <c r="AC18" s="1814">
        <v>1</v>
      </c>
    </row>
    <row r="19" spans="1:29" ht="42.75">
      <c r="A19" s="428"/>
      <c r="B19" s="451" t="s">
        <v>2093</v>
      </c>
      <c r="C19" s="2608"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5"/>
      <c r="Q19" s="1813" t="str">
        <f>B19</f>
        <v>公共配套设施</v>
      </c>
      <c r="R19" s="774" t="s">
        <v>21</v>
      </c>
      <c r="S19" s="775">
        <f>F19</f>
        <v>100</v>
      </c>
      <c r="T19" s="774" t="s">
        <v>21</v>
      </c>
      <c r="U19" s="775">
        <f>H19</f>
        <v>100</v>
      </c>
      <c r="V19" s="774" t="s">
        <v>21</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25"/>
      <c r="Q20" s="1813"/>
      <c r="R20" s="774"/>
      <c r="S20" s="775"/>
      <c r="T20" s="774"/>
      <c r="U20" s="775"/>
      <c r="V20" s="774"/>
      <c r="W20" s="775"/>
      <c r="X20" s="1816"/>
      <c r="Y20" s="3218"/>
      <c r="Z20" s="1817"/>
      <c r="AA20" s="1814">
        <v>1</v>
      </c>
      <c r="AB20" s="1814">
        <v>1</v>
      </c>
      <c r="AC20" s="1814">
        <v>1</v>
      </c>
    </row>
    <row r="21" spans="1:29" ht="15">
      <c r="A21" s="428"/>
      <c r="B21" s="1387" t="s">
        <v>2096</v>
      </c>
      <c r="C21" s="2608"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25"/>
      <c r="Q22" s="1813"/>
      <c r="R22" s="774"/>
      <c r="S22" s="775"/>
      <c r="T22" s="774"/>
      <c r="U22" s="775"/>
      <c r="V22" s="774"/>
      <c r="W22" s="775"/>
      <c r="X22" s="1816"/>
      <c r="Y22" s="3218"/>
      <c r="Z22" s="1817"/>
      <c r="AA22" s="1814">
        <v>1</v>
      </c>
      <c r="AB22" s="1814">
        <v>1</v>
      </c>
      <c r="AC22" s="1814">
        <v>1</v>
      </c>
    </row>
    <row r="23" spans="1:29" ht="85.5">
      <c r="A23" s="428"/>
      <c r="B23" s="451" t="s">
        <v>2100</v>
      </c>
      <c r="C23" s="2608" t="str">
        <f>估价对象房地状况!C9</f>
        <v>区域自然环境：什刹海公园、后海公园；人文环境：北京古钱币博物馆；综合评价环境状况较好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5"/>
      <c r="Q23" s="1813" t="str">
        <f>B23</f>
        <v>自然及人文环境</v>
      </c>
      <c r="R23" s="774" t="s">
        <v>21</v>
      </c>
      <c r="S23" s="775">
        <f>F23</f>
        <v>100</v>
      </c>
      <c r="T23" s="774" t="s">
        <v>21</v>
      </c>
      <c r="U23" s="775">
        <f>H23</f>
        <v>100</v>
      </c>
      <c r="V23" s="774" t="s">
        <v>21</v>
      </c>
      <c r="W23" s="775">
        <f>J23</f>
        <v>100</v>
      </c>
      <c r="X23" s="1816"/>
      <c r="Y23" s="3218"/>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25"/>
      <c r="Q24" s="1813"/>
      <c r="R24" s="774"/>
      <c r="S24" s="775"/>
      <c r="T24" s="774"/>
      <c r="U24" s="775"/>
      <c r="V24" s="774"/>
      <c r="W24" s="775"/>
      <c r="X24" s="1816"/>
      <c r="Y24" s="3218"/>
      <c r="Z24" s="1817"/>
      <c r="AA24" s="1814">
        <v>1</v>
      </c>
      <c r="AB24" s="1814">
        <v>1</v>
      </c>
      <c r="AC24" s="1814">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8"/>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5"/>
      <c r="Q26" s="1813" t="str">
        <f t="shared" si="11"/>
        <v>朝向</v>
      </c>
      <c r="R26" s="774" t="s">
        <v>21</v>
      </c>
      <c r="S26" s="775">
        <f t="shared" si="12"/>
        <v>100</v>
      </c>
      <c r="T26" s="774" t="s">
        <v>21</v>
      </c>
      <c r="U26" s="775">
        <f t="shared" si="13"/>
        <v>100</v>
      </c>
      <c r="V26" s="774" t="s">
        <v>21</v>
      </c>
      <c r="W26" s="775">
        <f t="shared" si="14"/>
        <v>100</v>
      </c>
      <c r="X26" s="1816"/>
      <c r="Y26" s="321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5"/>
      <c r="Q27" s="1798">
        <f t="shared" si="11"/>
        <v>111</v>
      </c>
      <c r="R27" s="770" t="s">
        <v>21</v>
      </c>
      <c r="S27" s="771">
        <f t="shared" si="12"/>
        <v>100</v>
      </c>
      <c r="T27" s="770" t="s">
        <v>21</v>
      </c>
      <c r="U27" s="771">
        <f t="shared" si="13"/>
        <v>100</v>
      </c>
      <c r="V27" s="770" t="s">
        <v>21</v>
      </c>
      <c r="W27" s="771">
        <f t="shared" si="14"/>
        <v>100</v>
      </c>
      <c r="X27" s="772"/>
      <c r="Y27" s="321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5"/>
      <c r="Q28" s="1813">
        <f t="shared" si="11"/>
        <v>111</v>
      </c>
      <c r="R28" s="774" t="s">
        <v>21</v>
      </c>
      <c r="S28" s="775">
        <f t="shared" si="12"/>
        <v>100</v>
      </c>
      <c r="T28" s="774" t="s">
        <v>21</v>
      </c>
      <c r="U28" s="775">
        <f t="shared" si="13"/>
        <v>100</v>
      </c>
      <c r="V28" s="774" t="s">
        <v>21</v>
      </c>
      <c r="W28" s="775">
        <f t="shared" si="14"/>
        <v>100</v>
      </c>
      <c r="X28" s="1816"/>
      <c r="Y28" s="321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5"/>
      <c r="Q29" s="1813">
        <f t="shared" si="11"/>
        <v>111</v>
      </c>
      <c r="R29" s="774" t="s">
        <v>21</v>
      </c>
      <c r="S29" s="775">
        <f t="shared" si="12"/>
        <v>100</v>
      </c>
      <c r="T29" s="774" t="s">
        <v>21</v>
      </c>
      <c r="U29" s="775">
        <f t="shared" si="13"/>
        <v>100</v>
      </c>
      <c r="V29" s="774" t="s">
        <v>21</v>
      </c>
      <c r="W29" s="775">
        <f t="shared" si="14"/>
        <v>100</v>
      </c>
      <c r="X29" s="1816"/>
      <c r="Y29" s="321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5"/>
      <c r="Q30" s="1813">
        <f t="shared" si="11"/>
        <v>111</v>
      </c>
      <c r="R30" s="774" t="s">
        <v>21</v>
      </c>
      <c r="S30" s="775">
        <f t="shared" si="12"/>
        <v>100</v>
      </c>
      <c r="T30" s="774" t="s">
        <v>21</v>
      </c>
      <c r="U30" s="775">
        <f t="shared" si="13"/>
        <v>100</v>
      </c>
      <c r="V30" s="774" t="s">
        <v>21</v>
      </c>
      <c r="W30" s="775">
        <f t="shared" si="14"/>
        <v>100</v>
      </c>
      <c r="X30" s="1816"/>
      <c r="Y30" s="321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5"/>
      <c r="Q31" s="1813">
        <f t="shared" si="11"/>
        <v>111</v>
      </c>
      <c r="R31" s="774" t="s">
        <v>21</v>
      </c>
      <c r="S31" s="775">
        <f t="shared" si="12"/>
        <v>100</v>
      </c>
      <c r="T31" s="774" t="s">
        <v>21</v>
      </c>
      <c r="U31" s="775">
        <f t="shared" si="13"/>
        <v>100</v>
      </c>
      <c r="V31" s="774" t="s">
        <v>21</v>
      </c>
      <c r="W31" s="775">
        <f t="shared" si="14"/>
        <v>100</v>
      </c>
      <c r="X31" s="1816"/>
      <c r="Y31" s="3218"/>
      <c r="Z31" s="1817">
        <f t="shared" si="18"/>
        <v>111</v>
      </c>
      <c r="AA31" s="1814">
        <f t="shared" si="15"/>
        <v>1</v>
      </c>
      <c r="AB31" s="1814">
        <f t="shared" si="16"/>
        <v>1</v>
      </c>
      <c r="AC31" s="1814">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9" t="s">
        <v>2563</v>
      </c>
      <c r="Q32" s="1813" t="str">
        <f t="shared" si="11"/>
        <v>建筑类型</v>
      </c>
      <c r="R32" s="774" t="s">
        <v>21</v>
      </c>
      <c r="S32" s="775">
        <f t="shared" si="12"/>
        <v>100</v>
      </c>
      <c r="T32" s="774" t="s">
        <v>21</v>
      </c>
      <c r="U32" s="775">
        <f t="shared" si="13"/>
        <v>100</v>
      </c>
      <c r="V32" s="774" t="s">
        <v>21</v>
      </c>
      <c r="W32" s="775">
        <f t="shared" si="14"/>
        <v>100</v>
      </c>
      <c r="X32" s="1816"/>
      <c r="Y32" s="3222"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4" t="e">
        <f t="shared" si="15"/>
        <v>#N/A</v>
      </c>
      <c r="AB33" s="1814" t="e">
        <f t="shared" si="16"/>
        <v>#N/A</v>
      </c>
      <c r="AC33" s="1814"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20"/>
      <c r="Q34" s="1813" t="str">
        <f t="shared" si="11"/>
        <v>建筑结构</v>
      </c>
      <c r="R34" s="774" t="s">
        <v>21</v>
      </c>
      <c r="S34" s="775">
        <f t="shared" si="12"/>
        <v>100</v>
      </c>
      <c r="T34" s="774" t="s">
        <v>21</v>
      </c>
      <c r="U34" s="775">
        <f t="shared" si="13"/>
        <v>100</v>
      </c>
      <c r="V34" s="774" t="s">
        <v>21</v>
      </c>
      <c r="W34" s="775">
        <f t="shared" si="14"/>
        <v>100</v>
      </c>
      <c r="X34" s="1816"/>
      <c r="Y34" s="3222"/>
      <c r="Z34" s="1817" t="str">
        <f t="shared" si="18"/>
        <v>建筑结构</v>
      </c>
      <c r="AA34" s="1814">
        <f t="shared" si="15"/>
        <v>1</v>
      </c>
      <c r="AB34" s="1814">
        <f t="shared" si="16"/>
        <v>1</v>
      </c>
      <c r="AC34" s="1814">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20"/>
      <c r="Q35" s="1813" t="str">
        <f t="shared" si="11"/>
        <v>建筑品质</v>
      </c>
      <c r="R35" s="774" t="s">
        <v>21</v>
      </c>
      <c r="S35" s="775">
        <f t="shared" si="12"/>
        <v>100</v>
      </c>
      <c r="T35" s="774" t="s">
        <v>21</v>
      </c>
      <c r="U35" s="775">
        <f t="shared" si="13"/>
        <v>100</v>
      </c>
      <c r="V35" s="774" t="s">
        <v>21</v>
      </c>
      <c r="W35" s="775">
        <f t="shared" si="14"/>
        <v>100</v>
      </c>
      <c r="X35" s="1816"/>
      <c r="Y35" s="3222"/>
      <c r="Z35" s="1817" t="str">
        <f t="shared" si="18"/>
        <v>建筑品质</v>
      </c>
      <c r="AA35" s="1814">
        <f t="shared" si="15"/>
        <v>1</v>
      </c>
      <c r="AB35" s="1814">
        <f t="shared" si="16"/>
        <v>1</v>
      </c>
      <c r="AC35" s="1814">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20"/>
      <c r="Q36" s="1813" t="str">
        <f t="shared" si="11"/>
        <v>公共部分装修</v>
      </c>
      <c r="R36" s="774" t="s">
        <v>21</v>
      </c>
      <c r="S36" s="775">
        <f t="shared" si="12"/>
        <v>100</v>
      </c>
      <c r="T36" s="774" t="s">
        <v>21</v>
      </c>
      <c r="U36" s="775">
        <f t="shared" si="13"/>
        <v>100</v>
      </c>
      <c r="V36" s="774" t="s">
        <v>21</v>
      </c>
      <c r="W36" s="775">
        <f t="shared" si="14"/>
        <v>100</v>
      </c>
      <c r="X36" s="1816"/>
      <c r="Y36" s="3222"/>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8"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20" t="s">
        <v>2563</v>
      </c>
      <c r="Q38" s="1813" t="str">
        <f t="shared" si="11"/>
        <v>物业管理</v>
      </c>
      <c r="R38" s="774" t="s">
        <v>21</v>
      </c>
      <c r="S38" s="775">
        <f t="shared" si="12"/>
        <v>100</v>
      </c>
      <c r="T38" s="774" t="s">
        <v>21</v>
      </c>
      <c r="U38" s="775">
        <f t="shared" si="13"/>
        <v>100</v>
      </c>
      <c r="V38" s="774" t="s">
        <v>21</v>
      </c>
      <c r="W38" s="775">
        <f t="shared" si="14"/>
        <v>100</v>
      </c>
      <c r="X38" s="1816"/>
      <c r="Y38" s="3222" t="s">
        <v>2563</v>
      </c>
      <c r="Z38" s="1817" t="str">
        <f t="shared" si="18"/>
        <v>物业管理</v>
      </c>
      <c r="AA38" s="1814">
        <f t="shared" si="15"/>
        <v>1</v>
      </c>
      <c r="AB38" s="1814">
        <f t="shared" si="16"/>
        <v>1</v>
      </c>
      <c r="AC38" s="1814">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20"/>
      <c r="Q39" s="1813" t="str">
        <f t="shared" si="11"/>
        <v>市政基础设施</v>
      </c>
      <c r="R39" s="774" t="s">
        <v>21</v>
      </c>
      <c r="S39" s="775">
        <f t="shared" si="12"/>
        <v>100</v>
      </c>
      <c r="T39" s="774" t="s">
        <v>21</v>
      </c>
      <c r="U39" s="775">
        <f t="shared" si="13"/>
        <v>100</v>
      </c>
      <c r="V39" s="774" t="s">
        <v>21</v>
      </c>
      <c r="W39" s="775">
        <f t="shared" si="14"/>
        <v>100</v>
      </c>
      <c r="X39" s="1816"/>
      <c r="Y39" s="3222"/>
      <c r="Z39" s="1817" t="str">
        <f t="shared" si="18"/>
        <v>市政基础设施</v>
      </c>
      <c r="AA39" s="1814">
        <f t="shared" si="15"/>
        <v>1</v>
      </c>
      <c r="AB39" s="1814">
        <f t="shared" si="16"/>
        <v>1</v>
      </c>
      <c r="AC39" s="1814">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20"/>
      <c r="Q40" s="1813" t="str">
        <f t="shared" si="11"/>
        <v>房型</v>
      </c>
      <c r="R40" s="774" t="s">
        <v>21</v>
      </c>
      <c r="S40" s="775">
        <f t="shared" si="12"/>
        <v>100</v>
      </c>
      <c r="T40" s="774" t="s">
        <v>21</v>
      </c>
      <c r="U40" s="775">
        <f t="shared" si="13"/>
        <v>100</v>
      </c>
      <c r="V40" s="774" t="s">
        <v>21</v>
      </c>
      <c r="W40" s="775">
        <f t="shared" si="14"/>
        <v>100</v>
      </c>
      <c r="X40" s="1816"/>
      <c r="Y40" s="322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4">
        <f t="shared" si="15"/>
        <v>1</v>
      </c>
      <c r="AB41" s="1814">
        <f t="shared" si="16"/>
        <v>1</v>
      </c>
      <c r="AC41" s="1814">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20"/>
      <c r="Q42" s="1813" t="str">
        <f t="shared" si="11"/>
        <v>内部装修</v>
      </c>
      <c r="R42" s="774" t="s">
        <v>21</v>
      </c>
      <c r="S42" s="775">
        <f t="shared" si="12"/>
        <v>100</v>
      </c>
      <c r="T42" s="774" t="s">
        <v>21</v>
      </c>
      <c r="U42" s="775">
        <f t="shared" si="13"/>
        <v>100</v>
      </c>
      <c r="V42" s="774" t="s">
        <v>21</v>
      </c>
      <c r="W42" s="775">
        <f t="shared" si="14"/>
        <v>100</v>
      </c>
      <c r="X42" s="1816"/>
      <c r="Y42" s="3222"/>
      <c r="Z42" s="1817" t="str">
        <f t="shared" si="18"/>
        <v>内部装修</v>
      </c>
      <c r="AA42" s="1814">
        <f t="shared" si="15"/>
        <v>1</v>
      </c>
      <c r="AB42" s="1814">
        <f t="shared" si="16"/>
        <v>1</v>
      </c>
      <c r="AC42" s="1814">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20"/>
      <c r="Q43" s="1813" t="str">
        <f t="shared" si="11"/>
        <v>内部装修维护情况</v>
      </c>
      <c r="R43" s="774" t="s">
        <v>21</v>
      </c>
      <c r="S43" s="775">
        <f t="shared" si="12"/>
        <v>100</v>
      </c>
      <c r="T43" s="774" t="s">
        <v>21</v>
      </c>
      <c r="U43" s="775">
        <f t="shared" si="13"/>
        <v>100</v>
      </c>
      <c r="V43" s="774" t="s">
        <v>21</v>
      </c>
      <c r="W43" s="775">
        <f t="shared" si="14"/>
        <v>100</v>
      </c>
      <c r="X43" s="1816"/>
      <c r="Y43" s="322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20"/>
      <c r="Q44" s="1798">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20"/>
      <c r="Q45" s="1813">
        <f t="shared" si="11"/>
        <v>111</v>
      </c>
      <c r="R45" s="774" t="s">
        <v>21</v>
      </c>
      <c r="S45" s="775">
        <f t="shared" si="12"/>
        <v>100</v>
      </c>
      <c r="T45" s="774" t="s">
        <v>21</v>
      </c>
      <c r="U45" s="775">
        <f t="shared" si="13"/>
        <v>100</v>
      </c>
      <c r="V45" s="774" t="s">
        <v>21</v>
      </c>
      <c r="W45" s="775">
        <f t="shared" si="14"/>
        <v>100</v>
      </c>
      <c r="X45" s="1816"/>
      <c r="Y45" s="3222"/>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1"/>
      <c r="Q46" s="1813">
        <f t="shared" si="11"/>
        <v>111</v>
      </c>
      <c r="R46" s="774" t="s">
        <v>20</v>
      </c>
      <c r="S46" s="775">
        <f t="shared" si="12"/>
        <v>100</v>
      </c>
      <c r="T46" s="774" t="s">
        <v>20</v>
      </c>
      <c r="U46" s="775">
        <f t="shared" si="13"/>
        <v>100</v>
      </c>
      <c r="V46" s="774" t="s">
        <v>20</v>
      </c>
      <c r="W46" s="775">
        <f t="shared" si="14"/>
        <v>100</v>
      </c>
      <c r="X46" s="1816"/>
      <c r="Y46" s="3223"/>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2"/>
      <c r="L47" s="1146"/>
      <c r="M47" s="1147"/>
      <c r="N47" s="1134"/>
      <c r="O47" s="1147"/>
      <c r="P47" s="3215" t="str">
        <f>A47</f>
        <v>成交单价（元/平方米）</v>
      </c>
      <c r="Q47" s="3215"/>
      <c r="R47" s="3216">
        <f>E47</f>
        <v>0</v>
      </c>
      <c r="S47" s="3216"/>
      <c r="T47" s="3216">
        <f>G47</f>
        <v>0</v>
      </c>
      <c r="U47" s="3216"/>
      <c r="V47" s="3216">
        <f>I47</f>
        <v>0</v>
      </c>
      <c r="W47" s="3216"/>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3"/>
      <c r="L48" s="1146"/>
      <c r="M48" s="1147"/>
      <c r="N48" s="1147"/>
      <c r="O48" s="1147"/>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4"/>
      <c r="L49" s="1146"/>
      <c r="M49" s="1147"/>
      <c r="N49" s="1147"/>
      <c r="O49" s="1147"/>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7"/>
      <c r="Q57" s="504"/>
    </row>
    <row r="58" spans="1:29" s="508" customFormat="1" ht="15">
      <c r="A58" s="505" t="s">
        <v>2582</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2586</v>
      </c>
      <c r="B63" s="528" t="s">
        <v>2552</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2608</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2609</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2561</v>
      </c>
      <c r="B100" s="528" t="s">
        <v>2610</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2612</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2613</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2614</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2615</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2616</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2617</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7">
        <v>6</v>
      </c>
      <c r="C139" s="1088">
        <v>96</v>
      </c>
      <c r="D139" s="2649" t="s">
        <v>2629</v>
      </c>
      <c r="E139" s="1089">
        <v>100</v>
      </c>
      <c r="F139" s="1090">
        <v>102.5</v>
      </c>
      <c r="G139" s="2649" t="s">
        <v>2629</v>
      </c>
      <c r="H139" s="1091">
        <v>105</v>
      </c>
      <c r="I139" s="2650" t="s">
        <v>2630</v>
      </c>
      <c r="J139" s="1088">
        <v>20</v>
      </c>
      <c r="K139" s="1092">
        <f>C145/(J139-2)</f>
        <v>4.0555555555555553E-3</v>
      </c>
    </row>
    <row r="140" spans="1:17" ht="15">
      <c r="B140" s="1093">
        <v>5</v>
      </c>
      <c r="C140" s="1094">
        <v>100</v>
      </c>
      <c r="D140" s="1094"/>
      <c r="E140" s="1095"/>
      <c r="F140" s="1096">
        <v>102</v>
      </c>
      <c r="G140" s="1094"/>
      <c r="H140" s="1097"/>
      <c r="I140" s="2651" t="s">
        <v>2631</v>
      </c>
      <c r="J140" s="315">
        <f>ROUNDUP((J139-1)/2,0)</f>
        <v>10</v>
      </c>
      <c r="K140" s="1098">
        <v>100</v>
      </c>
    </row>
    <row r="141" spans="1:17" ht="15">
      <c r="B141" s="1093">
        <v>4</v>
      </c>
      <c r="C141" s="1094">
        <v>102</v>
      </c>
      <c r="D141" s="1094"/>
      <c r="E141" s="1095"/>
      <c r="F141" s="1096">
        <v>101.5</v>
      </c>
      <c r="G141" s="1094"/>
      <c r="H141" s="1097"/>
      <c r="I141" s="2651" t="s">
        <v>2632</v>
      </c>
      <c r="J141" s="315">
        <v>1</v>
      </c>
      <c r="K141" s="1099">
        <f>ROUND(100+(J141-J140)*K139*100,1)</f>
        <v>96.4</v>
      </c>
    </row>
    <row r="142" spans="1:17" ht="15">
      <c r="B142" s="1093">
        <v>3</v>
      </c>
      <c r="C142" s="1094">
        <v>103</v>
      </c>
      <c r="D142" s="1094"/>
      <c r="E142" s="1095"/>
      <c r="F142" s="1096">
        <v>101</v>
      </c>
      <c r="G142" s="1094"/>
      <c r="H142" s="1097"/>
      <c r="I142" s="2651" t="s">
        <v>2633</v>
      </c>
      <c r="J142" s="315">
        <f>J139</f>
        <v>20</v>
      </c>
      <c r="K142" s="1100">
        <v>95</v>
      </c>
    </row>
    <row r="143" spans="1:17" ht="15">
      <c r="B143" s="1093">
        <v>2</v>
      </c>
      <c r="C143" s="1094">
        <v>100</v>
      </c>
      <c r="D143" s="1094"/>
      <c r="E143" s="1095"/>
      <c r="F143" s="1096">
        <v>100.5</v>
      </c>
      <c r="G143" s="1094"/>
      <c r="H143" s="1097"/>
      <c r="I143" s="2651" t="s">
        <v>2634</v>
      </c>
      <c r="J143" s="1094">
        <v>15</v>
      </c>
      <c r="K143" s="1099">
        <f>ROUND(100+(J143-J140)*K139*100,1)</f>
        <v>102</v>
      </c>
    </row>
    <row r="144" spans="1:17" ht="15">
      <c r="B144" s="1093">
        <v>1</v>
      </c>
      <c r="C144" s="1094">
        <v>98</v>
      </c>
      <c r="D144" s="2652" t="s">
        <v>2635</v>
      </c>
      <c r="E144" s="1095">
        <v>102</v>
      </c>
      <c r="F144" s="1101">
        <v>100</v>
      </c>
      <c r="G144" s="2652" t="s">
        <v>2635</v>
      </c>
      <c r="H144" s="1097">
        <v>105</v>
      </c>
      <c r="I144" s="2651" t="s">
        <v>2634</v>
      </c>
      <c r="J144" s="1094">
        <v>18</v>
      </c>
      <c r="K144" s="1099">
        <f>ROUND(100+(J144-J140)*K139*100,1)</f>
        <v>103.2</v>
      </c>
    </row>
    <row r="145" spans="2:11" ht="15.75" thickBot="1">
      <c r="B145" s="2653" t="s">
        <v>2636</v>
      </c>
      <c r="C145" s="1102">
        <f>ROUND(MAX(C139:C144)/MIN(C139:C144)-1,3)</f>
        <v>7.2999999999999995E-2</v>
      </c>
      <c r="D145" s="1103"/>
      <c r="E145" s="1103"/>
      <c r="F145" s="2654" t="s">
        <v>2637</v>
      </c>
      <c r="G145" s="2655"/>
      <c r="H145" s="2656"/>
      <c r="I145" s="2657" t="s">
        <v>2634</v>
      </c>
      <c r="J145" s="1104">
        <v>8</v>
      </c>
      <c r="K145" s="1105">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0" t="s">
        <v>2684</v>
      </c>
      <c r="C1" s="1623" t="s">
        <v>2528</v>
      </c>
      <c r="D1" s="1624"/>
      <c r="E1" s="1633"/>
      <c r="F1" s="2585"/>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7"/>
      <c r="D2" s="1368"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606.5</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8" t="s">
        <v>2644</v>
      </c>
      <c r="D4" s="3199"/>
      <c r="E4" s="3200" t="s">
        <v>2645</v>
      </c>
      <c r="F4" s="3201"/>
      <c r="G4" s="3198" t="s">
        <v>2646</v>
      </c>
      <c r="H4" s="3199"/>
      <c r="I4" s="3198" t="s">
        <v>2647</v>
      </c>
      <c r="J4" s="3199"/>
      <c r="K4" s="610" t="s">
        <v>2648</v>
      </c>
      <c r="L4" s="1133"/>
      <c r="M4" s="1134"/>
      <c r="N4" s="1134"/>
      <c r="O4" s="1134"/>
      <c r="P4" s="3232" t="s">
        <v>2649</v>
      </c>
      <c r="Q4" s="3233"/>
      <c r="R4" s="3227" t="s">
        <v>2645</v>
      </c>
      <c r="S4" s="3228"/>
      <c r="T4" s="3227" t="s">
        <v>2646</v>
      </c>
      <c r="U4" s="3228"/>
      <c r="V4" s="3236" t="s">
        <v>2647</v>
      </c>
      <c r="W4" s="3236"/>
      <c r="X4" s="2671"/>
      <c r="Y4" s="3227" t="s">
        <v>2649</v>
      </c>
      <c r="Z4" s="3228"/>
      <c r="AA4" s="3226" t="s">
        <v>2645</v>
      </c>
      <c r="AB4" s="3226" t="s">
        <v>2646</v>
      </c>
      <c r="AC4" s="3229" t="s">
        <v>2647</v>
      </c>
    </row>
    <row r="5" spans="1:29" ht="15">
      <c r="A5" s="404"/>
      <c r="B5" s="405"/>
      <c r="C5" s="3191" t="s">
        <v>2540</v>
      </c>
      <c r="D5" s="3192"/>
      <c r="E5" s="3189" t="s">
        <v>2541</v>
      </c>
      <c r="F5" s="3190"/>
      <c r="G5" s="3191" t="s">
        <v>2542</v>
      </c>
      <c r="H5" s="3192"/>
      <c r="I5" s="3191" t="s">
        <v>2543</v>
      </c>
      <c r="J5" s="3192"/>
      <c r="K5" s="610"/>
      <c r="L5" s="1133"/>
      <c r="M5" s="1134"/>
      <c r="N5" s="1134"/>
      <c r="O5" s="1134"/>
      <c r="P5" s="3234"/>
      <c r="Q5" s="3205"/>
      <c r="R5" s="3187"/>
      <c r="S5" s="3188"/>
      <c r="T5" s="3187"/>
      <c r="U5" s="3188"/>
      <c r="V5" s="3210"/>
      <c r="W5" s="3210"/>
      <c r="X5" s="1816"/>
      <c r="Y5" s="3187"/>
      <c r="Z5" s="3188"/>
      <c r="AA5" s="3181"/>
      <c r="AB5" s="3181"/>
      <c r="AC5" s="3230"/>
    </row>
    <row r="6" spans="1:29" ht="15.75" thickBot="1">
      <c r="A6" s="406"/>
      <c r="B6" s="407"/>
      <c r="C6" s="3193" t="s">
        <v>2544</v>
      </c>
      <c r="D6" s="3194"/>
      <c r="E6" s="3195" t="s">
        <v>2544</v>
      </c>
      <c r="F6" s="3196"/>
      <c r="G6" s="3193" t="s">
        <v>2544</v>
      </c>
      <c r="H6" s="3194"/>
      <c r="I6" s="3193" t="s">
        <v>2544</v>
      </c>
      <c r="J6" s="3194"/>
      <c r="K6" s="610" t="s">
        <v>2545</v>
      </c>
      <c r="L6" s="1133"/>
      <c r="M6" s="1134"/>
      <c r="N6" s="1134"/>
      <c r="O6" s="1134"/>
      <c r="P6" s="3235"/>
      <c r="Q6" s="3207"/>
      <c r="R6" s="3187"/>
      <c r="S6" s="3188"/>
      <c r="T6" s="3208"/>
      <c r="U6" s="3209"/>
      <c r="V6" s="3210"/>
      <c r="W6" s="3210"/>
      <c r="X6" s="1816"/>
      <c r="Y6" s="3208"/>
      <c r="Z6" s="3209"/>
      <c r="AA6" s="3182"/>
      <c r="AB6" s="3182"/>
      <c r="AC6" s="3231"/>
    </row>
    <row r="7" spans="1:29" s="117" customFormat="1" ht="15.75" thickBot="1">
      <c r="A7" s="408" t="s">
        <v>2546</v>
      </c>
      <c r="B7" s="409"/>
      <c r="C7" s="410">
        <f>'数据-取费表'!B2</f>
        <v>43256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7"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7" t="s">
        <v>2550</v>
      </c>
      <c r="Q8" s="3184"/>
      <c r="R8" s="770" t="s">
        <v>17</v>
      </c>
      <c r="S8" s="771">
        <f t="shared" si="0"/>
        <v>0</v>
      </c>
      <c r="T8" s="770" t="s">
        <v>17</v>
      </c>
      <c r="U8" s="771">
        <f t="shared" si="1"/>
        <v>0</v>
      </c>
      <c r="V8" s="770" t="s">
        <v>17</v>
      </c>
      <c r="W8" s="771">
        <f t="shared" si="2"/>
        <v>0</v>
      </c>
      <c r="X8" s="772"/>
      <c r="Y8" s="3183" t="s">
        <v>2550</v>
      </c>
      <c r="Z8" s="3184"/>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7" t="s">
        <v>2553</v>
      </c>
      <c r="Q9" s="1798"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4" t="s">
        <v>2558</v>
      </c>
      <c r="Q15" s="1813" t="str">
        <f t="shared" si="6"/>
        <v>办公集聚程度</v>
      </c>
      <c r="R15" s="774" t="s">
        <v>17</v>
      </c>
      <c r="S15" s="775">
        <f t="shared" si="0"/>
        <v>100</v>
      </c>
      <c r="T15" s="774" t="s">
        <v>17</v>
      </c>
      <c r="U15" s="775">
        <f t="shared" si="1"/>
        <v>100</v>
      </c>
      <c r="V15" s="774" t="s">
        <v>17</v>
      </c>
      <c r="W15" s="775">
        <f t="shared" si="2"/>
        <v>100</v>
      </c>
      <c r="X15" s="1816"/>
      <c r="Y15" s="3217" t="s">
        <v>2558</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25"/>
      <c r="Q16" s="1813"/>
      <c r="R16" s="774"/>
      <c r="S16" s="775"/>
      <c r="T16" s="774"/>
      <c r="U16" s="775"/>
      <c r="V16" s="774"/>
      <c r="W16" s="775"/>
      <c r="X16" s="1816"/>
      <c r="Y16" s="3218"/>
      <c r="Z16" s="1817"/>
      <c r="AA16" s="1814">
        <v>1</v>
      </c>
      <c r="AB16" s="1814">
        <v>1</v>
      </c>
      <c r="AC16" s="2675">
        <v>1</v>
      </c>
    </row>
    <row r="17" spans="1:29" ht="85.5">
      <c r="A17" s="428"/>
      <c r="B17" s="631" t="s">
        <v>2095</v>
      </c>
      <c r="C17" s="2676" t="str">
        <f>估价对象房地状况!C6</f>
        <v>估价对象周边交通路网密集、公共交通通达情况较好、停车便捷程度一般，综合评价交通便捷度较好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5"/>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25"/>
      <c r="Q18" s="1813"/>
      <c r="R18" s="774"/>
      <c r="S18" s="775"/>
      <c r="T18" s="774"/>
      <c r="U18" s="775"/>
      <c r="V18" s="774"/>
      <c r="W18" s="775"/>
      <c r="X18" s="1816"/>
      <c r="Y18" s="3218"/>
      <c r="Z18" s="1817"/>
      <c r="AA18" s="1814">
        <v>1</v>
      </c>
      <c r="AB18" s="1814">
        <v>1</v>
      </c>
      <c r="AC18" s="2675">
        <v>1</v>
      </c>
    </row>
    <row r="19" spans="1:29" ht="42.75">
      <c r="A19" s="428"/>
      <c r="B19" s="631" t="s">
        <v>2686</v>
      </c>
      <c r="C19" s="2676"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5"/>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25"/>
      <c r="Q20" s="1813"/>
      <c r="R20" s="774"/>
      <c r="S20" s="775"/>
      <c r="T20" s="774"/>
      <c r="U20" s="775"/>
      <c r="V20" s="774"/>
      <c r="W20" s="775"/>
      <c r="X20" s="1816"/>
      <c r="Y20" s="3218"/>
      <c r="Z20" s="1817"/>
      <c r="AA20" s="1814">
        <v>1</v>
      </c>
      <c r="AB20" s="1814">
        <v>1</v>
      </c>
      <c r="AC20" s="2675">
        <v>1</v>
      </c>
    </row>
    <row r="21" spans="1:29" ht="15">
      <c r="A21" s="428"/>
      <c r="B21" s="633" t="s">
        <v>2687</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25"/>
      <c r="Q22" s="1813"/>
      <c r="R22" s="774"/>
      <c r="S22" s="775"/>
      <c r="T22" s="774"/>
      <c r="U22" s="775"/>
      <c r="V22" s="774"/>
      <c r="W22" s="775"/>
      <c r="X22" s="1816"/>
      <c r="Y22" s="3218"/>
      <c r="Z22" s="1817"/>
      <c r="AA22" s="1814">
        <v>1</v>
      </c>
      <c r="AB22" s="1814">
        <v>1</v>
      </c>
      <c r="AC22" s="2675">
        <v>1</v>
      </c>
    </row>
    <row r="23" spans="1:29" ht="85.5">
      <c r="A23" s="428"/>
      <c r="B23" s="631" t="s">
        <v>2688</v>
      </c>
      <c r="C23" s="2676" t="str">
        <f>估价对象房地状况!C9</f>
        <v>区域自然环境：什刹海公园、后海公园；人文环境：北京古钱币博物馆；综合评价环境状况较好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5"/>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25"/>
      <c r="Q24" s="1813"/>
      <c r="R24" s="774"/>
      <c r="S24" s="775"/>
      <c r="T24" s="774"/>
      <c r="U24" s="775"/>
      <c r="V24" s="774"/>
      <c r="W24" s="775"/>
      <c r="X24" s="1816"/>
      <c r="Y24" s="3218"/>
      <c r="Z24" s="1817"/>
      <c r="AA24" s="1814">
        <v>1</v>
      </c>
      <c r="AB24" s="1814">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25"/>
      <c r="Q25" s="1813" t="str">
        <f>B25</f>
        <v>毗邻道路的类型与等级</v>
      </c>
      <c r="R25" s="774" t="s">
        <v>17</v>
      </c>
      <c r="S25" s="775">
        <f>F25</f>
        <v>100</v>
      </c>
      <c r="T25" s="774" t="s">
        <v>17</v>
      </c>
      <c r="U25" s="775">
        <f>H25</f>
        <v>100</v>
      </c>
      <c r="V25" s="774" t="s">
        <v>17</v>
      </c>
      <c r="W25" s="775">
        <f>J25</f>
        <v>100</v>
      </c>
      <c r="X25" s="1816"/>
      <c r="Y25" s="3218"/>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25"/>
      <c r="Q26" s="1813"/>
      <c r="R26" s="774"/>
      <c r="S26" s="775"/>
      <c r="T26" s="774"/>
      <c r="U26" s="775"/>
      <c r="V26" s="774"/>
      <c r="W26" s="775"/>
      <c r="X26" s="1816"/>
      <c r="Y26" s="3218"/>
      <c r="Z26" s="1817"/>
      <c r="AA26" s="1814">
        <v>1</v>
      </c>
      <c r="AB26" s="1814">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5"/>
      <c r="Q27" s="1813" t="str">
        <f t="shared" ref="Q27:Q47" si="11">B27</f>
        <v>楼层</v>
      </c>
      <c r="R27" s="774" t="s">
        <v>17</v>
      </c>
      <c r="S27" s="775">
        <f>F27</f>
        <v>100</v>
      </c>
      <c r="T27" s="774" t="s">
        <v>17</v>
      </c>
      <c r="U27" s="775">
        <f>H27</f>
        <v>100</v>
      </c>
      <c r="V27" s="774" t="s">
        <v>17</v>
      </c>
      <c r="W27" s="775">
        <f>J27</f>
        <v>100</v>
      </c>
      <c r="X27" s="1816"/>
      <c r="Y27" s="3218"/>
      <c r="Z27" s="1817" t="str">
        <f>Q27</f>
        <v>楼层</v>
      </c>
      <c r="AA27" s="1814">
        <f t="shared" si="3"/>
        <v>1</v>
      </c>
      <c r="AB27" s="1814">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5"/>
      <c r="Q28" s="1798" t="str">
        <f t="shared" si="11"/>
        <v>朝向</v>
      </c>
      <c r="R28" s="770" t="s">
        <v>17</v>
      </c>
      <c r="S28" s="771">
        <f>F28</f>
        <v>100</v>
      </c>
      <c r="T28" s="770" t="s">
        <v>17</v>
      </c>
      <c r="U28" s="771">
        <f>H28</f>
        <v>100</v>
      </c>
      <c r="V28" s="770" t="s">
        <v>17</v>
      </c>
      <c r="W28" s="771">
        <f>J28</f>
        <v>100</v>
      </c>
      <c r="X28" s="772"/>
      <c r="Y28" s="3218"/>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5"/>
      <c r="Q29" s="1813">
        <f t="shared" si="11"/>
        <v>111</v>
      </c>
      <c r="R29" s="774" t="s">
        <v>17</v>
      </c>
      <c r="S29" s="775">
        <f t="shared" ref="S29:S47" si="12">F29</f>
        <v>100</v>
      </c>
      <c r="T29" s="774" t="s">
        <v>17</v>
      </c>
      <c r="U29" s="775">
        <f t="shared" ref="U29:U47" si="13">H29</f>
        <v>100</v>
      </c>
      <c r="V29" s="774" t="s">
        <v>17</v>
      </c>
      <c r="W29" s="775">
        <f t="shared" ref="W29:W47" si="14">J29</f>
        <v>100</v>
      </c>
      <c r="X29" s="1816"/>
      <c r="Y29" s="3218"/>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5"/>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5"/>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5"/>
      <c r="Q32" s="1813">
        <f t="shared" si="11"/>
        <v>111</v>
      </c>
      <c r="R32" s="774" t="s">
        <v>17</v>
      </c>
      <c r="S32" s="775">
        <f t="shared" si="12"/>
        <v>100</v>
      </c>
      <c r="T32" s="774" t="s">
        <v>17</v>
      </c>
      <c r="U32" s="775">
        <f t="shared" si="13"/>
        <v>100</v>
      </c>
      <c r="V32" s="774" t="s">
        <v>17</v>
      </c>
      <c r="W32" s="775">
        <f t="shared" si="14"/>
        <v>100</v>
      </c>
      <c r="X32" s="1816"/>
      <c r="Y32" s="3218"/>
      <c r="Z32" s="1817">
        <f t="shared" si="15"/>
        <v>111</v>
      </c>
      <c r="AA32" s="1814">
        <f t="shared" si="3"/>
        <v>1</v>
      </c>
      <c r="AB32" s="1814">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19" t="s">
        <v>2563</v>
      </c>
      <c r="Q33" s="1813" t="str">
        <f t="shared" si="11"/>
        <v>建筑类型</v>
      </c>
      <c r="R33" s="774" t="s">
        <v>17</v>
      </c>
      <c r="S33" s="775">
        <f t="shared" si="12"/>
        <v>100</v>
      </c>
      <c r="T33" s="774" t="s">
        <v>17</v>
      </c>
      <c r="U33" s="775">
        <f t="shared" si="13"/>
        <v>100</v>
      </c>
      <c r="V33" s="774" t="s">
        <v>17</v>
      </c>
      <c r="W33" s="775">
        <f t="shared" si="14"/>
        <v>100</v>
      </c>
      <c r="X33" s="1816"/>
      <c r="Y33" s="3222" t="s">
        <v>2563</v>
      </c>
      <c r="Z33" s="1817" t="str">
        <f t="shared" si="15"/>
        <v>建筑类型</v>
      </c>
      <c r="AA33" s="1814">
        <f t="shared" si="3"/>
        <v>1</v>
      </c>
      <c r="AB33" s="1814">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0"/>
      <c r="Q34" s="776" t="str">
        <f t="shared" si="11"/>
        <v>项目建筑规模</v>
      </c>
      <c r="R34" s="777" t="s">
        <v>17</v>
      </c>
      <c r="S34" s="778" t="e">
        <f t="shared" si="12"/>
        <v>#N/A</v>
      </c>
      <c r="T34" s="777" t="s">
        <v>17</v>
      </c>
      <c r="U34" s="778" t="e">
        <f t="shared" si="13"/>
        <v>#N/A</v>
      </c>
      <c r="V34" s="777" t="s">
        <v>17</v>
      </c>
      <c r="W34" s="778" t="e">
        <f t="shared" si="14"/>
        <v>#N/A</v>
      </c>
      <c r="X34" s="779"/>
      <c r="Y34" s="3222"/>
      <c r="Z34" s="780" t="str">
        <f t="shared" si="15"/>
        <v>项目建筑规模</v>
      </c>
      <c r="AA34" s="1814" t="e">
        <f t="shared" si="3"/>
        <v>#N/A</v>
      </c>
      <c r="AB34" s="1814"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0"/>
      <c r="Q35" s="1813" t="str">
        <f t="shared" si="11"/>
        <v>建筑结构</v>
      </c>
      <c r="R35" s="774" t="s">
        <v>17</v>
      </c>
      <c r="S35" s="775">
        <f t="shared" si="12"/>
        <v>100</v>
      </c>
      <c r="T35" s="774" t="s">
        <v>17</v>
      </c>
      <c r="U35" s="775">
        <f t="shared" si="13"/>
        <v>100</v>
      </c>
      <c r="V35" s="774" t="s">
        <v>17</v>
      </c>
      <c r="W35" s="775">
        <f t="shared" si="14"/>
        <v>100</v>
      </c>
      <c r="X35" s="1816"/>
      <c r="Y35" s="3222"/>
      <c r="Z35" s="1817" t="str">
        <f t="shared" si="15"/>
        <v>建筑结构</v>
      </c>
      <c r="AA35" s="1814">
        <f t="shared" si="3"/>
        <v>1</v>
      </c>
      <c r="AB35" s="1814">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0"/>
      <c r="Q36" s="1813" t="str">
        <f t="shared" si="11"/>
        <v>公共部分装修</v>
      </c>
      <c r="R36" s="774" t="s">
        <v>17</v>
      </c>
      <c r="S36" s="775">
        <f t="shared" si="12"/>
        <v>100</v>
      </c>
      <c r="T36" s="774" t="s">
        <v>17</v>
      </c>
      <c r="U36" s="775">
        <f t="shared" si="13"/>
        <v>100</v>
      </c>
      <c r="V36" s="774" t="s">
        <v>17</v>
      </c>
      <c r="W36" s="775">
        <f t="shared" si="14"/>
        <v>100</v>
      </c>
      <c r="X36" s="1816"/>
      <c r="Y36" s="3222"/>
      <c r="Z36" s="1817" t="str">
        <f t="shared" si="15"/>
        <v>公共部分装修</v>
      </c>
      <c r="AA36" s="1814">
        <f t="shared" si="3"/>
        <v>1</v>
      </c>
      <c r="AB36" s="1814">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0"/>
      <c r="Q37" s="1813" t="str">
        <f t="shared" si="11"/>
        <v>成新度</v>
      </c>
      <c r="R37" s="774" t="s">
        <v>17</v>
      </c>
      <c r="S37" s="775" t="e">
        <f t="shared" si="12"/>
        <v>#N/A</v>
      </c>
      <c r="T37" s="774" t="s">
        <v>17</v>
      </c>
      <c r="U37" s="775" t="e">
        <f t="shared" si="13"/>
        <v>#N/A</v>
      </c>
      <c r="V37" s="774" t="s">
        <v>17</v>
      </c>
      <c r="W37" s="775" t="e">
        <f t="shared" si="14"/>
        <v>#N/A</v>
      </c>
      <c r="X37" s="1816"/>
      <c r="Y37" s="3222"/>
      <c r="Z37" s="1817" t="str">
        <f t="shared" si="15"/>
        <v>成新度</v>
      </c>
      <c r="AA37" s="1814" t="e">
        <f t="shared" si="3"/>
        <v>#N/A</v>
      </c>
      <c r="AB37" s="1814"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0"/>
      <c r="Q38" s="1798"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0" t="s">
        <v>2563</v>
      </c>
      <c r="Q39" s="1813" t="str">
        <f t="shared" si="11"/>
        <v>物业管理</v>
      </c>
      <c r="R39" s="774" t="s">
        <v>17</v>
      </c>
      <c r="S39" s="775">
        <f t="shared" si="12"/>
        <v>100</v>
      </c>
      <c r="T39" s="774" t="s">
        <v>17</v>
      </c>
      <c r="U39" s="775">
        <f t="shared" si="13"/>
        <v>100</v>
      </c>
      <c r="V39" s="774" t="s">
        <v>17</v>
      </c>
      <c r="W39" s="775">
        <f t="shared" si="14"/>
        <v>100</v>
      </c>
      <c r="X39" s="1816"/>
      <c r="Y39" s="3222" t="s">
        <v>2563</v>
      </c>
      <c r="Z39" s="1817" t="str">
        <f t="shared" si="15"/>
        <v>物业管理</v>
      </c>
      <c r="AA39" s="1814">
        <f t="shared" si="3"/>
        <v>1</v>
      </c>
      <c r="AB39" s="1814">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0"/>
      <c r="Q40" s="1813" t="str">
        <f t="shared" si="11"/>
        <v>市政基础设施</v>
      </c>
      <c r="R40" s="774" t="s">
        <v>17</v>
      </c>
      <c r="S40" s="775">
        <f t="shared" si="12"/>
        <v>100</v>
      </c>
      <c r="T40" s="774" t="s">
        <v>17</v>
      </c>
      <c r="U40" s="775">
        <f t="shared" si="13"/>
        <v>100</v>
      </c>
      <c r="V40" s="774" t="s">
        <v>17</v>
      </c>
      <c r="W40" s="775">
        <f t="shared" si="14"/>
        <v>100</v>
      </c>
      <c r="X40" s="1816"/>
      <c r="Y40" s="3222"/>
      <c r="Z40" s="1817" t="str">
        <f t="shared" si="15"/>
        <v>市政基础设施</v>
      </c>
      <c r="AA40" s="1814">
        <f t="shared" si="3"/>
        <v>1</v>
      </c>
      <c r="AB40" s="1814">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0"/>
      <c r="Q41" s="1813" t="str">
        <f t="shared" si="11"/>
        <v>层高</v>
      </c>
      <c r="R41" s="774" t="s">
        <v>17</v>
      </c>
      <c r="S41" s="775">
        <f t="shared" si="12"/>
        <v>100</v>
      </c>
      <c r="T41" s="774" t="s">
        <v>17</v>
      </c>
      <c r="U41" s="775">
        <f t="shared" si="13"/>
        <v>100</v>
      </c>
      <c r="V41" s="774" t="s">
        <v>17</v>
      </c>
      <c r="W41" s="775">
        <f t="shared" si="14"/>
        <v>100</v>
      </c>
      <c r="X41" s="1816"/>
      <c r="Y41" s="3222"/>
      <c r="Z41" s="1817" t="str">
        <f t="shared" si="15"/>
        <v>层高</v>
      </c>
      <c r="AA41" s="1814">
        <f t="shared" si="3"/>
        <v>1</v>
      </c>
      <c r="AB41" s="1814">
        <f t="shared" si="4"/>
        <v>1</v>
      </c>
      <c r="AC41" s="2675">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4">
        <f t="shared" si="3"/>
        <v>1</v>
      </c>
      <c r="AB42" s="1814">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0"/>
      <c r="Q43" s="1813" t="str">
        <f t="shared" si="11"/>
        <v>内部装修</v>
      </c>
      <c r="R43" s="774" t="s">
        <v>17</v>
      </c>
      <c r="S43" s="775">
        <f t="shared" si="12"/>
        <v>100</v>
      </c>
      <c r="T43" s="774" t="s">
        <v>17</v>
      </c>
      <c r="U43" s="775">
        <f t="shared" si="13"/>
        <v>100</v>
      </c>
      <c r="V43" s="774" t="s">
        <v>17</v>
      </c>
      <c r="W43" s="775">
        <f t="shared" si="14"/>
        <v>100</v>
      </c>
      <c r="X43" s="1816"/>
      <c r="Y43" s="3222"/>
      <c r="Z43" s="1817" t="str">
        <f t="shared" si="15"/>
        <v>内部装修</v>
      </c>
      <c r="AA43" s="1814">
        <f t="shared" si="3"/>
        <v>1</v>
      </c>
      <c r="AB43" s="1814">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20"/>
      <c r="Q44" s="1813" t="str">
        <f t="shared" si="11"/>
        <v>内部装修维护情况</v>
      </c>
      <c r="R44" s="774" t="s">
        <v>17</v>
      </c>
      <c r="S44" s="775">
        <f t="shared" si="12"/>
        <v>100</v>
      </c>
      <c r="T44" s="774" t="s">
        <v>17</v>
      </c>
      <c r="U44" s="775">
        <f t="shared" si="13"/>
        <v>100</v>
      </c>
      <c r="V44" s="774" t="s">
        <v>17</v>
      </c>
      <c r="W44" s="775">
        <f t="shared" si="14"/>
        <v>100</v>
      </c>
      <c r="X44" s="1816"/>
      <c r="Y44" s="3222"/>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8">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1"/>
      <c r="Q47" s="1813">
        <f t="shared" si="11"/>
        <v>111</v>
      </c>
      <c r="R47" s="774" t="s">
        <v>17</v>
      </c>
      <c r="S47" s="775">
        <f t="shared" si="12"/>
        <v>100</v>
      </c>
      <c r="T47" s="774" t="s">
        <v>17</v>
      </c>
      <c r="U47" s="775">
        <f t="shared" si="13"/>
        <v>100</v>
      </c>
      <c r="V47" s="774" t="s">
        <v>17</v>
      </c>
      <c r="W47" s="775">
        <f t="shared" si="14"/>
        <v>100</v>
      </c>
      <c r="X47" s="1816"/>
      <c r="Y47" s="3223"/>
      <c r="Z47" s="1817">
        <f t="shared" si="15"/>
        <v>111</v>
      </c>
      <c r="AA47" s="1814">
        <f t="shared" si="3"/>
        <v>1</v>
      </c>
      <c r="AB47" s="1814">
        <f t="shared" si="4"/>
        <v>1</v>
      </c>
      <c r="AC47" s="2675">
        <f t="shared" si="5"/>
        <v>1</v>
      </c>
    </row>
    <row r="48" spans="1:29" ht="15">
      <c r="A48" s="479" t="s">
        <v>2575</v>
      </c>
      <c r="B48" s="480"/>
      <c r="C48" s="1410" t="s">
        <v>1</v>
      </c>
      <c r="D48" s="1411"/>
      <c r="E48" s="1412"/>
      <c r="F48" s="1413"/>
      <c r="G48" s="1414"/>
      <c r="H48" s="1415"/>
      <c r="I48" s="1412"/>
      <c r="J48" s="485"/>
      <c r="K48" s="783"/>
      <c r="L48" s="1146"/>
      <c r="M48" s="1134"/>
      <c r="N48" s="1134"/>
      <c r="O48" s="1134"/>
      <c r="P48" s="3197" t="str">
        <f>A48</f>
        <v>成交单价（元/平方米）</v>
      </c>
      <c r="Q48" s="3215"/>
      <c r="R48" s="3216">
        <f>E48</f>
        <v>0</v>
      </c>
      <c r="S48" s="3216"/>
      <c r="T48" s="3216">
        <f>G48</f>
        <v>0</v>
      </c>
      <c r="U48" s="3216"/>
      <c r="V48" s="3216">
        <f>I48</f>
        <v>0</v>
      </c>
      <c r="W48" s="3216"/>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97"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38" t="str">
        <f>A50</f>
        <v>估价对象XX用房的比较价值（楼面单价，元/平方米）</v>
      </c>
      <c r="Q50" s="3239"/>
      <c r="R50" s="3240" t="e">
        <f>IF(F1="售价",ROUND(AVERAGE(R49:V49),0),ROUND(AVERAGE(R49:V49),1))</f>
        <v>#DIV/0!</v>
      </c>
      <c r="S50" s="3240"/>
      <c r="T50" s="3240"/>
      <c r="U50" s="3240"/>
      <c r="V50" s="3240"/>
      <c r="W50" s="324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2"/>
      <c r="Q58" s="504"/>
    </row>
    <row r="59" spans="1:29" s="508" customFormat="1" ht="15">
      <c r="A59" s="505" t="s">
        <v>2546</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2586</v>
      </c>
      <c r="B64" s="528" t="s">
        <v>2552</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2697</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2561</v>
      </c>
      <c r="B101" s="528" t="s">
        <v>2610</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2612</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2614</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2615</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2616</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2699</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2618</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0" t="s">
        <v>2700</v>
      </c>
      <c r="C1" s="1623" t="s">
        <v>2528</v>
      </c>
      <c r="D1" s="1624"/>
      <c r="E1" s="1633"/>
      <c r="F1" s="2585"/>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7"/>
      <c r="D2" s="1127"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606.5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3"/>
      <c r="M4" s="1134"/>
      <c r="N4" s="1134"/>
      <c r="O4" s="1134"/>
      <c r="P4" s="3202" t="s">
        <v>2649</v>
      </c>
      <c r="Q4" s="3203"/>
      <c r="R4" s="3185" t="s">
        <v>2645</v>
      </c>
      <c r="S4" s="3186"/>
      <c r="T4" s="3185" t="s">
        <v>2646</v>
      </c>
      <c r="U4" s="3186"/>
      <c r="V4" s="3210" t="s">
        <v>2647</v>
      </c>
      <c r="W4" s="3210"/>
      <c r="X4" s="1816"/>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2544</v>
      </c>
      <c r="D6" s="3194"/>
      <c r="E6" s="3195" t="s">
        <v>2544</v>
      </c>
      <c r="F6" s="3196"/>
      <c r="G6" s="3193" t="s">
        <v>2544</v>
      </c>
      <c r="H6" s="3194"/>
      <c r="I6" s="3193" t="s">
        <v>2544</v>
      </c>
      <c r="J6" s="3194"/>
      <c r="K6" s="610" t="s">
        <v>2545</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2546</v>
      </c>
      <c r="B7" s="409"/>
      <c r="C7" s="410">
        <f>'数据-取费表'!B2</f>
        <v>43256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3" t="s">
        <v>2550</v>
      </c>
      <c r="Q8" s="3184"/>
      <c r="R8" s="770" t="s">
        <v>17</v>
      </c>
      <c r="S8" s="771">
        <f t="shared" si="0"/>
        <v>0</v>
      </c>
      <c r="T8" s="770" t="s">
        <v>17</v>
      </c>
      <c r="U8" s="771">
        <f t="shared" si="1"/>
        <v>0</v>
      </c>
      <c r="V8" s="770" t="s">
        <v>17</v>
      </c>
      <c r="W8" s="771">
        <f t="shared" si="2"/>
        <v>0</v>
      </c>
      <c r="X8" s="772"/>
      <c r="Y8" s="3183" t="s">
        <v>2550</v>
      </c>
      <c r="Z8" s="318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5" t="s">
        <v>2553</v>
      </c>
      <c r="Q9" s="1798"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5"/>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7" t="s">
        <v>2558</v>
      </c>
      <c r="Q15" s="1813" t="str">
        <f t="shared" si="6"/>
        <v>产业集聚程度</v>
      </c>
      <c r="R15" s="774" t="s">
        <v>17</v>
      </c>
      <c r="S15" s="775">
        <f t="shared" si="0"/>
        <v>100</v>
      </c>
      <c r="T15" s="774" t="s">
        <v>17</v>
      </c>
      <c r="U15" s="775">
        <f t="shared" si="1"/>
        <v>100</v>
      </c>
      <c r="V15" s="774" t="s">
        <v>17</v>
      </c>
      <c r="W15" s="775">
        <f t="shared" si="2"/>
        <v>100</v>
      </c>
      <c r="X15" s="1816"/>
      <c r="Y15" s="3217"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18"/>
      <c r="Q18" s="1813"/>
      <c r="R18" s="774"/>
      <c r="S18" s="775"/>
      <c r="T18" s="774"/>
      <c r="U18" s="775"/>
      <c r="V18" s="774"/>
      <c r="W18" s="775"/>
      <c r="X18" s="1816"/>
      <c r="Y18" s="3218"/>
      <c r="Z18" s="1817"/>
      <c r="AA18" s="1814">
        <v>1</v>
      </c>
      <c r="AB18" s="1814">
        <v>1</v>
      </c>
      <c r="AC18" s="1814">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8"/>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18"/>
      <c r="Q20" s="1813"/>
      <c r="R20" s="774"/>
      <c r="S20" s="775"/>
      <c r="T20" s="774"/>
      <c r="U20" s="775"/>
      <c r="V20" s="774"/>
      <c r="W20" s="775"/>
      <c r="X20" s="1816"/>
      <c r="Y20" s="3218"/>
      <c r="Z20" s="1817"/>
      <c r="AA20" s="1814">
        <v>1</v>
      </c>
      <c r="AB20" s="1814">
        <v>1</v>
      </c>
      <c r="AC20" s="1814">
        <v>1</v>
      </c>
    </row>
    <row r="21" spans="1:29" ht="28.5">
      <c r="A21" s="428"/>
      <c r="B21" s="1387"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8"/>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18"/>
      <c r="Q22" s="1813"/>
      <c r="R22" s="774"/>
      <c r="S22" s="775"/>
      <c r="T22" s="774"/>
      <c r="U22" s="775"/>
      <c r="V22" s="774"/>
      <c r="W22" s="775"/>
      <c r="X22" s="1816"/>
      <c r="Y22" s="3218"/>
      <c r="Z22" s="1817"/>
      <c r="AA22" s="1814">
        <v>1</v>
      </c>
      <c r="AB22" s="1814">
        <v>1</v>
      </c>
      <c r="AC22" s="1814">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8"/>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18"/>
      <c r="Q24" s="1813"/>
      <c r="R24" s="774"/>
      <c r="S24" s="775"/>
      <c r="T24" s="774"/>
      <c r="U24" s="775"/>
      <c r="V24" s="774"/>
      <c r="W24" s="775"/>
      <c r="X24" s="1816"/>
      <c r="Y24" s="321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8"/>
      <c r="Q25" s="1813">
        <f>B25</f>
        <v>111</v>
      </c>
      <c r="R25" s="774" t="s">
        <v>17</v>
      </c>
      <c r="S25" s="775">
        <f>F25</f>
        <v>100</v>
      </c>
      <c r="T25" s="774" t="s">
        <v>17</v>
      </c>
      <c r="U25" s="775">
        <f>H25</f>
        <v>100</v>
      </c>
      <c r="V25" s="774" t="s">
        <v>17</v>
      </c>
      <c r="W25" s="775">
        <f>J25</f>
        <v>100</v>
      </c>
      <c r="X25" s="1816"/>
      <c r="Y25" s="321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8"/>
      <c r="Q26" s="1813">
        <f t="shared" ref="Q26:Q40" si="11">B26</f>
        <v>111</v>
      </c>
      <c r="R26" s="774" t="s">
        <v>17</v>
      </c>
      <c r="S26" s="775">
        <f>F26</f>
        <v>100</v>
      </c>
      <c r="T26" s="774" t="s">
        <v>17</v>
      </c>
      <c r="U26" s="775">
        <f>H26</f>
        <v>100</v>
      </c>
      <c r="V26" s="774" t="s">
        <v>17</v>
      </c>
      <c r="W26" s="775">
        <f>J26</f>
        <v>100</v>
      </c>
      <c r="X26" s="1816"/>
      <c r="Y26" s="321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8"/>
      <c r="Q27" s="1798">
        <f t="shared" si="11"/>
        <v>111</v>
      </c>
      <c r="R27" s="770" t="s">
        <v>17</v>
      </c>
      <c r="S27" s="771">
        <f>F27</f>
        <v>100</v>
      </c>
      <c r="T27" s="770" t="s">
        <v>17</v>
      </c>
      <c r="U27" s="771">
        <f>H27</f>
        <v>100</v>
      </c>
      <c r="V27" s="770" t="s">
        <v>17</v>
      </c>
      <c r="W27" s="771">
        <f>J27</f>
        <v>100</v>
      </c>
      <c r="X27" s="772"/>
      <c r="Y27" s="321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8"/>
      <c r="Q28" s="1813">
        <f t="shared" si="11"/>
        <v>111</v>
      </c>
      <c r="R28" s="774" t="s">
        <v>17</v>
      </c>
      <c r="S28" s="775">
        <f t="shared" ref="S28:S40" si="12">F28</f>
        <v>100</v>
      </c>
      <c r="T28" s="774" t="s">
        <v>17</v>
      </c>
      <c r="U28" s="775">
        <f t="shared" ref="U28:U40" si="13">H28</f>
        <v>100</v>
      </c>
      <c r="V28" s="774" t="s">
        <v>17</v>
      </c>
      <c r="W28" s="775">
        <f t="shared" ref="W28:W40" si="14">J28</f>
        <v>100</v>
      </c>
      <c r="X28" s="1816"/>
      <c r="Y28" s="3218"/>
      <c r="Z28" s="1817">
        <f t="shared" ref="Z28:Z40" si="15">Q28</f>
        <v>111</v>
      </c>
      <c r="AA28" s="1814">
        <f t="shared" si="3"/>
        <v>1</v>
      </c>
      <c r="AB28" s="1814">
        <f t="shared" si="4"/>
        <v>1</v>
      </c>
      <c r="AC28" s="1814">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41" t="s">
        <v>2563</v>
      </c>
      <c r="Q29" s="1813" t="str">
        <f t="shared" si="11"/>
        <v>建筑类型</v>
      </c>
      <c r="R29" s="774" t="s">
        <v>17</v>
      </c>
      <c r="S29" s="775">
        <f t="shared" si="12"/>
        <v>100</v>
      </c>
      <c r="T29" s="774" t="s">
        <v>17</v>
      </c>
      <c r="U29" s="775">
        <f t="shared" si="13"/>
        <v>100</v>
      </c>
      <c r="V29" s="774" t="s">
        <v>17</v>
      </c>
      <c r="W29" s="775">
        <f t="shared" si="14"/>
        <v>100</v>
      </c>
      <c r="X29" s="1816"/>
      <c r="Y29" s="322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2"/>
      <c r="Q31" s="1813" t="str">
        <f t="shared" si="11"/>
        <v>建筑结构</v>
      </c>
      <c r="R31" s="774" t="s">
        <v>17</v>
      </c>
      <c r="S31" s="775">
        <f t="shared" si="12"/>
        <v>100</v>
      </c>
      <c r="T31" s="774" t="s">
        <v>17</v>
      </c>
      <c r="U31" s="775">
        <f t="shared" si="13"/>
        <v>100</v>
      </c>
      <c r="V31" s="774" t="s">
        <v>17</v>
      </c>
      <c r="W31" s="775">
        <f t="shared" si="14"/>
        <v>100</v>
      </c>
      <c r="X31" s="1816"/>
      <c r="Y31" s="322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2"/>
      <c r="Q32" s="1813" t="str">
        <f t="shared" si="11"/>
        <v>公共部分装修</v>
      </c>
      <c r="R32" s="774" t="s">
        <v>17</v>
      </c>
      <c r="S32" s="775">
        <f t="shared" si="12"/>
        <v>100</v>
      </c>
      <c r="T32" s="774" t="s">
        <v>17</v>
      </c>
      <c r="U32" s="775">
        <f t="shared" si="13"/>
        <v>100</v>
      </c>
      <c r="V32" s="774" t="s">
        <v>17</v>
      </c>
      <c r="W32" s="775">
        <f t="shared" si="14"/>
        <v>100</v>
      </c>
      <c r="X32" s="1816"/>
      <c r="Y32" s="322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2"/>
      <c r="Q33" s="1813" t="str">
        <f t="shared" si="11"/>
        <v>成新度</v>
      </c>
      <c r="R33" s="774" t="s">
        <v>17</v>
      </c>
      <c r="S33" s="775" t="e">
        <f t="shared" si="12"/>
        <v>#N/A</v>
      </c>
      <c r="T33" s="774" t="s">
        <v>17</v>
      </c>
      <c r="U33" s="775" t="e">
        <f t="shared" si="13"/>
        <v>#N/A</v>
      </c>
      <c r="V33" s="774" t="s">
        <v>17</v>
      </c>
      <c r="W33" s="775" t="e">
        <f t="shared" si="14"/>
        <v>#N/A</v>
      </c>
      <c r="X33" s="1816"/>
      <c r="Y33" s="322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2"/>
      <c r="Q34" s="1798"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2" t="s">
        <v>2563</v>
      </c>
      <c r="Q35" s="1813" t="str">
        <f t="shared" si="11"/>
        <v>市政基础设施</v>
      </c>
      <c r="R35" s="774" t="s">
        <v>17</v>
      </c>
      <c r="S35" s="775">
        <f t="shared" si="12"/>
        <v>100</v>
      </c>
      <c r="T35" s="774" t="s">
        <v>17</v>
      </c>
      <c r="U35" s="775">
        <f t="shared" si="13"/>
        <v>100</v>
      </c>
      <c r="V35" s="774" t="s">
        <v>17</v>
      </c>
      <c r="W35" s="775">
        <f t="shared" si="14"/>
        <v>100</v>
      </c>
      <c r="X35" s="1816"/>
      <c r="Y35" s="322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2"/>
      <c r="Q36" s="1813" t="str">
        <f t="shared" si="11"/>
        <v>内部装修</v>
      </c>
      <c r="R36" s="774" t="s">
        <v>17</v>
      </c>
      <c r="S36" s="775">
        <f t="shared" si="12"/>
        <v>100</v>
      </c>
      <c r="T36" s="774" t="s">
        <v>17</v>
      </c>
      <c r="U36" s="775">
        <f t="shared" si="13"/>
        <v>100</v>
      </c>
      <c r="V36" s="774" t="s">
        <v>17</v>
      </c>
      <c r="W36" s="775">
        <f t="shared" si="14"/>
        <v>100</v>
      </c>
      <c r="X36" s="1816"/>
      <c r="Y36" s="322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2"/>
      <c r="Q37" s="1813" t="str">
        <f t="shared" si="11"/>
        <v>内部装修状况</v>
      </c>
      <c r="R37" s="774" t="s">
        <v>17</v>
      </c>
      <c r="S37" s="775">
        <f t="shared" si="12"/>
        <v>100</v>
      </c>
      <c r="T37" s="774" t="s">
        <v>17</v>
      </c>
      <c r="U37" s="775">
        <f t="shared" si="13"/>
        <v>100</v>
      </c>
      <c r="V37" s="774" t="s">
        <v>17</v>
      </c>
      <c r="W37" s="775">
        <f t="shared" si="14"/>
        <v>100</v>
      </c>
      <c r="X37" s="1816"/>
      <c r="Y37" s="322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2"/>
      <c r="Q39" s="1813">
        <f t="shared" si="11"/>
        <v>111</v>
      </c>
      <c r="R39" s="774" t="s">
        <v>17</v>
      </c>
      <c r="S39" s="775">
        <f t="shared" si="12"/>
        <v>100</v>
      </c>
      <c r="T39" s="774" t="s">
        <v>17</v>
      </c>
      <c r="U39" s="775">
        <f t="shared" si="13"/>
        <v>100</v>
      </c>
      <c r="V39" s="774" t="s">
        <v>17</v>
      </c>
      <c r="W39" s="775">
        <f t="shared" si="14"/>
        <v>100</v>
      </c>
      <c r="X39" s="1816"/>
      <c r="Y39" s="3222"/>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3"/>
      <c r="Q40" s="1813">
        <f t="shared" si="11"/>
        <v>111</v>
      </c>
      <c r="R40" s="774" t="s">
        <v>17</v>
      </c>
      <c r="S40" s="775">
        <f t="shared" si="12"/>
        <v>100</v>
      </c>
      <c r="T40" s="774" t="s">
        <v>17</v>
      </c>
      <c r="U40" s="775">
        <f t="shared" si="13"/>
        <v>100</v>
      </c>
      <c r="V40" s="774" t="s">
        <v>17</v>
      </c>
      <c r="W40" s="775">
        <f t="shared" si="14"/>
        <v>100</v>
      </c>
      <c r="X40" s="1816"/>
      <c r="Y40" s="3223"/>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15" t="str">
        <f>A41</f>
        <v>成交单价（元/平方米）</v>
      </c>
      <c r="Q41" s="3215"/>
      <c r="R41" s="3216">
        <f>E41</f>
        <v>0</v>
      </c>
      <c r="S41" s="3216"/>
      <c r="T41" s="3216">
        <f>G41</f>
        <v>0</v>
      </c>
      <c r="U41" s="3216"/>
      <c r="V41" s="3216">
        <f>I41</f>
        <v>0</v>
      </c>
      <c r="W41" s="3216"/>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12" t="str">
        <f>A43</f>
        <v>估价对象XX用房的比较价值（楼面单价，元/平方米）</v>
      </c>
      <c r="Q43" s="3213"/>
      <c r="R43" s="3214" t="e">
        <f>IF(F1="售价",ROUND(AVERAGE(R42:V42),0),ROUND(AVERAGE(R42:V42),1))</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5"/>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3"/>
      <c r="M4" s="1134"/>
      <c r="N4" s="1134"/>
      <c r="O4" s="1134"/>
      <c r="P4" s="3202" t="s">
        <v>2649</v>
      </c>
      <c r="Q4" s="3203"/>
      <c r="R4" s="3185" t="s">
        <v>2645</v>
      </c>
      <c r="S4" s="3186"/>
      <c r="T4" s="3185" t="s">
        <v>2646</v>
      </c>
      <c r="U4" s="3186"/>
      <c r="V4" s="3210" t="s">
        <v>2647</v>
      </c>
      <c r="W4" s="3210"/>
      <c r="X4" s="1816"/>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2544</v>
      </c>
      <c r="D6" s="3194"/>
      <c r="E6" s="3195" t="s">
        <v>2544</v>
      </c>
      <c r="F6" s="3196"/>
      <c r="G6" s="3193" t="s">
        <v>2544</v>
      </c>
      <c r="H6" s="3194"/>
      <c r="I6" s="3193" t="s">
        <v>2544</v>
      </c>
      <c r="J6" s="3194"/>
      <c r="K6" s="610" t="s">
        <v>2545</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2546</v>
      </c>
      <c r="B7" s="409"/>
      <c r="C7" s="410">
        <f>'数据-取费表'!B2</f>
        <v>43256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3" t="s">
        <v>2547</v>
      </c>
      <c r="Q7" s="3211"/>
      <c r="R7" s="770" t="s">
        <v>17</v>
      </c>
      <c r="S7" s="771">
        <f t="shared" ref="S7:S14" si="0">F7</f>
        <v>0</v>
      </c>
      <c r="T7" s="770" t="s">
        <v>17</v>
      </c>
      <c r="U7" s="771">
        <f t="shared" ref="U7:U14" si="1">H7</f>
        <v>0</v>
      </c>
      <c r="V7" s="770" t="s">
        <v>17</v>
      </c>
      <c r="W7" s="771">
        <f t="shared" ref="W7:W14" si="2">J7</f>
        <v>0</v>
      </c>
      <c r="X7" s="772"/>
      <c r="Y7" s="3183" t="s">
        <v>2547</v>
      </c>
      <c r="Z7" s="318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3" t="s">
        <v>2550</v>
      </c>
      <c r="Q8" s="3184"/>
      <c r="R8" s="770" t="s">
        <v>17</v>
      </c>
      <c r="S8" s="771">
        <f t="shared" si="0"/>
        <v>0</v>
      </c>
      <c r="T8" s="770" t="s">
        <v>17</v>
      </c>
      <c r="U8" s="771">
        <f t="shared" si="1"/>
        <v>0</v>
      </c>
      <c r="V8" s="770" t="s">
        <v>17</v>
      </c>
      <c r="W8" s="771">
        <f t="shared" si="2"/>
        <v>0</v>
      </c>
      <c r="X8" s="772"/>
      <c r="Y8" s="3183" t="s">
        <v>2550</v>
      </c>
      <c r="Z8" s="318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5" t="s">
        <v>2553</v>
      </c>
      <c r="Q9" s="1798" t="str">
        <f t="shared" ref="Q9:Q14" si="6">B9</f>
        <v>用途</v>
      </c>
      <c r="R9" s="770" t="s">
        <v>17</v>
      </c>
      <c r="S9" s="771">
        <f t="shared" si="0"/>
        <v>100</v>
      </c>
      <c r="T9" s="770" t="s">
        <v>17</v>
      </c>
      <c r="U9" s="771">
        <f t="shared" si="1"/>
        <v>100</v>
      </c>
      <c r="V9" s="770" t="s">
        <v>17</v>
      </c>
      <c r="W9" s="771">
        <f t="shared" si="2"/>
        <v>100</v>
      </c>
      <c r="X9" s="772"/>
      <c r="Y9" s="302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5"/>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5"/>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5"/>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5"/>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99.75">
      <c r="A14" s="401" t="s">
        <v>2557</v>
      </c>
      <c r="B14" s="629" t="s">
        <v>2707</v>
      </c>
      <c r="C14" s="2694" t="str">
        <f>IF(B1="工业",估价对象房地状况!G4,估价对象房地状况!C6)</f>
        <v>估价对象周边交通路网密集、公共交通通达情况较好、停车便捷程度一般，综合评价交通便捷度较好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7" t="s">
        <v>2558</v>
      </c>
      <c r="Q14" s="1813" t="str">
        <f t="shared" si="6"/>
        <v>交通便捷度</v>
      </c>
      <c r="R14" s="774" t="s">
        <v>17</v>
      </c>
      <c r="S14" s="775">
        <f t="shared" si="0"/>
        <v>100</v>
      </c>
      <c r="T14" s="774" t="s">
        <v>17</v>
      </c>
      <c r="U14" s="775">
        <f t="shared" si="1"/>
        <v>100</v>
      </c>
      <c r="V14" s="774" t="s">
        <v>17</v>
      </c>
      <c r="W14" s="775">
        <f t="shared" si="2"/>
        <v>100</v>
      </c>
      <c r="X14" s="1816"/>
      <c r="Y14" s="3217"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8"/>
      <c r="Q15" s="1813"/>
      <c r="R15" s="774"/>
      <c r="S15" s="775"/>
      <c r="T15" s="774"/>
      <c r="U15" s="775"/>
      <c r="V15" s="774"/>
      <c r="W15" s="775"/>
      <c r="X15" s="1816"/>
      <c r="Y15" s="3218"/>
      <c r="Z15" s="1817"/>
      <c r="AA15" s="1814">
        <v>1</v>
      </c>
      <c r="AB15" s="1814">
        <v>1</v>
      </c>
      <c r="AC15" s="1814">
        <v>1</v>
      </c>
    </row>
    <row r="16" spans="1:29" ht="42.75">
      <c r="A16" s="404"/>
      <c r="B16" s="631" t="s">
        <v>2686</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18"/>
      <c r="Q17" s="1813"/>
      <c r="R17" s="774"/>
      <c r="S17" s="775"/>
      <c r="T17" s="774"/>
      <c r="U17" s="775"/>
      <c r="V17" s="774"/>
      <c r="W17" s="775"/>
      <c r="X17" s="1816"/>
      <c r="Y17" s="3218"/>
      <c r="Z17" s="1817"/>
      <c r="AA17" s="1814">
        <v>1</v>
      </c>
      <c r="AB17" s="1814">
        <v>1</v>
      </c>
      <c r="AC17" s="1814">
        <v>1</v>
      </c>
    </row>
    <row r="18" spans="1:29" ht="15">
      <c r="A18" s="404"/>
      <c r="B18" s="633" t="s">
        <v>2687</v>
      </c>
      <c r="C18" s="2608"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18"/>
      <c r="Q19" s="1813"/>
      <c r="R19" s="774"/>
      <c r="S19" s="775"/>
      <c r="T19" s="774"/>
      <c r="U19" s="775"/>
      <c r="V19" s="774"/>
      <c r="W19" s="775"/>
      <c r="X19" s="1816"/>
      <c r="Y19" s="3218"/>
      <c r="Z19" s="1817"/>
      <c r="AA19" s="1814">
        <v>1</v>
      </c>
      <c r="AB19" s="1814">
        <v>1</v>
      </c>
      <c r="AC19" s="1814">
        <v>1</v>
      </c>
    </row>
    <row r="20" spans="1:29" ht="85.5">
      <c r="A20" s="404"/>
      <c r="B20" s="631" t="s">
        <v>2708</v>
      </c>
      <c r="C20" s="2608" t="str">
        <f>IF(B1="工业",估价对象房地状况!G7,估价对象房地状况!C9)</f>
        <v>区域自然环境：什刹海公园、后海公园；人文环境：北京古钱币博物馆；综合评价环境状况较好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8"/>
      <c r="Q21" s="1813"/>
      <c r="R21" s="774"/>
      <c r="S21" s="775"/>
      <c r="T21" s="774"/>
      <c r="U21" s="775"/>
      <c r="V21" s="774"/>
      <c r="W21" s="775"/>
      <c r="X21" s="1816"/>
      <c r="Y21" s="3218"/>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8"/>
      <c r="Q24" s="1813">
        <f t="shared" ref="Q24:Q36"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2"/>
      <c r="Q28" s="1813" t="str">
        <f t="shared" si="11"/>
        <v>公共部分装修</v>
      </c>
      <c r="R28" s="774" t="s">
        <v>17</v>
      </c>
      <c r="S28" s="775">
        <f t="shared" si="12"/>
        <v>100</v>
      </c>
      <c r="T28" s="774" t="s">
        <v>17</v>
      </c>
      <c r="U28" s="775">
        <f t="shared" si="13"/>
        <v>100</v>
      </c>
      <c r="V28" s="774" t="s">
        <v>17</v>
      </c>
      <c r="W28" s="775">
        <f t="shared" si="14"/>
        <v>100</v>
      </c>
      <c r="X28" s="1816"/>
      <c r="Y28" s="322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2"/>
      <c r="Q29" s="1813" t="str">
        <f t="shared" si="11"/>
        <v>成新率</v>
      </c>
      <c r="R29" s="774" t="s">
        <v>17</v>
      </c>
      <c r="S29" s="775" t="e">
        <f t="shared" si="12"/>
        <v>#N/A</v>
      </c>
      <c r="T29" s="774" t="s">
        <v>17</v>
      </c>
      <c r="U29" s="775" t="e">
        <f t="shared" si="13"/>
        <v>#N/A</v>
      </c>
      <c r="V29" s="774" t="s">
        <v>17</v>
      </c>
      <c r="W29" s="775" t="e">
        <f t="shared" si="14"/>
        <v>#N/A</v>
      </c>
      <c r="X29" s="1816"/>
      <c r="Y29" s="322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2"/>
      <c r="Q30" s="1813" t="str">
        <f t="shared" si="11"/>
        <v>物业等级</v>
      </c>
      <c r="R30" s="774" t="s">
        <v>17</v>
      </c>
      <c r="S30" s="775">
        <f t="shared" si="12"/>
        <v>100</v>
      </c>
      <c r="T30" s="774" t="s">
        <v>17</v>
      </c>
      <c r="U30" s="775">
        <f t="shared" si="13"/>
        <v>100</v>
      </c>
      <c r="V30" s="774" t="s">
        <v>17</v>
      </c>
      <c r="W30" s="775">
        <f t="shared" si="14"/>
        <v>100</v>
      </c>
      <c r="X30" s="1816"/>
      <c r="Y30" s="322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2"/>
      <c r="Q31" s="1798"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2" t="s">
        <v>2563</v>
      </c>
      <c r="Q32" s="1813" t="str">
        <f t="shared" si="11"/>
        <v>车位类型</v>
      </c>
      <c r="R32" s="774" t="s">
        <v>17</v>
      </c>
      <c r="S32" s="775">
        <f t="shared" si="12"/>
        <v>100</v>
      </c>
      <c r="T32" s="774" t="s">
        <v>17</v>
      </c>
      <c r="U32" s="775">
        <f t="shared" si="13"/>
        <v>100</v>
      </c>
      <c r="V32" s="774" t="s">
        <v>17</v>
      </c>
      <c r="W32" s="775">
        <f t="shared" si="14"/>
        <v>100</v>
      </c>
      <c r="X32" s="1816"/>
      <c r="Y32" s="322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2"/>
      <c r="Q33" s="1813" t="str">
        <f t="shared" si="11"/>
        <v>是否直接入户</v>
      </c>
      <c r="R33" s="774" t="s">
        <v>17</v>
      </c>
      <c r="S33" s="775">
        <f t="shared" si="12"/>
        <v>100</v>
      </c>
      <c r="T33" s="774" t="s">
        <v>17</v>
      </c>
      <c r="U33" s="775">
        <f t="shared" si="13"/>
        <v>100</v>
      </c>
      <c r="V33" s="774" t="s">
        <v>17</v>
      </c>
      <c r="W33" s="775">
        <f t="shared" si="14"/>
        <v>100</v>
      </c>
      <c r="X33" s="1816"/>
      <c r="Y33" s="322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2"/>
      <c r="Q36" s="1813">
        <f t="shared" si="11"/>
        <v>111</v>
      </c>
      <c r="R36" s="774" t="s">
        <v>17</v>
      </c>
      <c r="S36" s="775">
        <f t="shared" si="12"/>
        <v>100</v>
      </c>
      <c r="T36" s="774" t="s">
        <v>17</v>
      </c>
      <c r="U36" s="775">
        <f t="shared" si="13"/>
        <v>100</v>
      </c>
      <c r="V36" s="774" t="s">
        <v>17</v>
      </c>
      <c r="W36" s="775">
        <f t="shared" si="14"/>
        <v>100</v>
      </c>
      <c r="X36" s="1816"/>
      <c r="Y36" s="3222"/>
      <c r="Z36" s="1817">
        <f t="shared" si="15"/>
        <v>111</v>
      </c>
      <c r="AA36" s="1814">
        <f t="shared" si="3"/>
        <v>1</v>
      </c>
      <c r="AB36" s="1814">
        <f t="shared" si="4"/>
        <v>1</v>
      </c>
      <c r="AC36" s="1814">
        <f t="shared" si="5"/>
        <v>1</v>
      </c>
    </row>
    <row r="37" spans="1:29" ht="15">
      <c r="A37" s="479" t="s">
        <v>2718</v>
      </c>
      <c r="B37" s="2696" t="s">
        <v>2719</v>
      </c>
      <c r="C37" s="1410" t="s">
        <v>1</v>
      </c>
      <c r="D37" s="1411"/>
      <c r="E37" s="1412"/>
      <c r="F37" s="1413"/>
      <c r="G37" s="1414"/>
      <c r="H37" s="1415"/>
      <c r="I37" s="1412"/>
      <c r="J37" s="1415"/>
      <c r="K37" s="619"/>
      <c r="L37" s="1146"/>
      <c r="M37" s="1147"/>
      <c r="N37" s="1134"/>
      <c r="O37" s="1147"/>
      <c r="P37" s="3215" t="str">
        <f>A37</f>
        <v>成交单价</v>
      </c>
      <c r="Q37" s="3215"/>
      <c r="R37" s="3216">
        <f>E37</f>
        <v>0</v>
      </c>
      <c r="S37" s="3216"/>
      <c r="T37" s="3216">
        <f>G37</f>
        <v>0</v>
      </c>
      <c r="U37" s="3216"/>
      <c r="V37" s="3216">
        <f>I37</f>
        <v>0</v>
      </c>
      <c r="W37" s="3216"/>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12" t="str">
        <f>A39</f>
        <v>估价对象XX用房的比较价值（楼面单价，元/平方米）</v>
      </c>
      <c r="Q39" s="3213"/>
      <c r="R39" s="3214" t="e">
        <f>IF(F1="售价",ROUND(AVERAGE(R38:V38),0),ROUND(AVERAGE(R38:V38),1))</f>
        <v>#DIV/0!</v>
      </c>
      <c r="S39" s="3214"/>
      <c r="T39" s="3214"/>
      <c r="U39" s="3214"/>
      <c r="V39" s="3214"/>
      <c r="W39" s="321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1609</v>
      </c>
    </row>
    <row r="2" spans="1:1">
      <c r="A2" s="1949"/>
    </row>
    <row r="3" spans="1:1" ht="18">
      <c r="A3" s="1950" t="str">
        <f>项目基本情况!B5&amp;"："</f>
        <v>北京万方达隆物业管理有限公司：</v>
      </c>
    </row>
    <row r="4" spans="1:1" ht="36">
      <c r="A4" s="1951" t="str">
        <f>"受贵公司委托，我公司对"&amp;项目基本情况!S1&amp;"进行了预评估。"</f>
        <v>受贵公司委托，我公司对北京市西城区鼓楼西大街207号房地产抵押价值进行了预评估。</v>
      </c>
    </row>
    <row r="5" spans="1:1" ht="18.75">
      <c r="A5" s="1952" t="s">
        <v>1610</v>
      </c>
    </row>
    <row r="6" spans="1:1" ht="18.75">
      <c r="A6" s="1953" t="s">
        <v>1611</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鼓楼西大街207号房地产，为北京万方达隆物业管理有限公司所有。根据《国有土地使用证》[京西国用（2007出）第20416号]，估价对象（分摊）出让国有建设用地使用权面积为303.25平方米，建筑面积为606.5平方米。</v>
      </c>
    </row>
    <row r="8" spans="1:1" ht="57.75">
      <c r="A8" s="1954" t="s">
        <v>1612</v>
      </c>
    </row>
    <row r="9" spans="1:1" ht="18.75">
      <c r="A9" s="1953" t="s">
        <v>1613</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鼓楼西大街207号房地产,为北京万方达隆物业管理有限公司开发建设的商业项目，该项目尚在开发建设中。根据《国有土地使用证》[京西国用（2007出）第20416号]，估价对象（分摊）出让国有建设用地使用权面积为303.25平方米，规划建筑面积为606.5平方米。</v>
      </c>
    </row>
    <row r="11" spans="1:1" ht="76.5">
      <c r="A11" s="1954" t="s">
        <v>1614</v>
      </c>
    </row>
    <row r="12" spans="1:1" ht="18.75">
      <c r="A12" s="1952" t="s">
        <v>1615</v>
      </c>
    </row>
    <row r="13" spans="1:1" ht="38.25" customHeight="1">
      <c r="A13" s="1955" t="str">
        <f>IF(项目基本情况!B8="抵押",IF(项目基本情况!B5=项目基本情况!B6,定义!C51,定义!B51),定义!D51)</f>
        <v>为估价委托人在向中国工商银行股份有限公司北京地安门支行办理贷款手续过程中，确定房地产抵押贷款额度提供参考依据而评估房地产抵押价值。</v>
      </c>
    </row>
    <row r="14" spans="1:1" ht="18.75">
      <c r="A14" s="1956" t="s">
        <v>1616</v>
      </c>
    </row>
    <row r="15" spans="1:1" ht="18">
      <c r="A15" s="1957" t="str">
        <f>TEXT(项目基本情况!D3,"yyyy年m月d日;;")&amp;IF(项目基本情况!D3=项目基本情况!B3,"（评估专业人员实地查勘之日）","")</f>
        <v>2018年6月5日（评估专业人员实地查勘之日）</v>
      </c>
    </row>
    <row r="16" spans="1:1" ht="18.75">
      <c r="A16" s="1956" t="s">
        <v>1617</v>
      </c>
    </row>
    <row r="17" spans="1:1" ht="75">
      <c r="A17" s="1951" t="s">
        <v>1618</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5日，估价对象规划用途为商业，土地取得方式为出让，出让国有建设用地使用权剩余土地使用年限为商业28.97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1607</v>
      </c>
    </row>
    <row r="24" spans="1:1" ht="18">
      <c r="A24" s="1958" t="str">
        <f>"本次评估采用的主估价方法为"&amp;结果表!K4&amp;"和"&amp;结果表!L4&amp;"。"</f>
        <v>本次评估采用的主估价方法为成本法和收益法。</v>
      </c>
    </row>
    <row r="25" spans="1:1" ht="18">
      <c r="A25" s="1958"/>
    </row>
    <row r="26" spans="1:1" ht="18.75">
      <c r="A26" s="1959" t="s">
        <v>1608</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5"/>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3"/>
      <c r="M4" s="1134"/>
      <c r="N4" s="1134"/>
      <c r="O4" s="1134"/>
      <c r="P4" s="3202" t="s">
        <v>2649</v>
      </c>
      <c r="Q4" s="3203"/>
      <c r="R4" s="3185" t="s">
        <v>2645</v>
      </c>
      <c r="S4" s="3186"/>
      <c r="T4" s="3185" t="s">
        <v>2646</v>
      </c>
      <c r="U4" s="3186"/>
      <c r="V4" s="3210" t="s">
        <v>2647</v>
      </c>
      <c r="W4" s="3210"/>
      <c r="X4" s="1816"/>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2544</v>
      </c>
      <c r="D6" s="3194"/>
      <c r="E6" s="3195" t="s">
        <v>2544</v>
      </c>
      <c r="F6" s="3196"/>
      <c r="G6" s="3193" t="s">
        <v>2544</v>
      </c>
      <c r="H6" s="3194"/>
      <c r="I6" s="3193" t="s">
        <v>2544</v>
      </c>
      <c r="J6" s="3194"/>
      <c r="K6" s="610" t="s">
        <v>2545</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2546</v>
      </c>
      <c r="B7" s="409"/>
      <c r="C7" s="410">
        <f>'数据-取费表'!B2</f>
        <v>43256</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83" t="s">
        <v>2547</v>
      </c>
      <c r="Q7" s="3211"/>
      <c r="R7" s="770" t="s">
        <v>17</v>
      </c>
      <c r="S7" s="771">
        <f t="shared" ref="S7:S14" si="0">F7</f>
        <v>0</v>
      </c>
      <c r="T7" s="770" t="s">
        <v>17</v>
      </c>
      <c r="U7" s="771">
        <f t="shared" ref="U7:U14" si="1">H7</f>
        <v>0</v>
      </c>
      <c r="V7" s="770" t="s">
        <v>17</v>
      </c>
      <c r="W7" s="771">
        <f t="shared" ref="W7:W14" si="2">J7</f>
        <v>0</v>
      </c>
      <c r="X7" s="772"/>
      <c r="Y7" s="3183" t="s">
        <v>2547</v>
      </c>
      <c r="Z7" s="318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3" t="s">
        <v>2550</v>
      </c>
      <c r="Q8" s="3184"/>
      <c r="R8" s="770" t="s">
        <v>17</v>
      </c>
      <c r="S8" s="771">
        <f t="shared" si="0"/>
        <v>0</v>
      </c>
      <c r="T8" s="770" t="s">
        <v>17</v>
      </c>
      <c r="U8" s="771">
        <f t="shared" si="1"/>
        <v>0</v>
      </c>
      <c r="V8" s="770" t="s">
        <v>17</v>
      </c>
      <c r="W8" s="771">
        <f t="shared" si="2"/>
        <v>0</v>
      </c>
      <c r="X8" s="772"/>
      <c r="Y8" s="3183" t="s">
        <v>2550</v>
      </c>
      <c r="Z8" s="318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5" t="s">
        <v>2553</v>
      </c>
      <c r="Q9" s="1798" t="str">
        <f t="shared" ref="Q9:Q14" si="6">B9</f>
        <v>用途</v>
      </c>
      <c r="R9" s="770" t="s">
        <v>17</v>
      </c>
      <c r="S9" s="771">
        <f t="shared" si="0"/>
        <v>100</v>
      </c>
      <c r="T9" s="770" t="s">
        <v>17</v>
      </c>
      <c r="U9" s="771">
        <f t="shared" si="1"/>
        <v>100</v>
      </c>
      <c r="V9" s="770" t="s">
        <v>17</v>
      </c>
      <c r="W9" s="771">
        <f t="shared" si="2"/>
        <v>100</v>
      </c>
      <c r="X9" s="772"/>
      <c r="Y9" s="302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5"/>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5"/>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99.75">
      <c r="A14" s="440" t="s">
        <v>2557</v>
      </c>
      <c r="B14" s="69" t="s">
        <v>2707</v>
      </c>
      <c r="C14" s="2694" t="str">
        <f>IF(B1="工业",估价对象房地状况!G4,估价对象房地状况!C6)</f>
        <v>估价对象周边交通路网密集、公共交通通达情况较好、停车便捷程度一般，综合评价交通便捷度较好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7" t="s">
        <v>2558</v>
      </c>
      <c r="Q14" s="1813" t="str">
        <f t="shared" si="6"/>
        <v>交通便捷度</v>
      </c>
      <c r="R14" s="774" t="s">
        <v>17</v>
      </c>
      <c r="S14" s="775">
        <f t="shared" si="0"/>
        <v>100</v>
      </c>
      <c r="T14" s="774" t="s">
        <v>17</v>
      </c>
      <c r="U14" s="775">
        <f t="shared" si="1"/>
        <v>100</v>
      </c>
      <c r="V14" s="774" t="s">
        <v>17</v>
      </c>
      <c r="W14" s="775">
        <f t="shared" si="2"/>
        <v>100</v>
      </c>
      <c r="X14" s="1816"/>
      <c r="Y14" s="3217"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8"/>
      <c r="Q15" s="1813"/>
      <c r="R15" s="774"/>
      <c r="S15" s="775"/>
      <c r="T15" s="774"/>
      <c r="U15" s="775"/>
      <c r="V15" s="774"/>
      <c r="W15" s="775"/>
      <c r="X15" s="1816"/>
      <c r="Y15" s="3218"/>
      <c r="Z15" s="1817"/>
      <c r="AA15" s="1814">
        <v>1</v>
      </c>
      <c r="AB15" s="1814">
        <v>1</v>
      </c>
      <c r="AC15" s="1814">
        <v>1</v>
      </c>
    </row>
    <row r="16" spans="1:29" ht="42.75">
      <c r="A16" s="428"/>
      <c r="B16" s="451" t="s">
        <v>2686</v>
      </c>
      <c r="C16" s="2608"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18"/>
      <c r="Q17" s="1813"/>
      <c r="R17" s="774"/>
      <c r="S17" s="775"/>
      <c r="T17" s="774"/>
      <c r="U17" s="775"/>
      <c r="V17" s="774"/>
      <c r="W17" s="775"/>
      <c r="X17" s="1816"/>
      <c r="Y17" s="3218"/>
      <c r="Z17" s="1817"/>
      <c r="AA17" s="1814">
        <v>1</v>
      </c>
      <c r="AB17" s="1814">
        <v>1</v>
      </c>
      <c r="AC17" s="1814">
        <v>1</v>
      </c>
    </row>
    <row r="18" spans="1:29" ht="15">
      <c r="A18" s="428"/>
      <c r="B18" s="1387" t="s">
        <v>2687</v>
      </c>
      <c r="C18" s="2608"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18"/>
      <c r="Q19" s="1813"/>
      <c r="R19" s="774"/>
      <c r="S19" s="775"/>
      <c r="T19" s="774"/>
      <c r="U19" s="775"/>
      <c r="V19" s="774"/>
      <c r="W19" s="775"/>
      <c r="X19" s="1816"/>
      <c r="Y19" s="3218"/>
      <c r="Z19" s="1817"/>
      <c r="AA19" s="1814">
        <v>1</v>
      </c>
      <c r="AB19" s="1814">
        <v>1</v>
      </c>
      <c r="AC19" s="1814">
        <v>1</v>
      </c>
    </row>
    <row r="20" spans="1:29" ht="85.5">
      <c r="A20" s="428"/>
      <c r="B20" s="451" t="s">
        <v>2708</v>
      </c>
      <c r="C20" s="2608" t="str">
        <f>IF(B1="工业",估价对象房地状况!G7,估价对象房地状况!C9)</f>
        <v>区域自然环境：什刹海公园、后海公园；人文环境：北京古钱币博物馆；综合评价环境状况较好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8"/>
      <c r="Q21" s="1813"/>
      <c r="R21" s="774"/>
      <c r="S21" s="775"/>
      <c r="T21" s="774"/>
      <c r="U21" s="775"/>
      <c r="V21" s="774"/>
      <c r="W21" s="775"/>
      <c r="X21" s="1816"/>
      <c r="Y21" s="3218"/>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8"/>
      <c r="Q24" s="1813">
        <f t="shared" ref="Q24:Q34"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4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2"/>
      <c r="Q28" s="1813" t="str">
        <f t="shared" si="11"/>
        <v>物业等级</v>
      </c>
      <c r="R28" s="774" t="s">
        <v>17</v>
      </c>
      <c r="S28" s="775">
        <f t="shared" si="12"/>
        <v>100</v>
      </c>
      <c r="T28" s="774" t="s">
        <v>17</v>
      </c>
      <c r="U28" s="775">
        <f t="shared" si="13"/>
        <v>100</v>
      </c>
      <c r="V28" s="774" t="s">
        <v>17</v>
      </c>
      <c r="W28" s="775">
        <f t="shared" si="14"/>
        <v>100</v>
      </c>
      <c r="X28" s="1816"/>
      <c r="Y28" s="322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2"/>
      <c r="Q29" s="1813" t="str">
        <f t="shared" si="11"/>
        <v>有无电梯</v>
      </c>
      <c r="R29" s="774" t="s">
        <v>17</v>
      </c>
      <c r="S29" s="775">
        <f t="shared" si="12"/>
        <v>100</v>
      </c>
      <c r="T29" s="774" t="s">
        <v>17</v>
      </c>
      <c r="U29" s="775">
        <f t="shared" si="13"/>
        <v>100</v>
      </c>
      <c r="V29" s="774" t="s">
        <v>17</v>
      </c>
      <c r="W29" s="775">
        <f t="shared" si="14"/>
        <v>100</v>
      </c>
      <c r="X29" s="1816"/>
      <c r="Y29" s="322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2"/>
      <c r="Q30" s="1813" t="str">
        <f t="shared" si="11"/>
        <v>建筑面积</v>
      </c>
      <c r="R30" s="774" t="s">
        <v>17</v>
      </c>
      <c r="S30" s="775" t="e">
        <f t="shared" si="12"/>
        <v>#N/A</v>
      </c>
      <c r="T30" s="774" t="s">
        <v>17</v>
      </c>
      <c r="U30" s="775" t="e">
        <f t="shared" si="13"/>
        <v>#N/A</v>
      </c>
      <c r="V30" s="774" t="s">
        <v>17</v>
      </c>
      <c r="W30" s="775" t="e">
        <f t="shared" si="14"/>
        <v>#N/A</v>
      </c>
      <c r="X30" s="1816"/>
      <c r="Y30" s="322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2"/>
      <c r="Q31" s="1798"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2" t="s">
        <v>2563</v>
      </c>
      <c r="Q32" s="1813">
        <f t="shared" si="11"/>
        <v>111</v>
      </c>
      <c r="R32" s="774" t="s">
        <v>17</v>
      </c>
      <c r="S32" s="775">
        <f t="shared" si="12"/>
        <v>100</v>
      </c>
      <c r="T32" s="774" t="s">
        <v>17</v>
      </c>
      <c r="U32" s="775">
        <f t="shared" si="13"/>
        <v>100</v>
      </c>
      <c r="V32" s="774" t="s">
        <v>17</v>
      </c>
      <c r="W32" s="775">
        <f t="shared" si="14"/>
        <v>100</v>
      </c>
      <c r="X32" s="1816"/>
      <c r="Y32" s="3222" t="s">
        <v>2563</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2"/>
      <c r="Q33" s="1813">
        <f t="shared" si="11"/>
        <v>111</v>
      </c>
      <c r="R33" s="774" t="s">
        <v>17</v>
      </c>
      <c r="S33" s="775">
        <f t="shared" si="12"/>
        <v>100</v>
      </c>
      <c r="T33" s="774" t="s">
        <v>17</v>
      </c>
      <c r="U33" s="775">
        <f t="shared" si="13"/>
        <v>100</v>
      </c>
      <c r="V33" s="774" t="s">
        <v>17</v>
      </c>
      <c r="W33" s="775">
        <f t="shared" si="14"/>
        <v>100</v>
      </c>
      <c r="X33" s="1816"/>
      <c r="Y33" s="3222"/>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15" t="str">
        <f>A35</f>
        <v>成交单价（元/平方米）</v>
      </c>
      <c r="Q35" s="3215"/>
      <c r="R35" s="3216">
        <f>E35</f>
        <v>0</v>
      </c>
      <c r="S35" s="3216"/>
      <c r="T35" s="3216">
        <f>G35</f>
        <v>0</v>
      </c>
      <c r="U35" s="3216"/>
      <c r="V35" s="3216">
        <f>I35</f>
        <v>0</v>
      </c>
      <c r="W35" s="3216"/>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12" t="str">
        <f>A37</f>
        <v>估价对象XX用房的比较价值（楼面单价，元/平方米）</v>
      </c>
      <c r="Q37" s="3213"/>
      <c r="R37" s="3214" t="e">
        <f>IF(F1="售价",ROUND(AVERAGE(R36:V36),0),ROUND(AVERAGE(R36:V36),1))</f>
        <v>#DIV/0!</v>
      </c>
      <c r="S37" s="3214"/>
      <c r="T37" s="3214"/>
      <c r="U37" s="3214"/>
      <c r="V37" s="3214"/>
      <c r="W37" s="321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8" t="s">
        <v>2644</v>
      </c>
      <c r="D4" s="3199"/>
      <c r="E4" s="3200" t="s">
        <v>2645</v>
      </c>
      <c r="F4" s="3201"/>
      <c r="G4" s="3198" t="s">
        <v>2646</v>
      </c>
      <c r="H4" s="3199"/>
      <c r="I4" s="3198" t="s">
        <v>2647</v>
      </c>
      <c r="J4" s="3199"/>
      <c r="K4" s="610" t="s">
        <v>2648</v>
      </c>
      <c r="L4" s="1133"/>
      <c r="M4" s="1134"/>
      <c r="N4" s="1134"/>
      <c r="O4" s="1134"/>
      <c r="P4" s="3202" t="s">
        <v>2649</v>
      </c>
      <c r="Q4" s="3203"/>
      <c r="R4" s="3185" t="s">
        <v>2645</v>
      </c>
      <c r="S4" s="3186"/>
      <c r="T4" s="3185" t="s">
        <v>2646</v>
      </c>
      <c r="U4" s="3186"/>
      <c r="V4" s="3210" t="s">
        <v>2647</v>
      </c>
      <c r="W4" s="3210"/>
      <c r="X4" s="1816"/>
      <c r="Y4" s="3185" t="s">
        <v>2649</v>
      </c>
      <c r="Z4" s="3186"/>
      <c r="AA4" s="3180" t="s">
        <v>2645</v>
      </c>
      <c r="AB4" s="3181" t="s">
        <v>2646</v>
      </c>
      <c r="AC4" s="3180" t="s">
        <v>2647</v>
      </c>
    </row>
    <row r="5" spans="1:30" ht="15">
      <c r="A5" s="404"/>
      <c r="B5" s="405"/>
      <c r="C5" s="3191" t="s">
        <v>2540</v>
      </c>
      <c r="D5" s="3192"/>
      <c r="E5" s="3189" t="s">
        <v>2541</v>
      </c>
      <c r="F5" s="3190"/>
      <c r="G5" s="3191" t="s">
        <v>2542</v>
      </c>
      <c r="H5" s="3192"/>
      <c r="I5" s="3191" t="s">
        <v>2543</v>
      </c>
      <c r="J5" s="3192"/>
      <c r="K5" s="610"/>
      <c r="L5" s="1133"/>
      <c r="M5" s="1134"/>
      <c r="N5" s="1134"/>
      <c r="O5" s="1134"/>
      <c r="P5" s="3204"/>
      <c r="Q5" s="3205"/>
      <c r="R5" s="3187"/>
      <c r="S5" s="3188"/>
      <c r="T5" s="3187"/>
      <c r="U5" s="3188"/>
      <c r="V5" s="3210"/>
      <c r="W5" s="3210"/>
      <c r="X5" s="1816"/>
      <c r="Y5" s="3187"/>
      <c r="Z5" s="3188"/>
      <c r="AA5" s="3181"/>
      <c r="AB5" s="3181"/>
      <c r="AC5" s="3181"/>
    </row>
    <row r="6" spans="1:30" ht="15.75" thickBot="1">
      <c r="A6" s="406"/>
      <c r="B6" s="407"/>
      <c r="C6" s="3193" t="s">
        <v>2544</v>
      </c>
      <c r="D6" s="3194"/>
      <c r="E6" s="3195" t="s">
        <v>2544</v>
      </c>
      <c r="F6" s="3196"/>
      <c r="G6" s="3193" t="s">
        <v>2544</v>
      </c>
      <c r="H6" s="3194"/>
      <c r="I6" s="3193" t="s">
        <v>2544</v>
      </c>
      <c r="J6" s="3194"/>
      <c r="K6" s="610" t="s">
        <v>2545</v>
      </c>
      <c r="L6" s="1133"/>
      <c r="M6" s="1134"/>
      <c r="N6" s="1134"/>
      <c r="O6" s="1134"/>
      <c r="P6" s="3206"/>
      <c r="Q6" s="3207"/>
      <c r="R6" s="3187"/>
      <c r="S6" s="3188"/>
      <c r="T6" s="3208"/>
      <c r="U6" s="3209"/>
      <c r="V6" s="3210"/>
      <c r="W6" s="3210"/>
      <c r="X6" s="1816"/>
      <c r="Y6" s="3208"/>
      <c r="Z6" s="3209"/>
      <c r="AA6" s="3182"/>
      <c r="AB6" s="3182"/>
      <c r="AC6" s="3182"/>
    </row>
    <row r="7" spans="1:30" s="117" customFormat="1" ht="15.75" thickBot="1">
      <c r="A7" s="408" t="s">
        <v>2546</v>
      </c>
      <c r="B7" s="409"/>
      <c r="C7" s="410">
        <f>'数据-取费表'!B2</f>
        <v>43256</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3" t="s">
        <v>2550</v>
      </c>
      <c r="Q8" s="3184"/>
      <c r="R8" s="770" t="s">
        <v>17</v>
      </c>
      <c r="S8" s="771">
        <f t="shared" si="0"/>
        <v>0</v>
      </c>
      <c r="T8" s="770" t="s">
        <v>17</v>
      </c>
      <c r="U8" s="771">
        <f t="shared" si="1"/>
        <v>0</v>
      </c>
      <c r="V8" s="770" t="s">
        <v>17</v>
      </c>
      <c r="W8" s="771">
        <f t="shared" si="2"/>
        <v>0</v>
      </c>
      <c r="X8" s="772"/>
      <c r="Y8" s="3183" t="s">
        <v>2550</v>
      </c>
      <c r="Z8" s="3184"/>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5" t="s">
        <v>2553</v>
      </c>
      <c r="Q9" s="1798"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15"/>
      <c r="Q10" s="1798" t="str">
        <f t="shared" si="6"/>
        <v>土地使用年限（年）</v>
      </c>
      <c r="R10" s="770" t="s">
        <v>17</v>
      </c>
      <c r="S10" s="771">
        <f t="shared" si="0"/>
        <v>113</v>
      </c>
      <c r="T10" s="770" t="s">
        <v>17</v>
      </c>
      <c r="U10" s="771">
        <f t="shared" si="1"/>
        <v>113</v>
      </c>
      <c r="V10" s="770" t="s">
        <v>17</v>
      </c>
      <c r="W10" s="771">
        <f t="shared" si="2"/>
        <v>113</v>
      </c>
      <c r="X10" s="772"/>
      <c r="Y10" s="3026"/>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5"/>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2557</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7" t="s">
        <v>2558</v>
      </c>
      <c r="Q15" s="1813" t="str">
        <f t="shared" si="6"/>
        <v>居住社区成熟度</v>
      </c>
      <c r="R15" s="774" t="s">
        <v>17</v>
      </c>
      <c r="S15" s="775">
        <f t="shared" si="0"/>
        <v>100</v>
      </c>
      <c r="T15" s="774" t="s">
        <v>17</v>
      </c>
      <c r="U15" s="775">
        <f t="shared" si="1"/>
        <v>100</v>
      </c>
      <c r="V15" s="774" t="s">
        <v>17</v>
      </c>
      <c r="W15" s="775">
        <f t="shared" si="2"/>
        <v>100</v>
      </c>
      <c r="X15" s="1816"/>
      <c r="Y15" s="3217" t="s">
        <v>2558</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71.25">
      <c r="A17" s="428"/>
      <c r="B17" s="451" t="s">
        <v>2651</v>
      </c>
      <c r="C17" s="2665" t="str">
        <f>估价对象房地状况!C16</f>
        <v>估价对象位于德内商圈，周边商业氛围成熟，人流量较大，商业繁华较好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8"/>
      <c r="Q17" s="1813" t="str">
        <f>B17</f>
        <v>商业繁华度</v>
      </c>
      <c r="R17" s="774" t="s">
        <v>17</v>
      </c>
      <c r="S17" s="775">
        <f>F17</f>
        <v>100</v>
      </c>
      <c r="T17" s="774" t="s">
        <v>17</v>
      </c>
      <c r="U17" s="775">
        <f>H17</f>
        <v>100</v>
      </c>
      <c r="V17" s="774" t="s">
        <v>17</v>
      </c>
      <c r="W17" s="775">
        <f>J17</f>
        <v>100</v>
      </c>
      <c r="X17" s="1816"/>
      <c r="Y17" s="3218"/>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8"/>
      <c r="Q19" s="1813" t="str">
        <f>B19</f>
        <v>办公集聚程度</v>
      </c>
      <c r="R19" s="774" t="s">
        <v>17</v>
      </c>
      <c r="S19" s="775">
        <f>F19</f>
        <v>100</v>
      </c>
      <c r="T19" s="774" t="s">
        <v>17</v>
      </c>
      <c r="U19" s="775">
        <f>H19</f>
        <v>100</v>
      </c>
      <c r="V19" s="774" t="s">
        <v>17</v>
      </c>
      <c r="W19" s="775">
        <f>J19</f>
        <v>100</v>
      </c>
      <c r="X19" s="1816"/>
      <c r="Y19" s="3218"/>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18"/>
      <c r="Q20" s="1813"/>
      <c r="R20" s="774"/>
      <c r="S20" s="775"/>
      <c r="T20" s="774"/>
      <c r="U20" s="775"/>
      <c r="V20" s="774"/>
      <c r="W20" s="775"/>
      <c r="X20" s="1816"/>
      <c r="Y20" s="3218"/>
      <c r="Z20" s="1817"/>
      <c r="AA20" s="1814">
        <v>1</v>
      </c>
      <c r="AB20" s="1814">
        <v>1</v>
      </c>
      <c r="AC20" s="1814">
        <v>1</v>
      </c>
    </row>
    <row r="21" spans="1:29" ht="99.75">
      <c r="A21" s="428"/>
      <c r="B21" s="451" t="s">
        <v>2707</v>
      </c>
      <c r="C21" s="2608" t="str">
        <f>估价对象房地状况!C18</f>
        <v>估价对象周边交通路网密集、公共交通通达情况较好、停车便捷程度一般，综合评价交通便捷度较好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8"/>
      <c r="Q21" s="1813" t="str">
        <f>B21</f>
        <v>交通便捷度</v>
      </c>
      <c r="R21" s="774" t="s">
        <v>17</v>
      </c>
      <c r="S21" s="775">
        <f>F21</f>
        <v>100</v>
      </c>
      <c r="T21" s="774" t="s">
        <v>17</v>
      </c>
      <c r="U21" s="775">
        <f>H21</f>
        <v>100</v>
      </c>
      <c r="V21" s="774" t="s">
        <v>17</v>
      </c>
      <c r="W21" s="775">
        <f>J21</f>
        <v>100</v>
      </c>
      <c r="X21" s="1816"/>
      <c r="Y21" s="3218"/>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8"/>
      <c r="Q23" s="1813" t="str">
        <f t="shared" ref="Q23:Q37" si="8">B23</f>
        <v>区域土地利用方向</v>
      </c>
      <c r="R23" s="774" t="s">
        <v>17</v>
      </c>
      <c r="S23" s="775">
        <f>F23</f>
        <v>100</v>
      </c>
      <c r="T23" s="774" t="s">
        <v>17</v>
      </c>
      <c r="U23" s="775">
        <f>H23</f>
        <v>100</v>
      </c>
      <c r="V23" s="774" t="s">
        <v>17</v>
      </c>
      <c r="W23" s="775">
        <f>J23</f>
        <v>100</v>
      </c>
      <c r="X23" s="1816"/>
      <c r="Y23" s="3218"/>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18"/>
      <c r="Q24" s="1813"/>
      <c r="R24" s="774"/>
      <c r="S24" s="775"/>
      <c r="T24" s="774"/>
      <c r="U24" s="775"/>
      <c r="V24" s="774"/>
      <c r="W24" s="775"/>
      <c r="X24" s="1816"/>
      <c r="Y24" s="3218"/>
      <c r="Z24" s="1817"/>
      <c r="AA24" s="1814"/>
      <c r="AB24" s="1814"/>
      <c r="AC24" s="1814"/>
    </row>
    <row r="25" spans="1:29" ht="85.5">
      <c r="A25" s="404"/>
      <c r="B25" s="1387" t="s">
        <v>2747</v>
      </c>
      <c r="C25" s="2665" t="str">
        <f>估价对象房地状况!C20</f>
        <v>区域自然环境：什刹海公园、后海公园；人文环境：北京古钱币博物馆；综合评价环境状况较好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8"/>
      <c r="Q25" s="1813" t="str">
        <f t="shared" si="8"/>
        <v>自然及人文环境状况</v>
      </c>
      <c r="R25" s="774" t="s">
        <v>17</v>
      </c>
      <c r="S25" s="775">
        <f>F25</f>
        <v>100</v>
      </c>
      <c r="T25" s="774" t="s">
        <v>17</v>
      </c>
      <c r="U25" s="775">
        <f>H25</f>
        <v>100</v>
      </c>
      <c r="V25" s="774" t="s">
        <v>17</v>
      </c>
      <c r="W25" s="775">
        <f>J25</f>
        <v>100</v>
      </c>
      <c r="X25" s="1816"/>
      <c r="Y25" s="3218"/>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18"/>
      <c r="Q26" s="1813"/>
      <c r="R26" s="774"/>
      <c r="S26" s="775"/>
      <c r="T26" s="774"/>
      <c r="U26" s="775"/>
      <c r="V26" s="774"/>
      <c r="W26" s="775"/>
      <c r="X26" s="1816"/>
      <c r="Y26" s="3218"/>
      <c r="Z26" s="1817"/>
      <c r="AA26" s="1814">
        <v>1</v>
      </c>
      <c r="AB26" s="1814">
        <v>1</v>
      </c>
      <c r="AC26" s="1814">
        <v>1</v>
      </c>
    </row>
    <row r="27" spans="1:29" s="117" customFormat="1" ht="42.75">
      <c r="A27" s="649"/>
      <c r="B27" s="1387" t="s">
        <v>2652</v>
      </c>
      <c r="C27" s="2608"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8"/>
      <c r="Q27" s="1798" t="str">
        <f t="shared" si="8"/>
        <v>公共配套设施</v>
      </c>
      <c r="R27" s="770" t="s">
        <v>17</v>
      </c>
      <c r="S27" s="771">
        <f>F27</f>
        <v>100</v>
      </c>
      <c r="T27" s="770" t="s">
        <v>17</v>
      </c>
      <c r="U27" s="771">
        <f>H27</f>
        <v>100</v>
      </c>
      <c r="V27" s="770" t="s">
        <v>17</v>
      </c>
      <c r="W27" s="771">
        <f>J27</f>
        <v>100</v>
      </c>
      <c r="X27" s="772"/>
      <c r="Y27" s="3218"/>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18"/>
      <c r="Q28" s="1798"/>
      <c r="R28" s="770"/>
      <c r="S28" s="771"/>
      <c r="T28" s="770"/>
      <c r="U28" s="771"/>
      <c r="V28" s="770"/>
      <c r="W28" s="771"/>
      <c r="X28" s="772"/>
      <c r="Y28" s="3218"/>
      <c r="Z28" s="55"/>
      <c r="AA28" s="1814">
        <v>1</v>
      </c>
      <c r="AB28" s="1814">
        <v>1</v>
      </c>
      <c r="AC28" s="1814">
        <v>1</v>
      </c>
    </row>
    <row r="29" spans="1:29" s="117" customFormat="1" ht="15">
      <c r="A29" s="649"/>
      <c r="B29" s="1387" t="s">
        <v>2653</v>
      </c>
      <c r="C29" s="2608"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8"/>
      <c r="Q29" s="1798"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18"/>
      <c r="Q30" s="1798"/>
      <c r="R30" s="770"/>
      <c r="S30" s="771"/>
      <c r="T30" s="770"/>
      <c r="U30" s="771"/>
      <c r="V30" s="770"/>
      <c r="W30" s="771"/>
      <c r="X30" s="772"/>
      <c r="Y30" s="3218"/>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8"/>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8"/>
      <c r="Q32" s="1813" t="str">
        <f t="shared" si="8"/>
        <v>毗邻道路的类型与等级</v>
      </c>
      <c r="R32" s="774" t="s">
        <v>17</v>
      </c>
      <c r="S32" s="775">
        <f t="shared" si="10"/>
        <v>100</v>
      </c>
      <c r="T32" s="774" t="s">
        <v>17</v>
      </c>
      <c r="U32" s="775">
        <f t="shared" si="11"/>
        <v>100</v>
      </c>
      <c r="V32" s="774" t="s">
        <v>17</v>
      </c>
      <c r="W32" s="775">
        <f t="shared" si="12"/>
        <v>100</v>
      </c>
      <c r="X32" s="1816"/>
      <c r="Y32" s="3218"/>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18"/>
      <c r="Q33" s="1813"/>
      <c r="R33" s="774"/>
      <c r="S33" s="775"/>
      <c r="T33" s="774"/>
      <c r="U33" s="775"/>
      <c r="V33" s="774"/>
      <c r="W33" s="775"/>
      <c r="X33" s="1816"/>
      <c r="Y33" s="3218"/>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8"/>
      <c r="Q34" s="1813" t="str">
        <f t="shared" si="8"/>
        <v>土地级别</v>
      </c>
      <c r="R34" s="774" t="s">
        <v>17</v>
      </c>
      <c r="S34" s="775">
        <f t="shared" si="10"/>
        <v>100</v>
      </c>
      <c r="T34" s="774" t="s">
        <v>17</v>
      </c>
      <c r="U34" s="775">
        <f t="shared" si="11"/>
        <v>100</v>
      </c>
      <c r="V34" s="774" t="s">
        <v>17</v>
      </c>
      <c r="W34" s="775">
        <f t="shared" si="12"/>
        <v>100</v>
      </c>
      <c r="X34" s="1816"/>
      <c r="Y34" s="321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8"/>
      <c r="Q35" s="1813">
        <f t="shared" si="8"/>
        <v>111</v>
      </c>
      <c r="R35" s="774" t="s">
        <v>17</v>
      </c>
      <c r="S35" s="775">
        <f t="shared" si="10"/>
        <v>100</v>
      </c>
      <c r="T35" s="774" t="s">
        <v>17</v>
      </c>
      <c r="U35" s="775">
        <f t="shared" si="11"/>
        <v>100</v>
      </c>
      <c r="V35" s="774" t="s">
        <v>17</v>
      </c>
      <c r="W35" s="775">
        <f t="shared" si="12"/>
        <v>100</v>
      </c>
      <c r="X35" s="1816"/>
      <c r="Y35" s="321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2563</v>
      </c>
      <c r="Q36" s="1813">
        <f t="shared" si="8"/>
        <v>111</v>
      </c>
      <c r="R36" s="774" t="s">
        <v>17</v>
      </c>
      <c r="S36" s="775">
        <f t="shared" si="10"/>
        <v>100</v>
      </c>
      <c r="T36" s="774" t="s">
        <v>17</v>
      </c>
      <c r="U36" s="775">
        <f t="shared" si="11"/>
        <v>100</v>
      </c>
      <c r="V36" s="774" t="s">
        <v>17</v>
      </c>
      <c r="W36" s="775">
        <f t="shared" si="12"/>
        <v>100</v>
      </c>
      <c r="X36" s="1816"/>
      <c r="Y36" s="322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2"/>
      <c r="Q37" s="1813">
        <f t="shared" si="8"/>
        <v>111</v>
      </c>
      <c r="R37" s="777" t="s">
        <v>17</v>
      </c>
      <c r="S37" s="778">
        <f t="shared" si="10"/>
        <v>100</v>
      </c>
      <c r="T37" s="777" t="s">
        <v>17</v>
      </c>
      <c r="U37" s="778">
        <f t="shared" si="11"/>
        <v>100</v>
      </c>
      <c r="V37" s="777" t="s">
        <v>17</v>
      </c>
      <c r="W37" s="778">
        <f t="shared" si="12"/>
        <v>100</v>
      </c>
      <c r="X37" s="779"/>
      <c r="Y37" s="322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2"/>
      <c r="Q38" s="1813" t="str">
        <f>B38</f>
        <v>宗地面积</v>
      </c>
      <c r="R38" s="774" t="s">
        <v>17</v>
      </c>
      <c r="S38" s="775" t="e">
        <f t="shared" si="10"/>
        <v>#N/A</v>
      </c>
      <c r="T38" s="774" t="s">
        <v>17</v>
      </c>
      <c r="U38" s="775" t="e">
        <f t="shared" si="11"/>
        <v>#N/A</v>
      </c>
      <c r="V38" s="774" t="s">
        <v>17</v>
      </c>
      <c r="W38" s="775" t="e">
        <f t="shared" si="12"/>
        <v>#N/A</v>
      </c>
      <c r="X38" s="1816"/>
      <c r="Y38" s="3222"/>
      <c r="Z38" s="1817" t="str">
        <f t="shared" si="13"/>
        <v>宗地面积</v>
      </c>
      <c r="AA38" s="1814" t="e">
        <f t="shared" si="3"/>
        <v>#N/A</v>
      </c>
      <c r="AB38" s="1814" t="e">
        <f t="shared" si="4"/>
        <v>#N/A</v>
      </c>
      <c r="AC38" s="1814"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2"/>
      <c r="Q39" s="1813" t="str">
        <f t="shared" ref="Q39:Q45" si="14">B39</f>
        <v>宗地形状</v>
      </c>
      <c r="R39" s="774" t="s">
        <v>17</v>
      </c>
      <c r="S39" s="775">
        <f t="shared" si="10"/>
        <v>100</v>
      </c>
      <c r="T39" s="774" t="s">
        <v>17</v>
      </c>
      <c r="U39" s="775">
        <f t="shared" si="11"/>
        <v>100</v>
      </c>
      <c r="V39" s="774" t="s">
        <v>17</v>
      </c>
      <c r="W39" s="775">
        <f t="shared" si="12"/>
        <v>100</v>
      </c>
      <c r="X39" s="1816"/>
      <c r="Y39" s="3222"/>
      <c r="Z39" s="1817" t="str">
        <f t="shared" si="13"/>
        <v>宗地形状</v>
      </c>
      <c r="AA39" s="1814">
        <f t="shared" si="3"/>
        <v>1</v>
      </c>
      <c r="AB39" s="1814">
        <f t="shared" si="4"/>
        <v>1</v>
      </c>
      <c r="AC39" s="1814">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2"/>
      <c r="Q40" s="1813" t="str">
        <f t="shared" si="14"/>
        <v>临街宽度及深度</v>
      </c>
      <c r="R40" s="774" t="s">
        <v>17</v>
      </c>
      <c r="S40" s="775">
        <f t="shared" si="10"/>
        <v>100</v>
      </c>
      <c r="T40" s="774" t="s">
        <v>17</v>
      </c>
      <c r="U40" s="775">
        <f t="shared" si="11"/>
        <v>100</v>
      </c>
      <c r="V40" s="774" t="s">
        <v>17</v>
      </c>
      <c r="W40" s="775">
        <f t="shared" si="12"/>
        <v>100</v>
      </c>
      <c r="X40" s="1816"/>
      <c r="Y40" s="3222"/>
      <c r="Z40" s="1817" t="str">
        <f t="shared" si="13"/>
        <v>临街宽度及深度</v>
      </c>
      <c r="AA40" s="1814">
        <f t="shared" si="3"/>
        <v>1</v>
      </c>
      <c r="AB40" s="1814">
        <f t="shared" si="4"/>
        <v>1</v>
      </c>
      <c r="AC40" s="1814">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2"/>
      <c r="Q41" s="1813"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2" t="s">
        <v>2563</v>
      </c>
      <c r="Q42" s="1813" t="str">
        <f t="shared" si="14"/>
        <v>工程地质条件</v>
      </c>
      <c r="R42" s="774" t="s">
        <v>17</v>
      </c>
      <c r="S42" s="775">
        <f t="shared" si="10"/>
        <v>100</v>
      </c>
      <c r="T42" s="774" t="s">
        <v>17</v>
      </c>
      <c r="U42" s="775">
        <f t="shared" si="11"/>
        <v>100</v>
      </c>
      <c r="V42" s="774" t="s">
        <v>17</v>
      </c>
      <c r="W42" s="775">
        <f t="shared" si="12"/>
        <v>100</v>
      </c>
      <c r="X42" s="1816"/>
      <c r="Y42" s="322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2"/>
      <c r="Q43" s="1813">
        <f t="shared" si="14"/>
        <v>111</v>
      </c>
      <c r="R43" s="774" t="s">
        <v>17</v>
      </c>
      <c r="S43" s="775">
        <f t="shared" si="10"/>
        <v>100</v>
      </c>
      <c r="T43" s="774" t="s">
        <v>17</v>
      </c>
      <c r="U43" s="775">
        <f t="shared" si="11"/>
        <v>100</v>
      </c>
      <c r="V43" s="774" t="s">
        <v>17</v>
      </c>
      <c r="W43" s="775">
        <f t="shared" si="12"/>
        <v>100</v>
      </c>
      <c r="X43" s="1816"/>
      <c r="Y43" s="322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2"/>
      <c r="Q44" s="1813">
        <f t="shared" si="14"/>
        <v>111</v>
      </c>
      <c r="R44" s="774" t="s">
        <v>17</v>
      </c>
      <c r="S44" s="775">
        <f t="shared" si="10"/>
        <v>100</v>
      </c>
      <c r="T44" s="774" t="s">
        <v>17</v>
      </c>
      <c r="U44" s="775">
        <f t="shared" si="11"/>
        <v>100</v>
      </c>
      <c r="V44" s="774" t="s">
        <v>17</v>
      </c>
      <c r="W44" s="775">
        <f t="shared" si="12"/>
        <v>100</v>
      </c>
      <c r="X44" s="1816"/>
      <c r="Y44" s="3222"/>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2"/>
      <c r="Q45" s="1813">
        <f t="shared" si="14"/>
        <v>111</v>
      </c>
      <c r="R45" s="777" t="s">
        <v>17</v>
      </c>
      <c r="S45" s="778">
        <f t="shared" si="10"/>
        <v>100</v>
      </c>
      <c r="T45" s="777" t="s">
        <v>17</v>
      </c>
      <c r="U45" s="778">
        <f t="shared" si="11"/>
        <v>100</v>
      </c>
      <c r="V45" s="777" t="s">
        <v>17</v>
      </c>
      <c r="W45" s="778">
        <f t="shared" si="12"/>
        <v>100</v>
      </c>
      <c r="X45" s="779"/>
      <c r="Y45" s="3222"/>
      <c r="Z45" s="780">
        <f t="shared" si="13"/>
        <v>111</v>
      </c>
      <c r="AA45" s="1814">
        <f t="shared" si="3"/>
        <v>1</v>
      </c>
      <c r="AB45" s="1814">
        <f t="shared" si="4"/>
        <v>1</v>
      </c>
      <c r="AC45" s="1814">
        <f t="shared" si="5"/>
        <v>1</v>
      </c>
    </row>
    <row r="46" spans="1:29" ht="15">
      <c r="A46" s="479" t="s">
        <v>2718</v>
      </c>
      <c r="B46" s="2705" t="s">
        <v>2754</v>
      </c>
      <c r="C46" s="682" t="s">
        <v>1</v>
      </c>
      <c r="D46" s="481"/>
      <c r="E46" s="482"/>
      <c r="F46" s="483"/>
      <c r="G46" s="484"/>
      <c r="H46" s="485"/>
      <c r="I46" s="482"/>
      <c r="J46" s="485"/>
      <c r="K46" s="783"/>
      <c r="L46" s="1146"/>
      <c r="M46" s="1147"/>
      <c r="N46" s="1134"/>
      <c r="O46" s="1147"/>
      <c r="P46" s="3215" t="str">
        <f>A46</f>
        <v>成交单价</v>
      </c>
      <c r="Q46" s="3215"/>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15" t="str">
        <f>A47</f>
        <v>比较价值（元/平方米）</v>
      </c>
      <c r="Q47" s="3215"/>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12" t="str">
        <f>A48</f>
        <v>估价对象XX用房的比较价值（楼面单价，元/平方米）</v>
      </c>
      <c r="Q48" s="3213"/>
      <c r="R48" s="3243" t="e">
        <f>ROUND(AVERAGE(R47:V47),0)</f>
        <v>#DIV/0!</v>
      </c>
      <c r="S48" s="3243"/>
      <c r="T48" s="3243"/>
      <c r="U48" s="3243"/>
      <c r="V48" s="3243"/>
      <c r="W48" s="324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6" t="s">
        <v>2758</v>
      </c>
      <c r="D55" s="2707" t="s">
        <v>2759</v>
      </c>
      <c r="E55" s="686" t="s">
        <v>2760</v>
      </c>
      <c r="F55" s="1110" t="s">
        <v>2761</v>
      </c>
      <c r="G55" s="3198" t="s">
        <v>2762</v>
      </c>
      <c r="H55" s="3244"/>
      <c r="I55" s="144" t="s">
        <v>2763</v>
      </c>
      <c r="J55" s="2708">
        <f>项目基本情况!F35</f>
        <v>0</v>
      </c>
      <c r="K55" s="2709" t="s">
        <v>2764</v>
      </c>
      <c r="L55" s="1109"/>
      <c r="M55" s="1147"/>
      <c r="N55" s="1147"/>
      <c r="O55" s="1147"/>
    </row>
    <row r="56" spans="1:15" s="692" customFormat="1">
      <c r="A56" s="688" t="s">
        <v>2765</v>
      </c>
      <c r="B56" s="689" t="e">
        <f>C48</f>
        <v>#DIV/0!</v>
      </c>
      <c r="C56" s="690">
        <v>1</v>
      </c>
      <c r="D56" s="1166">
        <v>1</v>
      </c>
      <c r="E56" s="690">
        <f>'数据-汇总表'!E8+'数据-汇总表'!E9</f>
        <v>606.5</v>
      </c>
      <c r="F56" s="1106" t="e">
        <f t="shared" ref="F56:F65" si="15">ROUND(B56*E56/10000,0)</f>
        <v>#DIV/0!</v>
      </c>
      <c r="G56" s="3197"/>
      <c r="H56" s="3215"/>
      <c r="I56" s="1111">
        <v>1</v>
      </c>
      <c r="J56" s="1114">
        <v>1</v>
      </c>
      <c r="K56" s="1148"/>
      <c r="L56" s="944"/>
      <c r="M56" s="944"/>
      <c r="N56" s="944"/>
      <c r="O56" s="944"/>
    </row>
    <row r="57" spans="1:15" s="692" customFormat="1">
      <c r="A57" s="693" t="s">
        <v>2766</v>
      </c>
      <c r="B57" s="262" t="e">
        <f>ROUND($C$48*C57*D57,0)</f>
        <v>#DIV/0!</v>
      </c>
      <c r="C57" s="200">
        <f t="shared" ref="C57:C65" si="16">IF($C$55="北京市系数",I57,J57)</f>
        <v>0.8</v>
      </c>
      <c r="D57" s="1167">
        <v>0.25</v>
      </c>
      <c r="E57" s="694"/>
      <c r="F57" s="1106" t="e">
        <f t="shared" si="15"/>
        <v>#DIV/0!</v>
      </c>
      <c r="G57" s="3245" t="s">
        <v>2767</v>
      </c>
      <c r="H57" s="1107" t="str">
        <f>项目基本情况!B37</f>
        <v>二级</v>
      </c>
      <c r="I57" s="1111">
        <f>SUMIF(修正!A45:A56,H57,修正!B45:B56)</f>
        <v>0.8</v>
      </c>
      <c r="J57" s="1115"/>
      <c r="K57" s="1147"/>
      <c r="L57" s="944"/>
      <c r="M57" s="944"/>
      <c r="N57" s="944"/>
      <c r="O57" s="944"/>
    </row>
    <row r="58" spans="1:15" s="692" customFormat="1">
      <c r="A58" s="693" t="s">
        <v>2768</v>
      </c>
      <c r="B58" s="262" t="e">
        <f t="shared" ref="B58:B65" si="17">ROUND($C$48*C58*D58,0)</f>
        <v>#DIV/0!</v>
      </c>
      <c r="C58" s="200">
        <f t="shared" si="16"/>
        <v>0.5</v>
      </c>
      <c r="D58" s="1167">
        <v>0.25</v>
      </c>
      <c r="E58" s="694"/>
      <c r="F58" s="1106" t="e">
        <f t="shared" si="15"/>
        <v>#DIV/0!</v>
      </c>
      <c r="G58" s="3245"/>
      <c r="H58" s="1107" t="str">
        <f>项目基本情况!B37</f>
        <v>二级</v>
      </c>
      <c r="I58" s="1111">
        <f>SUMIF(修正!A45:A56,H58,修正!C45:C56)</f>
        <v>0.5</v>
      </c>
      <c r="J58" s="1115"/>
      <c r="K58" s="1148"/>
      <c r="L58" s="944"/>
      <c r="M58" s="944"/>
      <c r="N58" s="944"/>
      <c r="O58" s="944"/>
    </row>
    <row r="59" spans="1:15" s="692" customFormat="1">
      <c r="A59" s="693" t="s">
        <v>2769</v>
      </c>
      <c r="B59" s="262" t="e">
        <f t="shared" si="17"/>
        <v>#DIV/0!</v>
      </c>
      <c r="C59" s="200">
        <f t="shared" si="16"/>
        <v>0.36</v>
      </c>
      <c r="D59" s="1167">
        <v>0.25</v>
      </c>
      <c r="E59" s="694"/>
      <c r="F59" s="1106" t="e">
        <f t="shared" si="15"/>
        <v>#DIV/0!</v>
      </c>
      <c r="G59" s="3245"/>
      <c r="H59" s="1107" t="str">
        <f>项目基本情况!B37</f>
        <v>二级</v>
      </c>
      <c r="I59" s="1111">
        <f>SUMIF(修正!A45:A56,H59,修正!D45:D56)</f>
        <v>0.36</v>
      </c>
      <c r="J59" s="1115"/>
      <c r="K59" s="1147"/>
      <c r="L59" s="944"/>
      <c r="M59" s="944"/>
      <c r="N59" s="944"/>
      <c r="O59" s="944"/>
    </row>
    <row r="60" spans="1:15" s="692" customFormat="1">
      <c r="A60" s="693" t="s">
        <v>2770</v>
      </c>
      <c r="B60" s="262" t="e">
        <f t="shared" si="17"/>
        <v>#DIV/0!</v>
      </c>
      <c r="C60" s="200">
        <f t="shared" si="16"/>
        <v>0.3</v>
      </c>
      <c r="D60" s="1167">
        <v>0.25</v>
      </c>
      <c r="E60" s="694"/>
      <c r="F60" s="1106" t="e">
        <f t="shared" si="15"/>
        <v>#DIV/0!</v>
      </c>
      <c r="G60" s="3245"/>
      <c r="H60" s="1107" t="str">
        <f>项目基本情况!B37</f>
        <v>二级</v>
      </c>
      <c r="I60" s="1111">
        <f>SUMIF(修正!A45:A56,H60,修正!E45:E56)</f>
        <v>0.3</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0"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0.25</v>
      </c>
      <c r="D64" s="1167">
        <v>0.25</v>
      </c>
      <c r="E64" s="261">
        <f>'数据-汇总表'!E14</f>
        <v>0</v>
      </c>
      <c r="F64" s="1106" t="e">
        <f t="shared" si="15"/>
        <v>#DIV/0!</v>
      </c>
      <c r="G64" s="2710" t="s">
        <v>2767</v>
      </c>
      <c r="H64" s="1107" t="str">
        <f>项目基本情况!B37</f>
        <v>二级</v>
      </c>
      <c r="I64" s="1111">
        <f>SUMIF(修正!A45:A56,H64,修正!H45:H56)</f>
        <v>0.25</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1"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606.5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2"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2781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33"/>
      <c r="M4" s="1134"/>
      <c r="N4" s="1134"/>
      <c r="O4" s="1134"/>
      <c r="P4" s="3202" t="s">
        <v>2649</v>
      </c>
      <c r="Q4" s="3203"/>
      <c r="R4" s="3185" t="s">
        <v>2645</v>
      </c>
      <c r="S4" s="3186"/>
      <c r="T4" s="3185" t="s">
        <v>2646</v>
      </c>
      <c r="U4" s="3186"/>
      <c r="V4" s="3210" t="s">
        <v>2647</v>
      </c>
      <c r="W4" s="3210"/>
      <c r="X4" s="1816"/>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246" t="s">
        <v>2795</v>
      </c>
      <c r="D6" s="3247"/>
      <c r="E6" s="3248" t="s">
        <v>2795</v>
      </c>
      <c r="F6" s="3249"/>
      <c r="G6" s="3246" t="s">
        <v>2795</v>
      </c>
      <c r="H6" s="3247"/>
      <c r="I6" s="3246" t="s">
        <v>2795</v>
      </c>
      <c r="J6" s="3247"/>
      <c r="K6" s="610" t="s">
        <v>2545</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2546</v>
      </c>
      <c r="B7" s="409"/>
      <c r="C7" s="410">
        <f>'数据-取费表'!B2</f>
        <v>43256</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3" t="s">
        <v>2550</v>
      </c>
      <c r="Q8" s="3184"/>
      <c r="R8" s="770" t="s">
        <v>17</v>
      </c>
      <c r="S8" s="771">
        <f t="shared" si="0"/>
        <v>0</v>
      </c>
      <c r="T8" s="770" t="s">
        <v>17</v>
      </c>
      <c r="U8" s="771">
        <f t="shared" si="1"/>
        <v>0</v>
      </c>
      <c r="V8" s="770" t="s">
        <v>17</v>
      </c>
      <c r="W8" s="771">
        <f t="shared" si="2"/>
        <v>0</v>
      </c>
      <c r="X8" s="772"/>
      <c r="Y8" s="3183" t="s">
        <v>2550</v>
      </c>
      <c r="Z8" s="3184"/>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5" t="s">
        <v>2553</v>
      </c>
      <c r="Q9" s="1798"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15"/>
      <c r="Q10" s="1798" t="str">
        <f t="shared" si="6"/>
        <v>土地使用年限（年）</v>
      </c>
      <c r="R10" s="770" t="s">
        <v>17</v>
      </c>
      <c r="S10" s="771">
        <f t="shared" si="0"/>
        <v>113</v>
      </c>
      <c r="T10" s="770" t="s">
        <v>17</v>
      </c>
      <c r="U10" s="771">
        <f t="shared" si="1"/>
        <v>113</v>
      </c>
      <c r="V10" s="770" t="s">
        <v>17</v>
      </c>
      <c r="W10" s="771">
        <f t="shared" si="2"/>
        <v>113</v>
      </c>
      <c r="X10" s="772"/>
      <c r="Y10" s="3026"/>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7" t="s">
        <v>2558</v>
      </c>
      <c r="Q15" s="1813" t="str">
        <f t="shared" si="6"/>
        <v>产业集聚程度</v>
      </c>
      <c r="R15" s="774" t="s">
        <v>17</v>
      </c>
      <c r="S15" s="775">
        <f t="shared" si="0"/>
        <v>100</v>
      </c>
      <c r="T15" s="774" t="s">
        <v>17</v>
      </c>
      <c r="U15" s="775">
        <f t="shared" si="1"/>
        <v>100</v>
      </c>
      <c r="V15" s="774" t="s">
        <v>17</v>
      </c>
      <c r="W15" s="775">
        <f t="shared" si="2"/>
        <v>100</v>
      </c>
      <c r="X15" s="1816"/>
      <c r="Y15" s="3217" t="s">
        <v>2558</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8"/>
      <c r="Q19" s="1813" t="str">
        <f t="shared" ref="Q19:Q33" si="8">B19</f>
        <v>区域土地利用方向</v>
      </c>
      <c r="R19" s="774" t="s">
        <v>17</v>
      </c>
      <c r="S19" s="775">
        <f>F19</f>
        <v>100</v>
      </c>
      <c r="T19" s="774" t="s">
        <v>17</v>
      </c>
      <c r="U19" s="775">
        <f>H19</f>
        <v>100</v>
      </c>
      <c r="V19" s="774" t="s">
        <v>17</v>
      </c>
      <c r="W19" s="775">
        <f>J19</f>
        <v>100</v>
      </c>
      <c r="X19" s="1816"/>
      <c r="Y19" s="3218"/>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18"/>
      <c r="Q20" s="1813"/>
      <c r="R20" s="774"/>
      <c r="S20" s="775"/>
      <c r="T20" s="774"/>
      <c r="U20" s="775"/>
      <c r="V20" s="774"/>
      <c r="W20" s="775"/>
      <c r="X20" s="1816"/>
      <c r="Y20" s="3218"/>
      <c r="Z20" s="1817"/>
      <c r="AA20" s="1814"/>
      <c r="AB20" s="1814"/>
      <c r="AC20" s="1814"/>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8"/>
      <c r="Q21" s="1813" t="str">
        <f t="shared" si="8"/>
        <v>环境状况</v>
      </c>
      <c r="R21" s="774" t="s">
        <v>17</v>
      </c>
      <c r="S21" s="775">
        <f>F21</f>
        <v>100</v>
      </c>
      <c r="T21" s="774" t="s">
        <v>17</v>
      </c>
      <c r="U21" s="775">
        <f>H21</f>
        <v>100</v>
      </c>
      <c r="V21" s="774" t="s">
        <v>17</v>
      </c>
      <c r="W21" s="775">
        <f>J21</f>
        <v>100</v>
      </c>
      <c r="X21" s="1816"/>
      <c r="Y21" s="3218"/>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8"/>
      <c r="Q23" s="1798" t="str">
        <f t="shared" si="8"/>
        <v>公共配套设施</v>
      </c>
      <c r="R23" s="770" t="s">
        <v>17</v>
      </c>
      <c r="S23" s="771">
        <f>F23</f>
        <v>100</v>
      </c>
      <c r="T23" s="770" t="s">
        <v>17</v>
      </c>
      <c r="U23" s="771">
        <f>H23</f>
        <v>100</v>
      </c>
      <c r="V23" s="770" t="s">
        <v>17</v>
      </c>
      <c r="W23" s="771">
        <f>J23</f>
        <v>100</v>
      </c>
      <c r="X23" s="772"/>
      <c r="Y23" s="3218"/>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18"/>
      <c r="Q24" s="1798"/>
      <c r="R24" s="770"/>
      <c r="S24" s="771"/>
      <c r="T24" s="770"/>
      <c r="U24" s="771"/>
      <c r="V24" s="770"/>
      <c r="W24" s="771"/>
      <c r="X24" s="772"/>
      <c r="Y24" s="3218"/>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8"/>
      <c r="Q25" s="1798"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18"/>
      <c r="Q26" s="1798"/>
      <c r="R26" s="770"/>
      <c r="S26" s="771"/>
      <c r="T26" s="770"/>
      <c r="U26" s="771"/>
      <c r="V26" s="770"/>
      <c r="W26" s="771"/>
      <c r="X26" s="772"/>
      <c r="Y26" s="321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8"/>
      <c r="Z27" s="1817" t="str">
        <f t="shared" ref="Z27:Z40" si="13">Q27</f>
        <v>临街状况</v>
      </c>
      <c r="AA27" s="1814">
        <f t="shared" si="3"/>
        <v>1</v>
      </c>
      <c r="AB27" s="1814">
        <f t="shared" si="4"/>
        <v>1</v>
      </c>
      <c r="AC27" s="1814">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8"/>
      <c r="Q28" s="1813" t="str">
        <f t="shared" si="8"/>
        <v>毗邻道路的类型与等级</v>
      </c>
      <c r="R28" s="774" t="s">
        <v>17</v>
      </c>
      <c r="S28" s="775">
        <f t="shared" si="10"/>
        <v>100</v>
      </c>
      <c r="T28" s="774" t="s">
        <v>17</v>
      </c>
      <c r="U28" s="775">
        <f t="shared" si="11"/>
        <v>100</v>
      </c>
      <c r="V28" s="774" t="s">
        <v>17</v>
      </c>
      <c r="W28" s="775">
        <f t="shared" si="12"/>
        <v>100</v>
      </c>
      <c r="X28" s="1816"/>
      <c r="Y28" s="3218"/>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18"/>
      <c r="Q29" s="1813"/>
      <c r="R29" s="774"/>
      <c r="S29" s="775"/>
      <c r="T29" s="774"/>
      <c r="U29" s="775"/>
      <c r="V29" s="774"/>
      <c r="W29" s="775"/>
      <c r="X29" s="1816"/>
      <c r="Y29" s="3218"/>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8"/>
      <c r="Q30" s="1813" t="str">
        <f t="shared" si="8"/>
        <v>土地级别</v>
      </c>
      <c r="R30" s="774" t="s">
        <v>17</v>
      </c>
      <c r="S30" s="775">
        <f t="shared" si="10"/>
        <v>100</v>
      </c>
      <c r="T30" s="774" t="s">
        <v>17</v>
      </c>
      <c r="U30" s="775">
        <f t="shared" si="11"/>
        <v>100</v>
      </c>
      <c r="V30" s="774" t="s">
        <v>17</v>
      </c>
      <c r="W30" s="775">
        <f t="shared" si="12"/>
        <v>100</v>
      </c>
      <c r="X30" s="1816"/>
      <c r="Y30" s="3218"/>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8"/>
      <c r="Q31" s="1813">
        <f t="shared" si="8"/>
        <v>111</v>
      </c>
      <c r="R31" s="774" t="s">
        <v>17</v>
      </c>
      <c r="S31" s="775">
        <f t="shared" si="10"/>
        <v>100</v>
      </c>
      <c r="T31" s="774" t="s">
        <v>17</v>
      </c>
      <c r="U31" s="775">
        <f t="shared" si="11"/>
        <v>100</v>
      </c>
      <c r="V31" s="774" t="s">
        <v>17</v>
      </c>
      <c r="W31" s="775">
        <f t="shared" si="12"/>
        <v>100</v>
      </c>
      <c r="X31" s="1816"/>
      <c r="Y31" s="3218"/>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2563</v>
      </c>
      <c r="Q32" s="1813">
        <f t="shared" si="8"/>
        <v>111</v>
      </c>
      <c r="R32" s="774" t="s">
        <v>17</v>
      </c>
      <c r="S32" s="775">
        <f t="shared" si="10"/>
        <v>100</v>
      </c>
      <c r="T32" s="774" t="s">
        <v>17</v>
      </c>
      <c r="U32" s="775">
        <f t="shared" si="11"/>
        <v>100</v>
      </c>
      <c r="V32" s="774" t="s">
        <v>17</v>
      </c>
      <c r="W32" s="775">
        <f t="shared" si="12"/>
        <v>100</v>
      </c>
      <c r="X32" s="1816"/>
      <c r="Y32" s="3222" t="s">
        <v>2563</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2"/>
      <c r="Q33" s="1813">
        <f t="shared" si="8"/>
        <v>111</v>
      </c>
      <c r="R33" s="777" t="s">
        <v>17</v>
      </c>
      <c r="S33" s="778">
        <f t="shared" si="10"/>
        <v>100</v>
      </c>
      <c r="T33" s="777" t="s">
        <v>17</v>
      </c>
      <c r="U33" s="778">
        <f t="shared" si="11"/>
        <v>100</v>
      </c>
      <c r="V33" s="777" t="s">
        <v>17</v>
      </c>
      <c r="W33" s="778">
        <f t="shared" si="12"/>
        <v>100</v>
      </c>
      <c r="X33" s="779"/>
      <c r="Y33" s="3222"/>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2"/>
      <c r="Q34" s="1813" t="str">
        <f>B34</f>
        <v>宗地面积</v>
      </c>
      <c r="R34" s="774" t="s">
        <v>17</v>
      </c>
      <c r="S34" s="775" t="e">
        <f t="shared" si="10"/>
        <v>#N/A</v>
      </c>
      <c r="T34" s="774" t="s">
        <v>17</v>
      </c>
      <c r="U34" s="775" t="e">
        <f t="shared" si="11"/>
        <v>#N/A</v>
      </c>
      <c r="V34" s="774" t="s">
        <v>17</v>
      </c>
      <c r="W34" s="775" t="e">
        <f t="shared" si="12"/>
        <v>#N/A</v>
      </c>
      <c r="X34" s="1816"/>
      <c r="Y34" s="3222"/>
      <c r="Z34" s="1817" t="str">
        <f t="shared" si="13"/>
        <v>宗地面积</v>
      </c>
      <c r="AA34" s="1814" t="e">
        <f t="shared" si="3"/>
        <v>#N/A</v>
      </c>
      <c r="AB34" s="1814" t="e">
        <f t="shared" si="4"/>
        <v>#N/A</v>
      </c>
      <c r="AC34" s="1814"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2"/>
      <c r="Q35" s="1813" t="str">
        <f t="shared" ref="Q35:Q40" si="14">B35</f>
        <v>宗地形状</v>
      </c>
      <c r="R35" s="774" t="s">
        <v>17</v>
      </c>
      <c r="S35" s="775">
        <f t="shared" si="10"/>
        <v>100</v>
      </c>
      <c r="T35" s="774" t="s">
        <v>17</v>
      </c>
      <c r="U35" s="775">
        <f t="shared" si="11"/>
        <v>100</v>
      </c>
      <c r="V35" s="774" t="s">
        <v>17</v>
      </c>
      <c r="W35" s="775">
        <f t="shared" si="12"/>
        <v>100</v>
      </c>
      <c r="X35" s="1816"/>
      <c r="Y35" s="3222"/>
      <c r="Z35" s="1817" t="str">
        <f t="shared" si="13"/>
        <v>宗地形状</v>
      </c>
      <c r="AA35" s="1814">
        <f t="shared" si="3"/>
        <v>1</v>
      </c>
      <c r="AB35" s="1814">
        <f t="shared" si="4"/>
        <v>1</v>
      </c>
      <c r="AC35" s="1814">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2"/>
      <c r="Q36" s="1813"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2" t="s">
        <v>2563</v>
      </c>
      <c r="Q37" s="1813" t="str">
        <f t="shared" si="14"/>
        <v>工程地质条件</v>
      </c>
      <c r="R37" s="774" t="s">
        <v>17</v>
      </c>
      <c r="S37" s="775">
        <f t="shared" si="10"/>
        <v>100</v>
      </c>
      <c r="T37" s="774" t="s">
        <v>17</v>
      </c>
      <c r="U37" s="775">
        <f t="shared" si="11"/>
        <v>100</v>
      </c>
      <c r="V37" s="774" t="s">
        <v>17</v>
      </c>
      <c r="W37" s="775">
        <f t="shared" si="12"/>
        <v>100</v>
      </c>
      <c r="X37" s="1816"/>
      <c r="Y37" s="3222"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2"/>
      <c r="Q38" s="1813">
        <f t="shared" si="14"/>
        <v>111</v>
      </c>
      <c r="R38" s="774" t="s">
        <v>17</v>
      </c>
      <c r="S38" s="775">
        <f t="shared" si="10"/>
        <v>100</v>
      </c>
      <c r="T38" s="774" t="s">
        <v>17</v>
      </c>
      <c r="U38" s="775">
        <f t="shared" si="11"/>
        <v>100</v>
      </c>
      <c r="V38" s="774" t="s">
        <v>17</v>
      </c>
      <c r="W38" s="775">
        <f t="shared" si="12"/>
        <v>100</v>
      </c>
      <c r="X38" s="1816"/>
      <c r="Y38" s="322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2"/>
      <c r="Q39" s="1813">
        <f t="shared" si="14"/>
        <v>111</v>
      </c>
      <c r="R39" s="774" t="s">
        <v>17</v>
      </c>
      <c r="S39" s="775">
        <f t="shared" si="10"/>
        <v>100</v>
      </c>
      <c r="T39" s="774" t="s">
        <v>17</v>
      </c>
      <c r="U39" s="775">
        <f t="shared" si="11"/>
        <v>100</v>
      </c>
      <c r="V39" s="774" t="s">
        <v>17</v>
      </c>
      <c r="W39" s="775">
        <f t="shared" si="12"/>
        <v>100</v>
      </c>
      <c r="X39" s="1816"/>
      <c r="Y39" s="3222"/>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2"/>
      <c r="Q40" s="1813">
        <f t="shared" si="14"/>
        <v>111</v>
      </c>
      <c r="R40" s="777" t="s">
        <v>17</v>
      </c>
      <c r="S40" s="778">
        <f t="shared" si="10"/>
        <v>100</v>
      </c>
      <c r="T40" s="777" t="s">
        <v>17</v>
      </c>
      <c r="U40" s="778">
        <f t="shared" si="11"/>
        <v>100</v>
      </c>
      <c r="V40" s="777" t="s">
        <v>17</v>
      </c>
      <c r="W40" s="778">
        <f t="shared" si="12"/>
        <v>100</v>
      </c>
      <c r="X40" s="779"/>
      <c r="Y40" s="3222"/>
      <c r="Z40" s="780">
        <f t="shared" si="13"/>
        <v>111</v>
      </c>
      <c r="AA40" s="1814">
        <f t="shared" si="3"/>
        <v>1</v>
      </c>
      <c r="AB40" s="1814">
        <f t="shared" si="4"/>
        <v>1</v>
      </c>
      <c r="AC40" s="1814">
        <f t="shared" si="5"/>
        <v>1</v>
      </c>
    </row>
    <row r="41" spans="1:29" ht="15">
      <c r="A41" s="479" t="s">
        <v>2718</v>
      </c>
      <c r="B41" s="2705" t="s">
        <v>2798</v>
      </c>
      <c r="C41" s="682" t="s">
        <v>1</v>
      </c>
      <c r="D41" s="481"/>
      <c r="E41" s="482"/>
      <c r="F41" s="483"/>
      <c r="G41" s="484"/>
      <c r="H41" s="485"/>
      <c r="I41" s="482"/>
      <c r="J41" s="485"/>
      <c r="K41" s="783"/>
      <c r="L41" s="1146"/>
      <c r="M41" s="1134"/>
      <c r="N41" s="1134"/>
      <c r="O41" s="1147"/>
      <c r="P41" s="3215" t="str">
        <f>A41</f>
        <v>成交单价</v>
      </c>
      <c r="Q41" s="3215"/>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15" t="str">
        <f>A42</f>
        <v>比较价值（元/平方米）</v>
      </c>
      <c r="Q42" s="3215"/>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12" t="str">
        <f>A43</f>
        <v>估价对象XX用房的比较价值（楼面单价，元/平方米）</v>
      </c>
      <c r="Q43" s="3213"/>
      <c r="R43" s="3243" t="e">
        <f>ROUND(AVERAGE(R42:V42),0)</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6" t="s">
        <v>2758</v>
      </c>
      <c r="D50" s="2707" t="s">
        <v>2759</v>
      </c>
      <c r="E50" s="686" t="s">
        <v>2760</v>
      </c>
      <c r="F50" s="687" t="s">
        <v>2761</v>
      </c>
      <c r="G50" s="3198" t="s">
        <v>2762</v>
      </c>
      <c r="H50" s="3244"/>
      <c r="I50" s="1817" t="s">
        <v>2799</v>
      </c>
      <c r="J50" s="1817">
        <f>项目基本情况!F35</f>
        <v>0</v>
      </c>
      <c r="K50" s="2709" t="s">
        <v>2764</v>
      </c>
      <c r="L50" s="1109"/>
      <c r="M50" s="1147"/>
      <c r="N50" s="1147"/>
      <c r="O50" s="1147"/>
    </row>
    <row r="51" spans="1:17" s="692" customFormat="1">
      <c r="A51" s="688" t="s">
        <v>2765</v>
      </c>
      <c r="B51" s="689" t="e">
        <f>C43</f>
        <v>#DIV/0!</v>
      </c>
      <c r="C51" s="690">
        <v>1</v>
      </c>
      <c r="D51" s="1166">
        <v>1</v>
      </c>
      <c r="E51" s="690">
        <f>'数据-汇总表'!E8+'数据-汇总表'!E9</f>
        <v>606.5</v>
      </c>
      <c r="F51" s="691" t="e">
        <f t="shared" ref="F51:F60" si="15">ROUND(B51*E51/10000,0)</f>
        <v>#DIV/0!</v>
      </c>
      <c r="G51" s="3197"/>
      <c r="H51" s="3215"/>
      <c r="I51" s="945">
        <v>1</v>
      </c>
      <c r="J51" s="945">
        <v>1</v>
      </c>
      <c r="K51" s="1148"/>
      <c r="L51" s="944"/>
      <c r="M51" s="944"/>
      <c r="N51" s="944"/>
      <c r="O51" s="944"/>
    </row>
    <row r="52" spans="1:17" s="692" customFormat="1">
      <c r="A52" s="693" t="s">
        <v>2766</v>
      </c>
      <c r="B52" s="262" t="e">
        <f>ROUND($C$43*C52*D52,0)</f>
        <v>#DIV/0!</v>
      </c>
      <c r="C52" s="200">
        <f t="shared" ref="C52:C60" si="16">IF($C$50="北京市系数",I52,J52)</f>
        <v>0.8</v>
      </c>
      <c r="D52" s="1167">
        <v>0.25</v>
      </c>
      <c r="E52" s="694"/>
      <c r="F52" s="691" t="e">
        <f t="shared" si="15"/>
        <v>#DIV/0!</v>
      </c>
      <c r="G52" s="3245" t="s">
        <v>2767</v>
      </c>
      <c r="H52" s="1107" t="str">
        <f>项目基本情况!B37</f>
        <v>二级</v>
      </c>
      <c r="I52" s="945">
        <f>SUMIF(修正!A45:A56,H52,修正!B45:B56)</f>
        <v>0.8</v>
      </c>
      <c r="J52" s="946"/>
      <c r="K52" s="1147"/>
      <c r="L52" s="944"/>
      <c r="M52" s="944"/>
      <c r="N52" s="944"/>
      <c r="O52" s="944"/>
    </row>
    <row r="53" spans="1:17" s="692" customFormat="1">
      <c r="A53" s="693" t="s">
        <v>2768</v>
      </c>
      <c r="B53" s="262" t="e">
        <f t="shared" ref="B53:B60" si="17">ROUND($C$43*C53*D53,0)</f>
        <v>#DIV/0!</v>
      </c>
      <c r="C53" s="200">
        <f t="shared" si="16"/>
        <v>0.5</v>
      </c>
      <c r="D53" s="1167">
        <v>0.25</v>
      </c>
      <c r="E53" s="694"/>
      <c r="F53" s="691" t="e">
        <f t="shared" si="15"/>
        <v>#DIV/0!</v>
      </c>
      <c r="G53" s="3245"/>
      <c r="H53" s="1107" t="str">
        <f>项目基本情况!B37</f>
        <v>二级</v>
      </c>
      <c r="I53" s="945">
        <f>SUMIF(修正!A45:A56,H53,修正!C45:C56)</f>
        <v>0.5</v>
      </c>
      <c r="J53" s="946"/>
      <c r="K53" s="1148"/>
      <c r="L53" s="944"/>
      <c r="M53" s="944"/>
      <c r="N53" s="944"/>
      <c r="O53" s="944"/>
    </row>
    <row r="54" spans="1:17" s="692" customFormat="1">
      <c r="A54" s="693" t="s">
        <v>2769</v>
      </c>
      <c r="B54" s="262" t="e">
        <f t="shared" si="17"/>
        <v>#DIV/0!</v>
      </c>
      <c r="C54" s="200">
        <f t="shared" si="16"/>
        <v>0.36</v>
      </c>
      <c r="D54" s="1167">
        <v>0.25</v>
      </c>
      <c r="E54" s="694"/>
      <c r="F54" s="691" t="e">
        <f t="shared" si="15"/>
        <v>#DIV/0!</v>
      </c>
      <c r="G54" s="3245"/>
      <c r="H54" s="1107" t="str">
        <f>项目基本情况!B37</f>
        <v>二级</v>
      </c>
      <c r="I54" s="945">
        <f>SUMIF(修正!A45:A56,H54,修正!D45:D56)</f>
        <v>0.36</v>
      </c>
      <c r="J54" s="946"/>
      <c r="K54" s="1147"/>
      <c r="L54" s="944"/>
      <c r="M54" s="944"/>
      <c r="N54" s="944"/>
      <c r="O54" s="944"/>
    </row>
    <row r="55" spans="1:17" s="692" customFormat="1">
      <c r="A55" s="693" t="s">
        <v>2770</v>
      </c>
      <c r="B55" s="262" t="e">
        <f t="shared" si="17"/>
        <v>#DIV/0!</v>
      </c>
      <c r="C55" s="200">
        <f t="shared" si="16"/>
        <v>0.3</v>
      </c>
      <c r="D55" s="1167">
        <v>0.25</v>
      </c>
      <c r="E55" s="694"/>
      <c r="F55" s="691" t="e">
        <f t="shared" si="15"/>
        <v>#DIV/0!</v>
      </c>
      <c r="G55" s="3245"/>
      <c r="H55" s="1107" t="str">
        <f>项目基本情况!B37</f>
        <v>二级</v>
      </c>
      <c r="I55" s="945">
        <f>SUMIF(修正!A45:A56,H55,修正!E45:E56)</f>
        <v>0.3</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0"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0.25</v>
      </c>
      <c r="D59" s="1167">
        <v>0.25</v>
      </c>
      <c r="E59" s="261">
        <f>'数据-汇总表'!E14</f>
        <v>0</v>
      </c>
      <c r="F59" s="691" t="e">
        <f t="shared" si="15"/>
        <v>#DIV/0!</v>
      </c>
      <c r="G59" s="2710" t="s">
        <v>2767</v>
      </c>
      <c r="H59" s="1107" t="str">
        <f>项目基本情况!B37</f>
        <v>二级</v>
      </c>
      <c r="I59" s="945">
        <f>SUMIF(修正!A45:A56,H59,修正!H45:H56)</f>
        <v>0.25</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1"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303.25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2"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2800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V2" sqref="V2:V3"/>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5" customWidth="1"/>
    <col min="33" max="36" width="9.375" style="2796" customWidth="1"/>
    <col min="37" max="38" width="9.375" style="2721" customWidth="1"/>
    <col min="39" max="16384" width="12" style="2721"/>
  </cols>
  <sheetData>
    <row r="1" spans="1:36" ht="28.5">
      <c r="A1" s="240" t="s">
        <v>2802</v>
      </c>
      <c r="B1" s="241"/>
      <c r="C1" s="245" t="s">
        <v>2803</v>
      </c>
      <c r="D1" s="388">
        <f>SUM(D29:D30,D33:D39)</f>
        <v>606.5</v>
      </c>
      <c r="E1" s="2718"/>
      <c r="F1" s="2718"/>
      <c r="G1" s="2718"/>
      <c r="H1" s="2718"/>
      <c r="I1" s="2718"/>
      <c r="J1" s="2718"/>
      <c r="K1" s="1373"/>
      <c r="L1" s="2719" t="s">
        <v>2804</v>
      </c>
      <c r="M1" s="1083">
        <f>SUMPRODUCT((区片价!B5:B9=I2)*(区片价!C3:F3=E2)*(区片价!C5:F9))</f>
        <v>0</v>
      </c>
      <c r="N1" s="1086">
        <f>SUMPRODUCT((因素修正幅度!B5:B9=I2)*(因素修正幅度!C3:F3=E2)*(因素修正幅度!C5:F9))</f>
        <v>0</v>
      </c>
      <c r="O1" s="2720"/>
      <c r="P1" s="2720"/>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4857</v>
      </c>
      <c r="C2" s="2722" t="s">
        <v>2811</v>
      </c>
      <c r="D2" s="2723" t="s">
        <v>2812</v>
      </c>
      <c r="E2" s="2724" t="s">
        <v>1377</v>
      </c>
      <c r="F2" s="2723" t="s">
        <v>2813</v>
      </c>
      <c r="G2" s="2725" t="str">
        <f>IF(E2="商业",项目基本情况!B37,IF(E2="办公",项目基本情况!C37,IF(E2="住宅",项目基本情况!D37,项目基本情况!E37)))</f>
        <v>二级</v>
      </c>
      <c r="H2" s="2723" t="s">
        <v>2814</v>
      </c>
      <c r="I2" s="2725" t="str">
        <f>IF(E2="商业",项目基本情况!B38,IF(E2="办公",项目基本情况!C38,IF(E2="住宅",项目基本情况!D38,项目基本情况!E38)))</f>
        <v>Ⅱ—01</v>
      </c>
      <c r="J2" s="2726"/>
      <c r="K2" s="1373"/>
      <c r="L2" s="2727" t="s">
        <v>2815</v>
      </c>
      <c r="M2" s="1084">
        <f>SUMPRODUCT((区片价!B10:B28=I2)*(区片价!C3:F3=E2)*(区片价!C10:F28))</f>
        <v>27450</v>
      </c>
      <c r="N2" s="1086">
        <f>SUMPRODUCT((因素修正幅度!B10:B28=I2)*(因素修正幅度!C3:F3=E2)*(因素修正幅度!C10:F28))</f>
        <v>8.8999999999999996E-2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80084</v>
      </c>
      <c r="U2" s="1606">
        <v>303.25</v>
      </c>
      <c r="V2" s="1605">
        <f ca="1">ROUND(T2*U2/10000,0)</f>
        <v>2429</v>
      </c>
      <c r="W2" s="1609"/>
      <c r="X2" s="1609"/>
      <c r="Y2" s="1609"/>
      <c r="Z2" s="1609"/>
      <c r="AA2" s="1609"/>
      <c r="AB2" s="1609"/>
      <c r="AC2" s="1610"/>
      <c r="AD2" s="1611"/>
      <c r="AE2" s="1611"/>
      <c r="AF2" s="1611"/>
      <c r="AG2" s="1611"/>
      <c r="AH2" s="1611"/>
      <c r="AI2" s="1611"/>
      <c r="AJ2" s="1612"/>
    </row>
    <row r="3" spans="1:36" ht="15.75">
      <c r="A3" s="247" t="s">
        <v>2816</v>
      </c>
      <c r="B3" s="248">
        <f ca="1">ROUND(B2*10000/D1,0)</f>
        <v>80082</v>
      </c>
      <c r="C3" s="2722" t="s">
        <v>2817</v>
      </c>
      <c r="D3" s="2723" t="s">
        <v>2818</v>
      </c>
      <c r="E3" s="2728" t="s">
        <v>3098</v>
      </c>
      <c r="F3" s="2729" t="s">
        <v>2819</v>
      </c>
      <c r="G3" s="916">
        <f>IF(F3="宗地容积率",'数据-汇总表'!I4,IF(F3="估价对象容积率",'数据-汇总表'!I6,'数据-汇总表'!I7))</f>
        <v>2</v>
      </c>
      <c r="H3" s="198" t="s">
        <v>2820</v>
      </c>
      <c r="I3" s="947">
        <v>1</v>
      </c>
      <c r="J3" s="2726" t="s">
        <v>2821</v>
      </c>
      <c r="K3" s="1373"/>
      <c r="L3" s="2727"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58725</v>
      </c>
      <c r="U3" s="1606">
        <v>303.25</v>
      </c>
      <c r="V3" s="1605">
        <f t="shared" ref="V3:V16" ca="1" si="1">ROUND(T3*U3/10000,0)</f>
        <v>1781</v>
      </c>
      <c r="W3" s="1609"/>
      <c r="X3" s="1609"/>
      <c r="Y3" s="1609"/>
      <c r="Z3" s="1609"/>
      <c r="AA3" s="1609"/>
      <c r="AB3" s="1609"/>
      <c r="AC3" s="1610"/>
      <c r="AD3" s="1611"/>
      <c r="AE3" s="1611"/>
      <c r="AF3" s="1611"/>
      <c r="AG3" s="1611"/>
      <c r="AH3" s="1611"/>
      <c r="AI3" s="1611"/>
      <c r="AJ3" s="1612"/>
    </row>
    <row r="4" spans="1:36" ht="15.75">
      <c r="A4" s="3264"/>
      <c r="B4" s="3265"/>
      <c r="C4" s="3265"/>
      <c r="D4" s="3266"/>
      <c r="E4" s="3266"/>
      <c r="F4" s="3266"/>
      <c r="G4" s="3266"/>
      <c r="H4" s="3266"/>
      <c r="I4" s="3266"/>
      <c r="J4" s="3267"/>
      <c r="K4" s="1373"/>
      <c r="L4" s="2727"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47955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2824</v>
      </c>
      <c r="C5" s="917">
        <f>ROUND(IF(E2="商业",IF(F16="增加",C6*C7+C16,C6*C7-C16),IF(E2="住宅",IF(F16="增加",C6*C12+C16,C6*C12-C16),IF(F16="增加",C6+C16,C6-C16))),0)</f>
        <v>38185</v>
      </c>
      <c r="D5" s="1790">
        <f>ROUND(IF(E2="商业",IF(F16="增加",C6+C16,C6-C16)),0)</f>
        <v>27419</v>
      </c>
      <c r="E5" s="2732"/>
      <c r="F5" s="2732"/>
      <c r="G5" s="2733"/>
      <c r="H5" s="2733"/>
      <c r="I5" s="2733"/>
      <c r="J5" s="2734"/>
      <c r="K5" s="2735"/>
      <c r="L5" s="2727"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39798</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2826</v>
      </c>
      <c r="B6" s="2741" t="s">
        <v>2827</v>
      </c>
      <c r="C6" s="918">
        <f>SUMIF(L1:L12,G2,M1:M12)</f>
        <v>27450</v>
      </c>
      <c r="D6" s="2742" t="s">
        <v>2828</v>
      </c>
      <c r="E6" s="2743"/>
      <c r="F6" s="2743"/>
      <c r="G6" s="2744"/>
      <c r="H6" s="2744"/>
      <c r="I6" s="2744"/>
      <c r="J6" s="2745"/>
      <c r="K6" s="1845"/>
      <c r="L6" s="2727"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34814</v>
      </c>
      <c r="U6" s="1606"/>
      <c r="V6" s="1605">
        <f t="shared" ca="1" si="1"/>
        <v>0</v>
      </c>
      <c r="W6" s="1609"/>
      <c r="X6" s="1609"/>
      <c r="Y6" s="1609"/>
      <c r="Z6" s="1609"/>
      <c r="AA6" s="1609"/>
      <c r="AB6" s="1609"/>
      <c r="AC6" s="2736"/>
      <c r="AD6" s="2737"/>
      <c r="AE6" s="2737"/>
      <c r="AF6" s="2737"/>
      <c r="AG6" s="2737"/>
      <c r="AH6" s="2737"/>
      <c r="AI6" s="2737"/>
      <c r="AJ6" s="2738"/>
    </row>
    <row r="7" spans="1:36" ht="24">
      <c r="A7" s="3250">
        <f>IF(E2="商业",IF(C8="不临58条商业街","",2),"")</f>
        <v>2</v>
      </c>
      <c r="B7" s="2746" t="s">
        <v>2830</v>
      </c>
      <c r="C7" s="919">
        <f>IF(C8="不临58条商业街",1,ROUND(1+(1.6*E8+1.2*E9+0.8*E10+0.4*E11)*C9,4))</f>
        <v>1.3922000000000001</v>
      </c>
      <c r="D7" s="2747" t="s">
        <v>2831</v>
      </c>
      <c r="E7" s="948">
        <v>15.3</v>
      </c>
      <c r="F7" s="2748"/>
      <c r="G7" s="2749"/>
      <c r="H7" s="2749"/>
      <c r="I7" s="2749"/>
      <c r="J7" s="2750"/>
      <c r="K7" s="1845"/>
      <c r="L7" s="2727"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31468</v>
      </c>
      <c r="U7" s="1606"/>
      <c r="V7" s="1605">
        <f t="shared" ca="1" si="1"/>
        <v>0</v>
      </c>
      <c r="W7" s="1819" t="s">
        <v>2833</v>
      </c>
      <c r="X7" s="1607" t="str">
        <f>G2</f>
        <v>二级</v>
      </c>
      <c r="Y7" s="1607" t="s">
        <v>2834</v>
      </c>
      <c r="Z7" s="1608">
        <f>G3</f>
        <v>2</v>
      </c>
      <c r="AA7" s="1609"/>
      <c r="AB7" s="1609"/>
      <c r="AC7" s="1610"/>
      <c r="AD7" s="1611"/>
      <c r="AE7" s="1611"/>
      <c r="AF7" s="1611"/>
      <c r="AG7" s="1611"/>
      <c r="AH7" s="1611"/>
      <c r="AI7" s="1611"/>
      <c r="AJ7" s="1612"/>
    </row>
    <row r="8" spans="1:36" ht="30" customHeight="1">
      <c r="A8" s="3251"/>
      <c r="B8" s="198" t="s">
        <v>2835</v>
      </c>
      <c r="C8" s="3297" t="s">
        <v>3088</v>
      </c>
      <c r="D8" s="920" t="s">
        <v>139</v>
      </c>
      <c r="E8" s="921">
        <f>ROUND(C11/E7,4)</f>
        <v>0.49020000000000002</v>
      </c>
      <c r="F8" s="2751" t="s">
        <v>2836</v>
      </c>
      <c r="G8" s="2752"/>
      <c r="H8" s="2752"/>
      <c r="I8" s="2752"/>
      <c r="J8" s="2753"/>
      <c r="K8" s="1373"/>
      <c r="L8" s="2727"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1" t="s">
        <v>2838</v>
      </c>
      <c r="X8" s="3262"/>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51"/>
      <c r="B9" s="198" t="s">
        <v>2851</v>
      </c>
      <c r="C9" s="922">
        <f>SUMIF(修正!C59:C119,C8,修正!E59:E119)</f>
        <v>0.2</v>
      </c>
      <c r="D9" s="200" t="s">
        <v>140</v>
      </c>
      <c r="E9" s="200">
        <f>ROUND(C11/E7,4)</f>
        <v>0.49020000000000002</v>
      </c>
      <c r="F9" s="2751" t="s">
        <v>2852</v>
      </c>
      <c r="G9" s="2752"/>
      <c r="H9" s="2752"/>
      <c r="I9" s="2752"/>
      <c r="J9" s="2753"/>
      <c r="K9" s="1373"/>
      <c r="L9" s="2727"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3"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1"/>
      <c r="B10" s="198" t="s">
        <v>2856</v>
      </c>
      <c r="C10" s="200">
        <f>SUMIF(修正!C59:C119,C8,修正!F59:F119)</f>
        <v>30</v>
      </c>
      <c r="D10" s="200" t="s">
        <v>141</v>
      </c>
      <c r="E10" s="200">
        <f>ROUND(C11/E7,4)</f>
        <v>0.49020000000000002</v>
      </c>
      <c r="F10" s="2751" t="s">
        <v>2857</v>
      </c>
      <c r="G10" s="2752"/>
      <c r="H10" s="2752"/>
      <c r="I10" s="2752"/>
      <c r="J10" s="2753"/>
      <c r="K10" s="1373"/>
      <c r="L10" s="2727"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1"/>
      <c r="B11" s="2754" t="s">
        <v>2859</v>
      </c>
      <c r="C11" s="923">
        <f>C10/4</f>
        <v>7.5</v>
      </c>
      <c r="D11" s="923" t="s">
        <v>142</v>
      </c>
      <c r="E11" s="923">
        <f>ROUND(C11/E7,4)</f>
        <v>0.49020000000000002</v>
      </c>
      <c r="F11" s="2755" t="s">
        <v>2860</v>
      </c>
      <c r="G11" s="2756"/>
      <c r="H11" s="2756"/>
      <c r="I11" s="2756"/>
      <c r="J11" s="2757"/>
      <c r="K11" s="1373"/>
      <c r="L11" s="2727"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3" t="s">
        <v>2862</v>
      </c>
      <c r="X11" s="1617" t="s">
        <v>2863</v>
      </c>
      <c r="Y11" s="1618">
        <f>$G$3</f>
        <v>2</v>
      </c>
      <c r="Z11" s="1618">
        <f t="shared" ref="Z11:AJ11" si="3">$G$3</f>
        <v>2</v>
      </c>
      <c r="AA11" s="1618">
        <f t="shared" si="3"/>
        <v>2</v>
      </c>
      <c r="AB11" s="1618">
        <f t="shared" si="3"/>
        <v>2</v>
      </c>
      <c r="AC11" s="1618">
        <f t="shared" si="3"/>
        <v>2</v>
      </c>
      <c r="AD11" s="1618">
        <f t="shared" si="3"/>
        <v>2</v>
      </c>
      <c r="AE11" s="1618">
        <f t="shared" si="3"/>
        <v>2</v>
      </c>
      <c r="AF11" s="1618">
        <f t="shared" si="3"/>
        <v>2</v>
      </c>
      <c r="AG11" s="1618">
        <f t="shared" si="3"/>
        <v>2</v>
      </c>
      <c r="AH11" s="1618">
        <f t="shared" si="3"/>
        <v>2</v>
      </c>
      <c r="AI11" s="1618">
        <f t="shared" si="3"/>
        <v>2</v>
      </c>
      <c r="AJ11" s="1618">
        <f t="shared" si="3"/>
        <v>2</v>
      </c>
    </row>
    <row r="12" spans="1:36" ht="25.5" thickBot="1">
      <c r="A12" s="3250" t="s">
        <v>2864</v>
      </c>
      <c r="B12" s="2758" t="s">
        <v>2865</v>
      </c>
      <c r="C12" s="919">
        <f>ROUND(C15*D15*E15*F15*G15*H15*I15*J15,4)</f>
        <v>1.331</v>
      </c>
      <c r="D12" s="2759" t="s">
        <v>2866</v>
      </c>
      <c r="E12" s="2760"/>
      <c r="F12" s="2760"/>
      <c r="G12" s="2761"/>
      <c r="H12" s="2761"/>
      <c r="I12" s="2761"/>
      <c r="J12" s="2762"/>
      <c r="K12" s="1373"/>
      <c r="L12" s="2763"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3"/>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4" t="s">
        <v>2869</v>
      </c>
      <c r="C13" s="2765" t="s">
        <v>2870</v>
      </c>
      <c r="D13" s="1811" t="s">
        <v>2871</v>
      </c>
      <c r="E13" s="1811" t="s">
        <v>2872</v>
      </c>
      <c r="F13" s="30" t="s">
        <v>2873</v>
      </c>
      <c r="G13" s="2766" t="s">
        <v>2874</v>
      </c>
      <c r="H13" s="2766" t="s">
        <v>2874</v>
      </c>
      <c r="I13" s="2766" t="s">
        <v>2874</v>
      </c>
      <c r="J13" s="2767" t="s">
        <v>2874</v>
      </c>
      <c r="K13" s="1373"/>
      <c r="L13" s="1373"/>
      <c r="M13" s="1373"/>
      <c r="N13" s="1373"/>
      <c r="O13" s="1373"/>
      <c r="P13" s="1373"/>
      <c r="Q13" s="1373"/>
      <c r="R13" s="1605">
        <v>12</v>
      </c>
      <c r="S13" s="1606"/>
      <c r="T13" s="1605">
        <f t="shared" ca="1" si="0"/>
        <v>0</v>
      </c>
      <c r="U13" s="1606"/>
      <c r="V13" s="1605">
        <f t="shared" ca="1" si="1"/>
        <v>0</v>
      </c>
      <c r="W13" s="3263"/>
      <c r="X13" s="1619"/>
      <c r="Y13" s="1616">
        <f>(-0.163*(Y12^2)-0.59*Y12+7617)*(10^(-4))/Y11</f>
        <v>0.38085000000000002</v>
      </c>
      <c r="Z13" s="1616">
        <f t="shared" ref="Z13:AJ13" si="5">(-0.163*(Z12^2)-0.59*Z12+7617)*(10^(-4))/Z11</f>
        <v>0.38085000000000002</v>
      </c>
      <c r="AA13" s="1616">
        <f t="shared" si="5"/>
        <v>0.38085000000000002</v>
      </c>
      <c r="AB13" s="1616">
        <f t="shared" si="5"/>
        <v>0.38085000000000002</v>
      </c>
      <c r="AC13" s="1616">
        <f t="shared" si="5"/>
        <v>0.38085000000000002</v>
      </c>
      <c r="AD13" s="1616">
        <f t="shared" si="5"/>
        <v>0.38085000000000002</v>
      </c>
      <c r="AE13" s="1616">
        <f t="shared" si="5"/>
        <v>0.38085000000000002</v>
      </c>
      <c r="AF13" s="1616">
        <f t="shared" si="5"/>
        <v>0.38085000000000002</v>
      </c>
      <c r="AG13" s="1616">
        <f t="shared" si="5"/>
        <v>0.38085000000000002</v>
      </c>
      <c r="AH13" s="1616">
        <f t="shared" si="5"/>
        <v>0.38085000000000002</v>
      </c>
      <c r="AI13" s="1616">
        <f t="shared" si="5"/>
        <v>0.38085000000000002</v>
      </c>
      <c r="AJ13" s="1616">
        <f t="shared" si="5"/>
        <v>0.38085000000000002</v>
      </c>
    </row>
    <row r="14" spans="1:36" ht="15">
      <c r="A14" s="3268"/>
      <c r="B14" s="2768"/>
      <c r="C14" s="2769" t="s">
        <v>3090</v>
      </c>
      <c r="D14" s="2770" t="s">
        <v>3090</v>
      </c>
      <c r="E14" s="2770" t="s">
        <v>3066</v>
      </c>
      <c r="F14" s="2771" t="s">
        <v>3089</v>
      </c>
      <c r="G14" s="2772" t="s">
        <v>2875</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9"/>
      <c r="B15" s="2776" t="s">
        <v>2876</v>
      </c>
      <c r="C15" s="229">
        <f>IF(C14="有",1.1,1)</f>
        <v>1.1000000000000001</v>
      </c>
      <c r="D15" s="229">
        <f>IF(D14="有",1.1,1)</f>
        <v>1.1000000000000001</v>
      </c>
      <c r="E15" s="229">
        <f>IF(E14="有",1.1,1)</f>
        <v>1</v>
      </c>
      <c r="F15" s="229">
        <f>IF(F14="500米范围内",1.2,IF(F14="500-1000米",1.1,1))</f>
        <v>1.1000000000000001</v>
      </c>
      <c r="G15" s="949">
        <v>1</v>
      </c>
      <c r="H15" s="949">
        <v>1</v>
      </c>
      <c r="I15" s="949">
        <v>1</v>
      </c>
      <c r="J15" s="950">
        <v>1</v>
      </c>
      <c r="K15" s="1373"/>
      <c r="L15" s="2777" t="s">
        <v>2812</v>
      </c>
      <c r="M15" s="920" t="s">
        <v>2877</v>
      </c>
      <c r="N15" s="920" t="s">
        <v>2878</v>
      </c>
      <c r="O15" s="920" t="s">
        <v>2879</v>
      </c>
      <c r="P15" s="2778"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0" t="s">
        <v>2881</v>
      </c>
      <c r="B16" s="2746" t="s">
        <v>2882</v>
      </c>
      <c r="C16" s="1804">
        <f>ROUND(SUM(G17:J17)/C17,0)</f>
        <v>31</v>
      </c>
      <c r="D16" s="2779" t="s">
        <v>2883</v>
      </c>
      <c r="E16" s="2780" t="s">
        <v>3067</v>
      </c>
      <c r="F16" s="2781" t="s">
        <v>3068</v>
      </c>
      <c r="G16" s="2782" t="s">
        <v>3061</v>
      </c>
      <c r="H16" s="2782" t="s">
        <v>3060</v>
      </c>
      <c r="I16" s="2782"/>
      <c r="J16" s="2783"/>
      <c r="K16" s="1373"/>
      <c r="L16" s="2784"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1"/>
      <c r="B17" s="2785" t="s">
        <v>2885</v>
      </c>
      <c r="C17" s="924">
        <f>SUMPRODUCT((修正!A2:A5=E2)*(修正!B1:M1=G2)*(修正!B2:M5))</f>
        <v>3.5</v>
      </c>
      <c r="D17" s="2786"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7"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1"/>
      <c r="AH17" s="2721"/>
      <c r="AI17" s="2721"/>
      <c r="AJ17" s="2721"/>
    </row>
    <row r="18" spans="1:37" s="2739" customFormat="1" ht="15.75" thickBot="1">
      <c r="A18" s="2789" t="s">
        <v>808</v>
      </c>
      <c r="B18" s="2790" t="s">
        <v>2889</v>
      </c>
      <c r="C18" s="926">
        <f>SUMIF(修正!C18:C39,E3,修正!E18:E39)</f>
        <v>0.9</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9" customFormat="1" ht="29.25" thickBot="1">
      <c r="A19" s="2789" t="s">
        <v>809</v>
      </c>
      <c r="B19" s="2790" t="s">
        <v>2890</v>
      </c>
      <c r="C19" s="927">
        <f>ROUND(IF(H19="按公示增长率计算",SUMPRODUCT((地价!A3:A22=YEAR(G19)&amp;"-"&amp;ROUNDUP(MONTH(G19)/3,0))*(地价!X2:AB2=E2)*(地价!X3:AB22)),IF(H19="地价指数",M20/M19,(1+I19)^O19)),4)</f>
        <v>1.2928999999999999</v>
      </c>
      <c r="D19" s="2797" t="s">
        <v>2891</v>
      </c>
      <c r="E19" s="928">
        <v>41640</v>
      </c>
      <c r="F19" s="2797" t="s">
        <v>2892</v>
      </c>
      <c r="G19" s="929">
        <f>'数据-取费表'!B2</f>
        <v>43256</v>
      </c>
      <c r="H19" s="2798" t="s">
        <v>3091</v>
      </c>
      <c r="I19" s="930" t="str">
        <f>IF(H19="季度增幅（自定义）",SUMIF(N21:N24,E2,O21:O24),"")</f>
        <v/>
      </c>
      <c r="J19" s="2795"/>
      <c r="K19" s="1380"/>
      <c r="L19" s="2799" t="s">
        <v>2893</v>
      </c>
      <c r="M19" s="1737">
        <f>ROUND(SUMIF(地价!B2:F2,E2,地价!B22:F22),0)</f>
        <v>258</v>
      </c>
      <c r="N19" s="2800" t="s">
        <v>2894</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9" customFormat="1" ht="27.75" thickBot="1">
      <c r="A20" s="2804" t="s">
        <v>810</v>
      </c>
      <c r="B20" s="2805" t="s">
        <v>2895</v>
      </c>
      <c r="C20" s="932">
        <f ca="1">ROUND(POWER(1+G20,J20-I20)*(POWER(1+G20,I20)-1)/(POWER(1+G20,J20)-1),4)</f>
        <v>0.89080000000000004</v>
      </c>
      <c r="D20" s="2806" t="s">
        <v>2896</v>
      </c>
      <c r="E20" s="1771">
        <f ca="1">存贷款利率!D4/100</f>
        <v>4.3499999999999997E-2</v>
      </c>
      <c r="F20" s="2806" t="s">
        <v>2888</v>
      </c>
      <c r="G20" s="937">
        <f ca="1">SUMIF(M15:P15,E2,M17:P17)</f>
        <v>5.3999999999999999E-2</v>
      </c>
      <c r="H20" s="2806" t="s">
        <v>2897</v>
      </c>
      <c r="I20" s="938">
        <f>SUMIF('数据-取费表'!C6:C15,E2,'数据-取费表'!F6:F15)/COUNTIF('数据-取费表'!C6:C15,E2)</f>
        <v>28.97</v>
      </c>
      <c r="J20" s="939">
        <f>IF(E2="住宅",70,IF(E2="商业",40,50))</f>
        <v>40</v>
      </c>
      <c r="K20" s="1380"/>
      <c r="L20" s="2807" t="s">
        <v>2898</v>
      </c>
      <c r="M20" s="1738">
        <f>ROUND(SUMPRODUCT((地价!A4:A22=YEAR(G19)&amp;"-"&amp;ROUNDUP(MONTH(G19)/3,0))*(地价!B2:F2=E2)*(地价!B4:F22)),0)</f>
        <v>333</v>
      </c>
      <c r="N20" s="2808" t="s">
        <v>2899</v>
      </c>
      <c r="O20" s="2809" t="s">
        <v>2900</v>
      </c>
      <c r="P20" s="2810" t="s">
        <v>2901</v>
      </c>
      <c r="R20" s="1379"/>
      <c r="S20" s="1379"/>
      <c r="T20" s="1374"/>
      <c r="U20" s="1374"/>
      <c r="V20" s="1374"/>
      <c r="W20" s="1373"/>
      <c r="X20" s="1373"/>
      <c r="Y20" s="1373"/>
      <c r="Z20" s="1380"/>
      <c r="AA20" s="1381"/>
      <c r="AB20" s="1381"/>
      <c r="AC20" s="1381"/>
      <c r="AD20" s="1381"/>
      <c r="AE20" s="1381"/>
      <c r="AF20" s="1381"/>
    </row>
    <row r="21" spans="1:37" s="2739" customFormat="1" ht="15">
      <c r="A21" s="2811" t="s">
        <v>811</v>
      </c>
      <c r="B21" s="2812" t="s">
        <v>2902</v>
      </c>
      <c r="C21" s="940">
        <f>IF(B21="容积率修正",IF(G3&lt;=10,D22,J22),C23)</f>
        <v>1.9361999999999999</v>
      </c>
      <c r="D21" s="2813"/>
      <c r="E21" s="2813"/>
      <c r="F21" s="2813"/>
      <c r="G21" s="2813"/>
      <c r="H21" s="2813"/>
      <c r="I21" s="2813"/>
      <c r="J21" s="2814"/>
      <c r="K21" s="1380"/>
      <c r="N21" s="2815" t="s">
        <v>2903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2904</v>
      </c>
      <c r="B22" s="2816" t="s">
        <v>2905</v>
      </c>
      <c r="C22" s="1813" t="s">
        <v>2906</v>
      </c>
      <c r="D22" s="1813">
        <f>IF(E22=G22,F22,IF(G3&lt;=10,ROUND(F22+(H22-F22)*(G3-E22)/(G22-E22),4),"——"))</f>
        <v>1.1800999999999999</v>
      </c>
      <c r="E22" s="916">
        <f>ROUNDDOWN(G3,1)</f>
        <v>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1.1800999999999999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13" t="s">
        <v>155</v>
      </c>
      <c r="J22" s="941" t="str">
        <f>IF(G3&gt;10,D113,"——")</f>
        <v>——</v>
      </c>
      <c r="K22" s="1380"/>
      <c r="N22" s="2815" t="s">
        <v>2907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2908</v>
      </c>
      <c r="B23" s="2817" t="s">
        <v>2909</v>
      </c>
      <c r="C23" s="1016">
        <f>ROUND(IF(G3&gt;1,IF(I3&lt;7,SUMPRODUCT((B93:B98=I3)*(C92:N92=G2)*(C93:N98)),SUMIF(C92:N92,G2,C100:N100)),IF(I3&lt;7,SUMPRODUCT((B102:B107=I3)*(C92:N92=G2)*(C102:N107)),SUMIF(C92:N92,G2,C109:N109))),4)</f>
        <v>1.9361999999999999</v>
      </c>
      <c r="D23" s="2773"/>
      <c r="E23" s="2773"/>
      <c r="F23" s="2818"/>
      <c r="G23" s="2819"/>
      <c r="H23" s="2820"/>
      <c r="I23" s="2821"/>
      <c r="J23" s="2822"/>
      <c r="K23" s="1373"/>
      <c r="N23" s="2815" t="s">
        <v>2910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6"/>
    </row>
    <row r="24" spans="1:37" s="2739" customFormat="1" ht="15.75" thickBot="1">
      <c r="A24" s="2804" t="s">
        <v>812</v>
      </c>
      <c r="B24" s="2790" t="s">
        <v>2911</v>
      </c>
      <c r="C24" s="927">
        <f>SUMIF(A45:A88,E2,B45:B88)</f>
        <v>1.0449999999999999</v>
      </c>
      <c r="D24" s="2793"/>
      <c r="E24" s="2823"/>
      <c r="F24" s="2823"/>
      <c r="G24" s="2823"/>
      <c r="H24" s="2823"/>
      <c r="I24" s="2823"/>
      <c r="J24" s="2824"/>
      <c r="K24" s="1380"/>
      <c r="N24" s="2825" t="s">
        <v>2912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2913</v>
      </c>
      <c r="C25" s="933"/>
      <c r="D25" s="2749"/>
      <c r="E25" s="2749"/>
      <c r="F25" s="2827"/>
      <c r="G25" s="2749"/>
      <c r="H25" s="2749"/>
      <c r="I25" s="2749"/>
      <c r="J25" s="2750"/>
      <c r="K25" s="1373"/>
      <c r="N25" s="2828" t="s">
        <v>2914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9"/>
      <c r="B26" s="2816" t="s">
        <v>2915</v>
      </c>
      <c r="C26" s="206">
        <f ca="1">E29+SUM(E33:E39)</f>
        <v>4857</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2916</v>
      </c>
      <c r="C27" s="934">
        <f ca="1">E30+SUM(I33:I39)</f>
        <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2917</v>
      </c>
      <c r="C28" s="2840" t="s">
        <v>2918</v>
      </c>
      <c r="D28" s="2840" t="s">
        <v>2919</v>
      </c>
      <c r="E28" s="2841" t="s">
        <v>2920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2921</v>
      </c>
      <c r="C29" s="206">
        <f ca="1">ROUND(C5*C18*C19*C20*C21*C24,0)</f>
        <v>80084</v>
      </c>
      <c r="D29" s="2845">
        <f>'数据-汇总表'!F19</f>
        <v>606.5</v>
      </c>
      <c r="E29" s="945">
        <f ca="1">ROUND(C29*D29/10000,0)</f>
        <v>4857</v>
      </c>
      <c r="F29" s="2846" t="s">
        <v>2922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1"/>
      <c r="AH29" s="2721"/>
      <c r="AI29" s="2721"/>
      <c r="AJ29" s="2721"/>
    </row>
    <row r="30" spans="1:37" ht="25.5" thickBot="1">
      <c r="A30" s="2849"/>
      <c r="B30" s="2850" t="s">
        <v>2923</v>
      </c>
      <c r="C30" s="229">
        <f ca="1">ROUND(IF(E2="工业",C29*M39,C29*M38),0)</f>
        <v>20021</v>
      </c>
      <c r="D30" s="2851"/>
      <c r="E30" s="945">
        <f ca="1">ROUND(C30*D30/10000,0)</f>
        <v>0</v>
      </c>
      <c r="F30" s="2852" t="s">
        <v>2924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1"/>
      <c r="AH30" s="2721"/>
      <c r="AI30" s="2721"/>
      <c r="AJ30" s="2721"/>
    </row>
    <row r="31" spans="1:37" ht="14.25">
      <c r="A31" s="2855"/>
      <c r="B31" s="2856" t="s">
        <v>2925</v>
      </c>
      <c r="C31" s="2857" t="s">
        <v>2926</v>
      </c>
      <c r="D31" s="2761"/>
      <c r="E31" s="2857"/>
      <c r="F31" s="2857"/>
      <c r="G31" s="2759" t="s">
        <v>2927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1"/>
      <c r="AH31" s="2721"/>
      <c r="AI31" s="2721"/>
      <c r="AJ31" s="2721"/>
    </row>
    <row r="32" spans="1:37" ht="24">
      <c r="A32" s="2843"/>
      <c r="B32" s="2859"/>
      <c r="C32" s="501" t="s">
        <v>2918</v>
      </c>
      <c r="D32" s="498" t="s">
        <v>2919</v>
      </c>
      <c r="E32" s="498" t="s">
        <v>2920</v>
      </c>
      <c r="F32" s="388" t="s">
        <v>2928</v>
      </c>
      <c r="G32" s="2860" t="s">
        <v>2918</v>
      </c>
      <c r="H32" s="2860" t="s">
        <v>2919</v>
      </c>
      <c r="I32" s="2860"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1"/>
      <c r="AH32" s="2721"/>
      <c r="AI32" s="2721"/>
      <c r="AJ32" s="2721"/>
    </row>
    <row r="33" spans="1:37" ht="36" customHeight="1">
      <c r="A33" s="3258" t="s">
        <v>2929</v>
      </c>
      <c r="B33" s="2861" t="s">
        <v>2930</v>
      </c>
      <c r="C33" s="206">
        <f ca="1">ROUND(D5*C19*C20*C24*F33,0)</f>
        <v>26400</v>
      </c>
      <c r="D33" s="2845"/>
      <c r="E33" s="200">
        <f ca="1">ROUND(C33*D33/10000,0)</f>
        <v>0</v>
      </c>
      <c r="F33" s="200">
        <f>SUMIF(修正!A45:A56,G2,修正!B45:B56)</f>
        <v>0.8</v>
      </c>
      <c r="G33" s="200">
        <f t="shared" ref="G33:G39" ca="1" si="6">ROUND(IF(E2="工业",C33*$M$39,C33*$M$38),0)</f>
        <v>6600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65" t="s">
        <v>2931</v>
      </c>
      <c r="C34" s="206">
        <f ca="1">ROUND(D5*C19*C20*C24*F34,0)</f>
        <v>16500</v>
      </c>
      <c r="D34" s="2845"/>
      <c r="E34" s="200">
        <f t="shared" ref="E34:E39" ca="1" si="7">ROUND(C34*D34/10000,0)</f>
        <v>0</v>
      </c>
      <c r="F34" s="200">
        <f>SUMIF(修正!A45:A56,G2,修正!C45:C56)</f>
        <v>0.5</v>
      </c>
      <c r="G34" s="200">
        <f t="shared" ca="1" si="6"/>
        <v>4125</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65" t="s">
        <v>2932</v>
      </c>
      <c r="C35" s="206">
        <f ca="1">ROUND(D5*C19*C20*C24*F35,0)</f>
        <v>11880</v>
      </c>
      <c r="D35" s="2845"/>
      <c r="E35" s="200">
        <f t="shared" ca="1" si="7"/>
        <v>0</v>
      </c>
      <c r="F35" s="200">
        <f>SUMIF(修正!A45:A56,G2,修正!D45:D56)</f>
        <v>0.36</v>
      </c>
      <c r="G35" s="200">
        <f t="shared" ca="1" si="6"/>
        <v>2970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260"/>
      <c r="B36" s="2765" t="s">
        <v>2933</v>
      </c>
      <c r="C36" s="206">
        <f ca="1">ROUND(D5*C19*C20*C24*F36,0)</f>
        <v>9900</v>
      </c>
      <c r="D36" s="2845"/>
      <c r="E36" s="200">
        <f t="shared" ca="1" si="7"/>
        <v>0</v>
      </c>
      <c r="F36" s="200">
        <f>SUMIF(修正!A45:A56,G2,修正!E45:E56)</f>
        <v>0.3</v>
      </c>
      <c r="G36" s="200">
        <f t="shared" ca="1" si="6"/>
        <v>2475</v>
      </c>
      <c r="H36" s="200">
        <f t="shared" si="8"/>
        <v>0</v>
      </c>
      <c r="I36" s="200">
        <f t="shared" ca="1" si="9"/>
        <v>0</v>
      </c>
      <c r="J36" s="2862"/>
      <c r="K36" s="1373"/>
      <c r="L36" s="2720"/>
      <c r="M36" s="2720"/>
      <c r="N36" s="1373"/>
      <c r="O36" s="1373"/>
      <c r="P36" s="1373"/>
      <c r="Q36" s="1373"/>
      <c r="R36" s="1373"/>
      <c r="S36" s="1373"/>
      <c r="T36" s="1373"/>
      <c r="U36" s="1373"/>
      <c r="V36" s="1373"/>
      <c r="W36" s="1373"/>
      <c r="X36" s="1373"/>
      <c r="Y36" s="1373"/>
      <c r="Z36" s="1374"/>
    </row>
    <row r="37" spans="1:37">
      <c r="A37" s="2863"/>
      <c r="B37" s="2765" t="s">
        <v>2934</v>
      </c>
      <c r="C37" s="200">
        <f ca="1">ROUND(C5*C19*C20*C24*F37,0)</f>
        <v>13787</v>
      </c>
      <c r="D37" s="2845"/>
      <c r="E37" s="200">
        <f t="shared" ca="1" si="7"/>
        <v>0</v>
      </c>
      <c r="F37" s="206">
        <f>SUMIF(修正!A45:A56,G2,修正!F45:F56)</f>
        <v>0.3</v>
      </c>
      <c r="G37" s="200">
        <f t="shared" ca="1" si="6"/>
        <v>3447</v>
      </c>
      <c r="H37" s="200">
        <f t="shared" si="8"/>
        <v>0</v>
      </c>
      <c r="I37" s="200">
        <f t="shared" ca="1" si="9"/>
        <v>0</v>
      </c>
      <c r="J37" s="2862"/>
      <c r="K37" s="1373"/>
      <c r="L37" s="2864" t="s">
        <v>2935</v>
      </c>
      <c r="M37" s="2865"/>
      <c r="N37" s="1373"/>
      <c r="O37" s="1373"/>
      <c r="P37" s="1373"/>
      <c r="Q37" s="1373"/>
      <c r="R37" s="1373"/>
      <c r="S37" s="1373"/>
      <c r="T37" s="1373"/>
      <c r="U37" s="1373"/>
      <c r="V37" s="1373"/>
      <c r="W37" s="1373"/>
      <c r="X37" s="1373"/>
      <c r="Y37" s="1373"/>
      <c r="Z37" s="1374"/>
    </row>
    <row r="38" spans="1:37">
      <c r="A38" s="2863"/>
      <c r="B38" s="2765" t="s">
        <v>2936</v>
      </c>
      <c r="C38" s="200">
        <f ca="1">ROUND(C5*C19*C20*C24*F38,0)</f>
        <v>13787</v>
      </c>
      <c r="D38" s="2845"/>
      <c r="E38" s="200">
        <f t="shared" ca="1" si="7"/>
        <v>0</v>
      </c>
      <c r="F38" s="206">
        <f>SUMIF(修正!A45:A56,G2,修正!G45:G56)</f>
        <v>0.3</v>
      </c>
      <c r="G38" s="200">
        <f t="shared" ca="1" si="6"/>
        <v>3447</v>
      </c>
      <c r="H38" s="200">
        <f t="shared" si="8"/>
        <v>0</v>
      </c>
      <c r="I38" s="200">
        <f t="shared" ca="1" si="9"/>
        <v>0</v>
      </c>
      <c r="J38" s="2862"/>
      <c r="K38" s="1373"/>
      <c r="L38" s="1890" t="s">
        <v>2937</v>
      </c>
      <c r="M38" s="2866">
        <v>0.25</v>
      </c>
      <c r="N38" s="1373"/>
      <c r="O38" s="1373"/>
      <c r="P38" s="1373"/>
      <c r="Q38" s="1373"/>
      <c r="R38" s="1373"/>
      <c r="S38" s="1373"/>
      <c r="T38" s="1373"/>
      <c r="U38" s="1373"/>
      <c r="V38" s="1373"/>
      <c r="W38" s="1373"/>
      <c r="X38" s="1373"/>
      <c r="Y38" s="1373"/>
      <c r="Z38" s="1374"/>
    </row>
    <row r="39" spans="1:37" ht="13.5" thickBot="1">
      <c r="A39" s="2849"/>
      <c r="B39" s="2867" t="s">
        <v>2938</v>
      </c>
      <c r="C39" s="229">
        <f ca="1">ROUND(C5*C19*C20*C24*F39,0)</f>
        <v>11489</v>
      </c>
      <c r="D39" s="2851"/>
      <c r="E39" s="229">
        <f t="shared" ca="1" si="7"/>
        <v>0</v>
      </c>
      <c r="F39" s="935">
        <f>SUMIF(修正!A45:A56,G2,修正!H45:H56)</f>
        <v>0.25</v>
      </c>
      <c r="G39" s="229">
        <f t="shared" ca="1" si="6"/>
        <v>2872</v>
      </c>
      <c r="H39" s="229">
        <f t="shared" si="8"/>
        <v>0</v>
      </c>
      <c r="I39" s="229">
        <f t="shared" ca="1" si="9"/>
        <v>0</v>
      </c>
      <c r="J39" s="2868"/>
      <c r="K39" s="1373"/>
      <c r="L39" s="2869" t="s">
        <v>2880</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2939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2940</v>
      </c>
      <c r="B46" s="2875">
        <f>1+E48</f>
        <v>1.0449999999999999</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2941</v>
      </c>
      <c r="B47" s="1812" t="s">
        <v>2942</v>
      </c>
      <c r="C47" s="1812" t="s">
        <v>2943</v>
      </c>
      <c r="D47" s="1812" t="s">
        <v>2944</v>
      </c>
      <c r="E47" s="819" t="s">
        <v>2945</v>
      </c>
      <c r="F47" s="2879" t="s">
        <v>2946</v>
      </c>
      <c r="G47" s="1812" t="s">
        <v>754</v>
      </c>
      <c r="H47" s="2880" t="s">
        <v>2947</v>
      </c>
      <c r="I47" s="181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7" customHeight="1">
      <c r="A48" s="2878" t="s">
        <v>2949</v>
      </c>
      <c r="B48" s="2881" t="str">
        <f>估价对象房地状况!C4</f>
        <v>估价对象位于德内商圈，周边商业氛围成熟，人流量较大，商业繁华较好</v>
      </c>
      <c r="C48" s="2770" t="s">
        <v>3093</v>
      </c>
      <c r="D48" s="1289">
        <f t="shared" ref="D48:D56" si="10">SUMIF($J$47:$N$47,C48,J48:N48)</f>
        <v>1.46E-2</v>
      </c>
      <c r="E48" s="821">
        <f>ROUND(SUM(D48:D56),4)</f>
        <v>4.4999999999999998E-2</v>
      </c>
      <c r="F48" s="2502">
        <f>IF(E2="商业",SUMIF(L1:L12,G2,N1:N12),"——")</f>
        <v>8.8999999999999996E-2</v>
      </c>
      <c r="G48" s="1287">
        <f>H48</f>
        <v>1.46E-2</v>
      </c>
      <c r="H48" s="1291">
        <f t="shared" ref="H48:H56" si="11">IFERROR(ROUNDDOWN($F$48*I48/2,4),"——")</f>
        <v>1.46E-2</v>
      </c>
      <c r="I48" s="820">
        <v>0.33</v>
      </c>
      <c r="J48" s="1288">
        <f t="shared" ref="J48:J56" si="12">K48+$G48</f>
        <v>2.92E-2</v>
      </c>
      <c r="K48" s="1288">
        <f t="shared" ref="K48:K56" si="13">$L48+$G48</f>
        <v>1.46E-2</v>
      </c>
      <c r="L48" s="1288">
        <v>0</v>
      </c>
      <c r="M48" s="1288">
        <f t="shared" ref="M48:N56" si="14">L48-$G48</f>
        <v>-1.46E-2</v>
      </c>
      <c r="N48" s="1288">
        <f t="shared" si="14"/>
        <v>-2.92E-2</v>
      </c>
      <c r="AA48" s="1374"/>
      <c r="AB48" s="1374"/>
      <c r="AC48" s="1374"/>
      <c r="AD48" s="1374"/>
      <c r="AE48" s="1374"/>
      <c r="AF48" s="1374"/>
      <c r="AG48" s="1374"/>
      <c r="AH48" s="1374"/>
      <c r="AI48" s="1374"/>
      <c r="AJ48" s="1374"/>
      <c r="AK48" s="1374"/>
    </row>
    <row r="49" spans="1:37" s="1373" customFormat="1" ht="69.75" customHeight="1">
      <c r="A49" s="2878" t="s">
        <v>2950</v>
      </c>
      <c r="B49" s="2882" t="str">
        <f>估价对象房地状况!C18</f>
        <v>估价对象周边交通路网密集、公共交通通达情况较好、停车便捷程度一般，综合评价交通便捷度较好</v>
      </c>
      <c r="C49" s="2770" t="s">
        <v>3093</v>
      </c>
      <c r="D49" s="1289">
        <f t="shared" si="10"/>
        <v>1.11E-2</v>
      </c>
      <c r="E49" s="822"/>
      <c r="F49" s="2502"/>
      <c r="G49" s="1287">
        <f t="shared" ref="G49:G56" si="15">H49</f>
        <v>1.11E-2</v>
      </c>
      <c r="H49" s="1291">
        <f t="shared" si="11"/>
        <v>1.11E-2</v>
      </c>
      <c r="I49" s="820">
        <v>0.25</v>
      </c>
      <c r="J49" s="1288">
        <f t="shared" si="12"/>
        <v>2.2200000000000001E-2</v>
      </c>
      <c r="K49" s="1288">
        <f t="shared" si="13"/>
        <v>1.11E-2</v>
      </c>
      <c r="L49" s="1288">
        <v>0</v>
      </c>
      <c r="M49" s="1288">
        <f t="shared" si="14"/>
        <v>-1.11E-2</v>
      </c>
      <c r="N49" s="1288">
        <f t="shared" si="14"/>
        <v>-2.2200000000000001E-2</v>
      </c>
      <c r="AA49" s="1374"/>
      <c r="AB49" s="1374"/>
      <c r="AC49" s="1374"/>
      <c r="AD49" s="1374"/>
      <c r="AE49" s="1374"/>
      <c r="AF49" s="1374"/>
      <c r="AG49" s="1374"/>
      <c r="AH49" s="1374"/>
      <c r="AI49" s="1374"/>
      <c r="AJ49" s="1374"/>
      <c r="AK49" s="1374"/>
    </row>
    <row r="50" spans="1:37" s="1373" customFormat="1" ht="30.75" customHeight="1">
      <c r="A50" s="2878" t="s">
        <v>2951</v>
      </c>
      <c r="B50" s="2882">
        <f>估价对象房地状况!C19</f>
        <v>0</v>
      </c>
      <c r="C50" s="2770" t="s">
        <v>3093</v>
      </c>
      <c r="D50" s="1289">
        <f t="shared" si="10"/>
        <v>2.2000000000000001E-3</v>
      </c>
      <c r="E50" s="822"/>
      <c r="F50" s="2502"/>
      <c r="G50" s="1287">
        <f t="shared" si="15"/>
        <v>2.2000000000000001E-3</v>
      </c>
      <c r="H50" s="1291">
        <f t="shared" si="11"/>
        <v>2.2000000000000001E-3</v>
      </c>
      <c r="I50" s="820">
        <v>0.05</v>
      </c>
      <c r="J50" s="1288">
        <f t="shared" si="12"/>
        <v>4.4000000000000003E-3</v>
      </c>
      <c r="K50" s="1288">
        <f t="shared" si="13"/>
        <v>2.2000000000000001E-3</v>
      </c>
      <c r="L50" s="1288">
        <v>0</v>
      </c>
      <c r="M50" s="1288">
        <f t="shared" si="14"/>
        <v>-2.2000000000000001E-3</v>
      </c>
      <c r="N50" s="1288">
        <f t="shared" si="14"/>
        <v>-4.4000000000000003E-3</v>
      </c>
      <c r="AA50" s="1374"/>
      <c r="AB50" s="1374"/>
      <c r="AC50" s="1374"/>
      <c r="AD50" s="1374"/>
      <c r="AE50" s="1374"/>
      <c r="AF50" s="1374"/>
      <c r="AG50" s="1374"/>
      <c r="AH50" s="1374"/>
      <c r="AI50" s="1374"/>
      <c r="AJ50" s="1374"/>
      <c r="AK50" s="1374"/>
    </row>
    <row r="51" spans="1:37" s="1373" customFormat="1" ht="36.75">
      <c r="A51" s="2878" t="s">
        <v>2952</v>
      </c>
      <c r="B51" s="2883" t="s">
        <v>2953</v>
      </c>
      <c r="C51" s="2770" t="s">
        <v>3093</v>
      </c>
      <c r="D51" s="1289">
        <f t="shared" si="10"/>
        <v>2.2000000000000001E-3</v>
      </c>
      <c r="E51" s="822"/>
      <c r="F51" s="2502"/>
      <c r="G51" s="1287">
        <f t="shared" si="15"/>
        <v>2.2000000000000001E-3</v>
      </c>
      <c r="H51" s="1291">
        <f t="shared" si="11"/>
        <v>2.2000000000000001E-3</v>
      </c>
      <c r="I51" s="820">
        <v>0.05</v>
      </c>
      <c r="J51" s="1288">
        <f t="shared" si="12"/>
        <v>4.4000000000000003E-3</v>
      </c>
      <c r="K51" s="1288">
        <f t="shared" si="13"/>
        <v>2.2000000000000001E-3</v>
      </c>
      <c r="L51" s="1288">
        <v>0</v>
      </c>
      <c r="M51" s="1288">
        <f t="shared" si="14"/>
        <v>-2.2000000000000001E-3</v>
      </c>
      <c r="N51" s="1288">
        <f t="shared" si="14"/>
        <v>-4.4000000000000003E-3</v>
      </c>
      <c r="AA51" s="1374"/>
      <c r="AB51" s="1374"/>
      <c r="AC51" s="1374"/>
      <c r="AD51" s="1374"/>
      <c r="AE51" s="1374"/>
      <c r="AF51" s="1374"/>
      <c r="AG51" s="1374"/>
      <c r="AH51" s="1374"/>
      <c r="AI51" s="1374"/>
      <c r="AJ51" s="1374"/>
      <c r="AK51" s="1374"/>
    </row>
    <row r="52" spans="1:37" s="1373" customFormat="1" ht="24">
      <c r="A52" s="2878" t="s">
        <v>2954</v>
      </c>
      <c r="B52" s="2882" t="str">
        <f>估价对象房地状况!C24</f>
        <v>城市次干道</v>
      </c>
      <c r="C52" s="2770" t="s">
        <v>3094</v>
      </c>
      <c r="D52" s="1289">
        <f t="shared" si="10"/>
        <v>0</v>
      </c>
      <c r="E52" s="822"/>
      <c r="F52" s="2502"/>
      <c r="G52" s="1287">
        <f t="shared" si="15"/>
        <v>3.5000000000000001E-3</v>
      </c>
      <c r="H52" s="1291">
        <f t="shared" si="11"/>
        <v>3.5000000000000001E-3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33.75" customHeight="1">
      <c r="A53" s="2878" t="s">
        <v>2955</v>
      </c>
      <c r="B53" s="2959" t="s">
        <v>3138</v>
      </c>
      <c r="C53" s="2770" t="s">
        <v>3093</v>
      </c>
      <c r="D53" s="1289">
        <f t="shared" si="10"/>
        <v>1.2999999999999999E-3</v>
      </c>
      <c r="E53" s="822"/>
      <c r="F53" s="2502"/>
      <c r="G53" s="1287">
        <f t="shared" si="15"/>
        <v>1.2999999999999999E-3</v>
      </c>
      <c r="H53" s="1291">
        <f t="shared" si="11"/>
        <v>1.2999999999999999E-3</v>
      </c>
      <c r="I53" s="820">
        <v>0.03</v>
      </c>
      <c r="J53" s="1288">
        <f t="shared" si="12"/>
        <v>2.5999999999999999E-3</v>
      </c>
      <c r="K53" s="1288">
        <f t="shared" si="13"/>
        <v>1.2999999999999999E-3</v>
      </c>
      <c r="L53" s="1288">
        <v>0</v>
      </c>
      <c r="M53" s="1288">
        <f t="shared" si="14"/>
        <v>-1.2999999999999999E-3</v>
      </c>
      <c r="N53" s="1288">
        <f t="shared" si="14"/>
        <v>-2.5999999999999999E-3</v>
      </c>
      <c r="AA53" s="1374"/>
      <c r="AB53" s="1374"/>
      <c r="AC53" s="1374"/>
      <c r="AD53" s="1374"/>
      <c r="AE53" s="1374"/>
      <c r="AF53" s="1374"/>
      <c r="AG53" s="1374"/>
      <c r="AH53" s="1374"/>
      <c r="AI53" s="1374"/>
      <c r="AJ53" s="1374"/>
      <c r="AK53" s="1374"/>
    </row>
    <row r="54" spans="1:37" s="1373" customFormat="1" ht="31.5" customHeight="1">
      <c r="A54" s="2885" t="s">
        <v>2957</v>
      </c>
      <c r="B54" s="1728" t="str">
        <f>估价对象房地状况!C21</f>
        <v>估价对象所在区域公共配套设施齐备情况较好</v>
      </c>
      <c r="C54" s="2770" t="s">
        <v>3093</v>
      </c>
      <c r="D54" s="1289">
        <f t="shared" si="10"/>
        <v>2.2000000000000001E-3</v>
      </c>
      <c r="E54" s="822"/>
      <c r="F54" s="2502"/>
      <c r="G54" s="1287">
        <f t="shared" si="15"/>
        <v>2.2000000000000001E-3</v>
      </c>
      <c r="H54" s="1291">
        <f t="shared" si="11"/>
        <v>2.2000000000000001E-3</v>
      </c>
      <c r="I54" s="820">
        <v>0.05</v>
      </c>
      <c r="J54" s="1288">
        <f t="shared" si="12"/>
        <v>4.4000000000000003E-3</v>
      </c>
      <c r="K54" s="1288">
        <f t="shared" si="13"/>
        <v>2.2000000000000001E-3</v>
      </c>
      <c r="L54" s="1288">
        <v>0</v>
      </c>
      <c r="M54" s="1288">
        <f t="shared" si="14"/>
        <v>-2.2000000000000001E-3</v>
      </c>
      <c r="N54" s="1288">
        <f t="shared" si="14"/>
        <v>-4.4000000000000003E-3</v>
      </c>
      <c r="AA54" s="1374"/>
      <c r="AB54" s="1374"/>
      <c r="AC54" s="1374"/>
      <c r="AD54" s="1374"/>
      <c r="AE54" s="1374"/>
      <c r="AF54" s="1374"/>
      <c r="AG54" s="1374"/>
      <c r="AH54" s="1374"/>
      <c r="AI54" s="1374"/>
      <c r="AJ54" s="1374"/>
      <c r="AK54" s="1374"/>
    </row>
    <row r="55" spans="1:37" s="1373" customFormat="1" ht="24">
      <c r="A55" s="2885" t="s">
        <v>2958</v>
      </c>
      <c r="B55" s="2882" t="str">
        <f>估价对象房地状况!C22</f>
        <v>七通一平</v>
      </c>
      <c r="C55" s="2770" t="s">
        <v>3095</v>
      </c>
      <c r="D55" s="1289">
        <f t="shared" si="10"/>
        <v>8.8000000000000005E-3</v>
      </c>
      <c r="E55" s="822"/>
      <c r="F55" s="2502"/>
      <c r="G55" s="1287">
        <f t="shared" si="15"/>
        <v>4.4000000000000003E-3</v>
      </c>
      <c r="H55" s="1291">
        <f t="shared" si="11"/>
        <v>4.4000000000000003E-3</v>
      </c>
      <c r="I55" s="820">
        <v>0.1</v>
      </c>
      <c r="J55" s="1288">
        <f t="shared" si="12"/>
        <v>8.8000000000000005E-3</v>
      </c>
      <c r="K55" s="1288">
        <f t="shared" si="13"/>
        <v>4.4000000000000003E-3</v>
      </c>
      <c r="L55" s="1288">
        <v>0</v>
      </c>
      <c r="M55" s="1288">
        <f t="shared" si="14"/>
        <v>-4.4000000000000003E-3</v>
      </c>
      <c r="N55" s="1288">
        <f t="shared" si="14"/>
        <v>-8.8000000000000005E-3</v>
      </c>
      <c r="AA55" s="1374"/>
      <c r="AB55" s="1374"/>
      <c r="AC55" s="1374"/>
      <c r="AD55" s="1374"/>
      <c r="AE55" s="1374"/>
      <c r="AF55" s="1374"/>
      <c r="AG55" s="1374"/>
      <c r="AH55" s="1374"/>
      <c r="AI55" s="1374"/>
      <c r="AJ55" s="1374"/>
      <c r="AK55" s="1374"/>
    </row>
    <row r="56" spans="1:37" s="1373" customFormat="1" ht="51.75" thickBot="1">
      <c r="A56" s="2886" t="s">
        <v>2959</v>
      </c>
      <c r="B56" s="2887" t="str">
        <f>估价对象房地状况!C20</f>
        <v>区域自然环境：什刹海公园、后海公园；人文环境：北京古钱币博物馆；综合评价环境状况较好</v>
      </c>
      <c r="C56" s="2770" t="s">
        <v>3093</v>
      </c>
      <c r="D56" s="1289">
        <f t="shared" si="10"/>
        <v>2.5999999999999999E-3</v>
      </c>
      <c r="E56" s="825"/>
      <c r="F56" s="2502"/>
      <c r="G56" s="1287">
        <f t="shared" si="15"/>
        <v>2.5999999999999999E-3</v>
      </c>
      <c r="H56" s="1291">
        <f t="shared" si="11"/>
        <v>2.5999999999999999E-3</v>
      </c>
      <c r="I56" s="824">
        <v>0.06</v>
      </c>
      <c r="J56" s="1288">
        <f t="shared" si="12"/>
        <v>5.1999999999999998E-3</v>
      </c>
      <c r="K56" s="1288">
        <f t="shared" si="13"/>
        <v>2.5999999999999999E-3</v>
      </c>
      <c r="L56" s="1288">
        <v>0</v>
      </c>
      <c r="M56" s="1288">
        <f t="shared" si="14"/>
        <v>-2.5999999999999999E-3</v>
      </c>
      <c r="N56" s="1288">
        <f t="shared" si="14"/>
        <v>-5.1999999999999998E-3</v>
      </c>
      <c r="AA56" s="1374"/>
      <c r="AB56" s="1374"/>
      <c r="AC56" s="1374"/>
      <c r="AD56" s="1374"/>
      <c r="AE56" s="1374"/>
      <c r="AF56" s="1374"/>
      <c r="AG56" s="1374"/>
      <c r="AH56" s="1374"/>
      <c r="AI56" s="1374"/>
      <c r="AJ56" s="1374"/>
      <c r="AK56" s="1374"/>
    </row>
    <row r="57" spans="1:37" s="1373" customFormat="1" ht="15">
      <c r="A57" s="2874" t="s">
        <v>2960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2941</v>
      </c>
      <c r="B58" s="1812"/>
      <c r="C58" s="1812" t="s">
        <v>2943</v>
      </c>
      <c r="D58" s="1812" t="s">
        <v>2944</v>
      </c>
      <c r="E58" s="819" t="s">
        <v>2945</v>
      </c>
      <c r="F58" s="2879" t="s">
        <v>2961</v>
      </c>
      <c r="G58" s="1812" t="s">
        <v>754</v>
      </c>
      <c r="H58" s="2880" t="s">
        <v>2947</v>
      </c>
      <c r="I58" s="181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78" t="s">
        <v>2962</v>
      </c>
      <c r="B59" s="2881" t="str">
        <f>估价对象房地状况!C17</f>
        <v>估价对象位于XX商圈，周边办公楼项目较多，入驻率高，办公集聚程度较好</v>
      </c>
      <c r="C59" s="2770"/>
      <c r="D59" s="1289">
        <f t="shared" ref="D59:D67" si="16">SUMIF($J$58:$N$58,C59,J59:N59)</f>
        <v>0</v>
      </c>
      <c r="E59" s="821">
        <f>ROUND(SUM(D59:D67),4)</f>
        <v>0</v>
      </c>
      <c r="F59" s="2502"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78" t="s">
        <v>2950</v>
      </c>
      <c r="B60" s="2882" t="str">
        <f>估价对象房地状况!C18</f>
        <v>估价对象周边交通路网密集、公共交通通达情况较好、停车便捷程度一般，综合评价交通便捷度较好</v>
      </c>
      <c r="C60" s="2770"/>
      <c r="D60" s="1289">
        <f t="shared" si="16"/>
        <v>0</v>
      </c>
      <c r="E60" s="822"/>
      <c r="F60" s="2502"/>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8" t="s">
        <v>2951</v>
      </c>
      <c r="B61" s="2882">
        <f>估价对象房地状况!C19</f>
        <v>0</v>
      </c>
      <c r="C61" s="2770"/>
      <c r="D61" s="1289">
        <f t="shared" si="16"/>
        <v>0</v>
      </c>
      <c r="E61" s="822"/>
      <c r="F61" s="2502"/>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8" t="s">
        <v>2952</v>
      </c>
      <c r="B62" s="2883" t="s">
        <v>2953</v>
      </c>
      <c r="C62" s="2770"/>
      <c r="D62" s="1289">
        <f t="shared" si="16"/>
        <v>0</v>
      </c>
      <c r="E62" s="822"/>
      <c r="F62" s="2502"/>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8" t="s">
        <v>2954</v>
      </c>
      <c r="B63" s="2882" t="str">
        <f>估价对象房地状况!C24</f>
        <v>城市次干道</v>
      </c>
      <c r="C63" s="2770"/>
      <c r="D63" s="1289">
        <f t="shared" si="16"/>
        <v>0</v>
      </c>
      <c r="E63" s="822"/>
      <c r="F63" s="2502"/>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8" t="s">
        <v>2955</v>
      </c>
      <c r="B64" s="2884" t="s">
        <v>2956</v>
      </c>
      <c r="C64" s="2770"/>
      <c r="D64" s="1289">
        <f t="shared" si="16"/>
        <v>0</v>
      </c>
      <c r="E64" s="822"/>
      <c r="F64" s="2502"/>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8" t="s">
        <v>2957</v>
      </c>
      <c r="B65" s="1728" t="str">
        <f>估价对象房地状况!C21</f>
        <v>估价对象所在区域公共配套设施齐备情况较好</v>
      </c>
      <c r="C65" s="2770"/>
      <c r="D65" s="1289">
        <f t="shared" si="16"/>
        <v>0</v>
      </c>
      <c r="E65" s="822"/>
      <c r="F65" s="2502"/>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4">
      <c r="A66" s="2878" t="s">
        <v>2958</v>
      </c>
      <c r="B66" s="1728" t="str">
        <f>估价对象房地状况!C22</f>
        <v>七通一平</v>
      </c>
      <c r="C66" s="2770"/>
      <c r="D66" s="1289">
        <f t="shared" si="16"/>
        <v>0</v>
      </c>
      <c r="E66" s="822"/>
      <c r="F66" s="2502"/>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51.75" thickBot="1">
      <c r="A67" s="2886" t="s">
        <v>2959</v>
      </c>
      <c r="B67" s="2888" t="str">
        <f>估价对象房地状况!C20</f>
        <v>区域自然环境：什刹海公园、后海公园；人文环境：北京古钱币博物馆；综合评价环境状况较好</v>
      </c>
      <c r="C67" s="2770"/>
      <c r="D67" s="1289">
        <f t="shared" si="16"/>
        <v>0</v>
      </c>
      <c r="E67" s="825"/>
      <c r="F67" s="2502"/>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4" t="s">
        <v>2963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2941</v>
      </c>
      <c r="B69" s="1812"/>
      <c r="C69" s="1812" t="s">
        <v>2943</v>
      </c>
      <c r="D69" s="1812" t="s">
        <v>2944</v>
      </c>
      <c r="E69" s="819" t="s">
        <v>2945</v>
      </c>
      <c r="F69" s="2879" t="s">
        <v>2961</v>
      </c>
      <c r="G69" s="1812" t="s">
        <v>754</v>
      </c>
      <c r="H69" s="2880" t="s">
        <v>2947</v>
      </c>
      <c r="I69" s="181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78" t="s">
        <v>2964</v>
      </c>
      <c r="B70" s="2881" t="str">
        <f>估价对象房地状况!C15</f>
        <v>估价对象周边居住用地比例、居住小区规模和社区发展完善程度，综合评价居住社区成熟度一般</v>
      </c>
      <c r="C70" s="2770"/>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8" t="s">
        <v>2950</v>
      </c>
      <c r="B71" s="2882" t="str">
        <f>估价对象房地状况!C18</f>
        <v>估价对象周边交通路网密集、公共交通通达情况较好、停车便捷程度一般，综合评价交通便捷度较好</v>
      </c>
      <c r="C71" s="2770"/>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8" t="s">
        <v>2951</v>
      </c>
      <c r="B72" s="2882">
        <f>估价对象房地状况!C19</f>
        <v>0</v>
      </c>
      <c r="C72" s="2770"/>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8" t="s">
        <v>2965</v>
      </c>
      <c r="B73" s="2882" t="str">
        <f>估价对象房地状况!C24</f>
        <v>城市次干道</v>
      </c>
      <c r="C73" s="2770"/>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8" t="s">
        <v>2957</v>
      </c>
      <c r="B74" s="1728" t="str">
        <f>估价对象房地状况!C21</f>
        <v>估价对象所在区域公共配套设施齐备情况较好</v>
      </c>
      <c r="C74" s="2770"/>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78" t="s">
        <v>2958</v>
      </c>
      <c r="B75" s="1728" t="str">
        <f>估价对象房地状况!C22</f>
        <v>七通一平</v>
      </c>
      <c r="C75" s="2770"/>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8" t="s">
        <v>2955</v>
      </c>
      <c r="B76" s="2884" t="s">
        <v>2956</v>
      </c>
      <c r="C76" s="2770"/>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89"/>
      <c r="AB76" s="1374"/>
      <c r="AC76" s="1374"/>
      <c r="AD76" s="1374"/>
      <c r="AE76" s="1374"/>
      <c r="AF76" s="1374"/>
      <c r="AG76" s="1374"/>
      <c r="AH76" s="2889"/>
      <c r="AI76" s="2889"/>
      <c r="AJ76" s="2889"/>
      <c r="AK76" s="2889"/>
    </row>
    <row r="77" spans="1:37" ht="51">
      <c r="A77" s="2878" t="s">
        <v>2959</v>
      </c>
      <c r="B77" s="2881" t="str">
        <f>估价对象房地状况!C20</f>
        <v>区域自然环境：什刹海公园、后海公园；人文环境：北京古钱币博物馆；综合评价环境状况较好</v>
      </c>
      <c r="C77" s="2770"/>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6"/>
      <c r="AG77" s="1375"/>
      <c r="AK77" s="2796"/>
    </row>
    <row r="78" spans="1:37" ht="24.75" thickBot="1">
      <c r="A78" s="2886" t="s">
        <v>2966</v>
      </c>
      <c r="B78" s="2890"/>
      <c r="C78" s="2770"/>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6"/>
      <c r="AG78" s="1375"/>
      <c r="AK78" s="2796"/>
    </row>
    <row r="79" spans="1:37" ht="15">
      <c r="A79" s="2874" t="s">
        <v>2967</v>
      </c>
      <c r="B79" s="2875">
        <f>1+E81</f>
        <v>1</v>
      </c>
      <c r="C79" s="814"/>
      <c r="D79" s="814"/>
      <c r="E79" s="815"/>
      <c r="F79" s="2877"/>
      <c r="G79" s="6"/>
      <c r="H79" s="6"/>
      <c r="I79" s="6"/>
      <c r="J79" s="7"/>
      <c r="K79" s="7"/>
      <c r="L79" s="7"/>
      <c r="M79" s="7"/>
      <c r="N79" s="7"/>
      <c r="Z79" s="2721"/>
      <c r="AA79" s="2796"/>
      <c r="AG79" s="1375"/>
      <c r="AK79" s="2796"/>
    </row>
    <row r="80" spans="1:37" ht="24.75">
      <c r="A80" s="2878" t="s">
        <v>2941</v>
      </c>
      <c r="B80" s="1812"/>
      <c r="C80" s="1812" t="s">
        <v>2943</v>
      </c>
      <c r="D80" s="1812" t="s">
        <v>2944</v>
      </c>
      <c r="E80" s="819" t="s">
        <v>2945</v>
      </c>
      <c r="F80" s="2879" t="s">
        <v>2961</v>
      </c>
      <c r="G80" s="1812" t="s">
        <v>754</v>
      </c>
      <c r="H80" s="2880" t="s">
        <v>2947</v>
      </c>
      <c r="I80" s="1812" t="s">
        <v>2948</v>
      </c>
      <c r="J80" s="603" t="s">
        <v>2595</v>
      </c>
      <c r="K80" s="603" t="s">
        <v>2596</v>
      </c>
      <c r="L80" s="603" t="s">
        <v>2597</v>
      </c>
      <c r="M80" s="603" t="s">
        <v>2598</v>
      </c>
      <c r="N80" s="603" t="s">
        <v>2599</v>
      </c>
      <c r="Z80" s="2721"/>
      <c r="AA80" s="2796"/>
      <c r="AG80" s="1375"/>
      <c r="AK80" s="2796"/>
    </row>
    <row r="81" spans="1:37" ht="38.25">
      <c r="A81" s="2878" t="s">
        <v>2968</v>
      </c>
      <c r="B81" s="2882" t="str">
        <f>估价对象房地状况!G15</f>
        <v>估价对象位于XX开发区，园区建设成熟度XX，产业集聚程度XX</v>
      </c>
      <c r="C81" s="2770"/>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6"/>
      <c r="AG81" s="1375"/>
      <c r="AK81" s="2796"/>
    </row>
    <row r="82" spans="1:37" ht="51">
      <c r="A82" s="2878" t="s">
        <v>2950</v>
      </c>
      <c r="B82" s="2882" t="str">
        <f>估价对象房地状况!G16</f>
        <v>估价对象周边道路状况、公共交通通达情况、停车便捷程度，综合评价交通便捷度较好</v>
      </c>
      <c r="C82" s="2770"/>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6"/>
      <c r="AG82" s="1375"/>
      <c r="AK82" s="2796"/>
    </row>
    <row r="83" spans="1:37" ht="24">
      <c r="A83" s="2878" t="s">
        <v>2951</v>
      </c>
      <c r="B83" s="2882">
        <f>估价对象房地状况!G17</f>
        <v>0</v>
      </c>
      <c r="C83" s="2770"/>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6"/>
      <c r="AG83" s="1375"/>
      <c r="AK83" s="2796"/>
    </row>
    <row r="84" spans="1:37" ht="14.25">
      <c r="A84" s="2878" t="s">
        <v>2965</v>
      </c>
      <c r="B84" s="2882">
        <f>估价对象房地状况!G22</f>
        <v>0</v>
      </c>
      <c r="C84" s="2770"/>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6"/>
      <c r="AG84" s="1375"/>
      <c r="AK84" s="2796"/>
    </row>
    <row r="85" spans="1:37" ht="25.5">
      <c r="A85" s="2878" t="s">
        <v>2957</v>
      </c>
      <c r="B85" s="1728" t="str">
        <f>估价对象房地状况!G19</f>
        <v>估价对象所在区域公共配套设施齐备情况</v>
      </c>
      <c r="C85" s="2770"/>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6"/>
      <c r="AG85" s="1375"/>
      <c r="AK85" s="2796"/>
    </row>
    <row r="86" spans="1:37" ht="25.5">
      <c r="A86" s="2878" t="s">
        <v>2958</v>
      </c>
      <c r="B86" s="1728" t="str">
        <f>估价对象房地状况!G20</f>
        <v>估价对象所在区域基础设施水平</v>
      </c>
      <c r="C86" s="2770"/>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6"/>
      <c r="AG86" s="1375"/>
      <c r="AK86" s="2796"/>
    </row>
    <row r="87" spans="1:37" ht="24">
      <c r="A87" s="2878" t="s">
        <v>2955</v>
      </c>
      <c r="B87" s="2884" t="s">
        <v>2969</v>
      </c>
      <c r="C87" s="2770"/>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6"/>
      <c r="AG87" s="1375"/>
      <c r="AK87" s="2796"/>
    </row>
    <row r="88" spans="1:37" ht="39" thickBot="1">
      <c r="A88" s="2886" t="s">
        <v>2970</v>
      </c>
      <c r="B88" s="2891" t="str">
        <f>估价对象房地状况!G18</f>
        <v>该园区内是否有污染型企业，绿化情况，卫生条件，整体环境状况判断</v>
      </c>
      <c r="C88" s="2770"/>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6"/>
      <c r="AG88" s="1375"/>
      <c r="AK88" s="2796"/>
    </row>
    <row r="90" spans="1:37">
      <c r="A90" s="3252" t="s">
        <v>2971</v>
      </c>
      <c r="B90" s="3252"/>
      <c r="C90" s="3252"/>
      <c r="D90" s="3252"/>
      <c r="E90" s="3252"/>
      <c r="F90" s="3252"/>
      <c r="G90" s="3252"/>
      <c r="H90" s="3252"/>
      <c r="I90" s="3252"/>
      <c r="J90" s="3252"/>
      <c r="K90" s="2892"/>
      <c r="L90" s="2892"/>
      <c r="M90" s="2892"/>
      <c r="N90" s="2892"/>
    </row>
    <row r="91" spans="1:37">
      <c r="A91" s="3254" t="s">
        <v>2972</v>
      </c>
      <c r="B91" s="3254" t="s">
        <v>2973</v>
      </c>
      <c r="C91" s="2846" t="s">
        <v>2974</v>
      </c>
      <c r="D91" s="2847"/>
      <c r="E91" s="2847"/>
      <c r="F91" s="2847"/>
      <c r="G91" s="2847"/>
      <c r="H91" s="2847"/>
      <c r="I91" s="2847"/>
      <c r="J91" s="2893"/>
      <c r="K91" s="2894"/>
      <c r="L91" s="2894"/>
      <c r="M91" s="2894"/>
      <c r="N91" s="2894"/>
    </row>
    <row r="92" spans="1:37">
      <c r="A92" s="3254"/>
      <c r="B92" s="3254"/>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5" t="s">
        <v>2975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6"/>
      <c r="B99" s="2895" t="s">
        <v>2855</v>
      </c>
      <c r="C99" s="2897">
        <f>$I$3</f>
        <v>1</v>
      </c>
      <c r="D99" s="2897">
        <f t="shared" ref="D99:M99" si="31">$I$3</f>
        <v>1</v>
      </c>
      <c r="E99" s="2897">
        <f t="shared" si="31"/>
        <v>1</v>
      </c>
      <c r="F99" s="2897">
        <f t="shared" si="31"/>
        <v>1</v>
      </c>
      <c r="G99" s="2897">
        <f t="shared" si="31"/>
        <v>1</v>
      </c>
      <c r="H99" s="2897">
        <f t="shared" si="31"/>
        <v>1</v>
      </c>
      <c r="I99" s="2897">
        <f t="shared" si="31"/>
        <v>1</v>
      </c>
      <c r="J99" s="2897">
        <f t="shared" si="31"/>
        <v>1</v>
      </c>
      <c r="K99" s="2897">
        <f t="shared" si="31"/>
        <v>1</v>
      </c>
      <c r="L99" s="2897">
        <f t="shared" si="31"/>
        <v>1</v>
      </c>
      <c r="M99" s="2897">
        <f t="shared" si="31"/>
        <v>1</v>
      </c>
      <c r="N99" s="2897">
        <f>$I$3</f>
        <v>1</v>
      </c>
    </row>
    <row r="100" spans="1:14">
      <c r="A100" s="3257"/>
      <c r="B100" s="2895">
        <v>7</v>
      </c>
      <c r="C100" s="2898">
        <f>(-0.163*(C99^2)-0.59*C99+7617)*(10^(-4))</f>
        <v>0.76162470000000004</v>
      </c>
      <c r="D100" s="2898">
        <f>(-0.163*(D99^2)-0.59*D99+7617)*(10^(-4))</f>
        <v>0.76162470000000004</v>
      </c>
      <c r="E100" s="2898">
        <f>(-0.161*(E99^2)-7.509*E99+6533)*(10^(-4))</f>
        <v>0.65253300000000003</v>
      </c>
      <c r="F100" s="2898">
        <f>(-0.161*(F99^2)-7.509*F99+6533)*(10^(-4))</f>
        <v>0.65253300000000003</v>
      </c>
      <c r="G100" s="2898">
        <f>(-0.161*(G99^2)-7.509*G99+6533)*(10^(-4))</f>
        <v>0.65253300000000003</v>
      </c>
      <c r="H100" s="2898">
        <f>(-0.161*(H99^2)-7.509*H99+6533)*(10^(-4))</f>
        <v>0.65253300000000003</v>
      </c>
      <c r="I100" s="2898">
        <f>(-0.161*(I99^2)-7.509*I99+6533)*(10^(-4))</f>
        <v>0.65253300000000003</v>
      </c>
      <c r="J100" s="2898">
        <f>(-0.214*(J99^2)-21.991*J99+4665)*(10^(-4))</f>
        <v>0.46427950000000001</v>
      </c>
      <c r="K100" s="2898">
        <f>(-0.214*(K99^2)-21.991*K99+4665)*(10^(-4))</f>
        <v>0.46427950000000001</v>
      </c>
      <c r="L100" s="2898">
        <f>(-0.214*(L99^2)-21.991*L99+4665)*(10^(-4))</f>
        <v>0.46427950000000001</v>
      </c>
      <c r="M100" s="2898">
        <f>(-0.214*(M99^2)-21.991*M99+4665)*(10^(-4))</f>
        <v>0.46427950000000001</v>
      </c>
      <c r="N100" s="2898">
        <f>(-0.214*(N99^2)-21.991*N99+4665)*(10^(-4))</f>
        <v>0.46427950000000001</v>
      </c>
    </row>
    <row r="101" spans="1:14">
      <c r="A101" s="3255" t="s">
        <v>2976</v>
      </c>
      <c r="B101" s="2899" t="s">
        <v>2977</v>
      </c>
      <c r="C101" s="2900">
        <f>$G$3</f>
        <v>2</v>
      </c>
      <c r="D101" s="2900">
        <f t="shared" ref="D101:N101" si="32">$G$3</f>
        <v>2</v>
      </c>
      <c r="E101" s="2900">
        <f t="shared" si="32"/>
        <v>2</v>
      </c>
      <c r="F101" s="2900">
        <f t="shared" si="32"/>
        <v>2</v>
      </c>
      <c r="G101" s="2900">
        <f t="shared" si="32"/>
        <v>2</v>
      </c>
      <c r="H101" s="2900">
        <f t="shared" si="32"/>
        <v>2</v>
      </c>
      <c r="I101" s="2900">
        <f t="shared" si="32"/>
        <v>2</v>
      </c>
      <c r="J101" s="2900">
        <f t="shared" si="32"/>
        <v>2</v>
      </c>
      <c r="K101" s="2900">
        <f t="shared" si="32"/>
        <v>2</v>
      </c>
      <c r="L101" s="2900">
        <f t="shared" si="32"/>
        <v>2</v>
      </c>
      <c r="M101" s="2900">
        <f t="shared" si="32"/>
        <v>2</v>
      </c>
      <c r="N101" s="2900">
        <f t="shared" si="32"/>
        <v>2</v>
      </c>
    </row>
    <row r="102" spans="1:14">
      <c r="A102" s="3256"/>
      <c r="B102" s="2895">
        <v>1</v>
      </c>
      <c r="C102" s="2896">
        <f>1.9362/C101</f>
        <v>0.96809999999999996</v>
      </c>
      <c r="D102" s="2896">
        <f>1.9362/D101</f>
        <v>0.96809999999999996</v>
      </c>
      <c r="E102" s="2896">
        <f>1.8629/E101</f>
        <v>0.93145</v>
      </c>
      <c r="F102" s="2896">
        <f>1.8629/F101</f>
        <v>0.93145</v>
      </c>
      <c r="G102" s="2896">
        <f>1.8629/G101</f>
        <v>0.93145</v>
      </c>
      <c r="H102" s="2896">
        <f>1.8629/H101</f>
        <v>0.93145</v>
      </c>
      <c r="I102" s="2896">
        <f>1.8629/I101</f>
        <v>0.93145</v>
      </c>
      <c r="J102" s="2896">
        <f>1.942/J101</f>
        <v>0.97099999999999997</v>
      </c>
      <c r="K102" s="2896">
        <f>1.942/K101</f>
        <v>0.97099999999999997</v>
      </c>
      <c r="L102" s="2896">
        <f>1.942/L101</f>
        <v>0.97099999999999997</v>
      </c>
      <c r="M102" s="2896">
        <f>1.942/M101</f>
        <v>0.97099999999999997</v>
      </c>
      <c r="N102" s="2896">
        <f>1.942/N101</f>
        <v>0.97099999999999997</v>
      </c>
    </row>
    <row r="103" spans="1:14">
      <c r="A103" s="3256"/>
      <c r="B103" s="2895">
        <v>2</v>
      </c>
      <c r="C103" s="2896">
        <f>1.4198/C101</f>
        <v>0.70989999999999998</v>
      </c>
      <c r="D103" s="2896">
        <f>1.4198/D101</f>
        <v>0.70989999999999998</v>
      </c>
      <c r="E103" s="2896">
        <f>1.3372/E101</f>
        <v>0.66859999999999997</v>
      </c>
      <c r="F103" s="2896">
        <f>1.3372/F101</f>
        <v>0.66859999999999997</v>
      </c>
      <c r="G103" s="2896">
        <f>1.3372/G101</f>
        <v>0.66859999999999997</v>
      </c>
      <c r="H103" s="2896">
        <f>1.3372/H101</f>
        <v>0.66859999999999997</v>
      </c>
      <c r="I103" s="2896">
        <f>1.3372/I101</f>
        <v>0.66859999999999997</v>
      </c>
      <c r="J103" s="2896">
        <f>1.2799/J101</f>
        <v>0.63995000000000002</v>
      </c>
      <c r="K103" s="2896">
        <f>1.2799/K101</f>
        <v>0.63995000000000002</v>
      </c>
      <c r="L103" s="2896">
        <f>1.2799/L101</f>
        <v>0.63995000000000002</v>
      </c>
      <c r="M103" s="2896">
        <f>1.2799/M101</f>
        <v>0.63995000000000002</v>
      </c>
      <c r="N103" s="2896">
        <f>1.2799/N101</f>
        <v>0.63995000000000002</v>
      </c>
    </row>
    <row r="104" spans="1:14">
      <c r="A104" s="3256"/>
      <c r="B104" s="2895">
        <v>3</v>
      </c>
      <c r="C104" s="2896">
        <f>1.1594/C101</f>
        <v>0.57969999999999999</v>
      </c>
      <c r="D104" s="2896">
        <f>1.1594/D101</f>
        <v>0.57969999999999999</v>
      </c>
      <c r="E104" s="2896">
        <f>1.0788/E101</f>
        <v>0.53939999999999999</v>
      </c>
      <c r="F104" s="2896">
        <f>1.0788/F101</f>
        <v>0.53939999999999999</v>
      </c>
      <c r="G104" s="2896">
        <f>1.0788/G101</f>
        <v>0.53939999999999999</v>
      </c>
      <c r="H104" s="2896">
        <f>1.0788/H101</f>
        <v>0.53939999999999999</v>
      </c>
      <c r="I104" s="2896">
        <f>1.0788/I101</f>
        <v>0.53939999999999999</v>
      </c>
      <c r="J104" s="2896">
        <f>1.0072/J101</f>
        <v>0.50360000000000005</v>
      </c>
      <c r="K104" s="2896">
        <f>1.0072/K101</f>
        <v>0.50360000000000005</v>
      </c>
      <c r="L104" s="2896">
        <f>1.0072/L101</f>
        <v>0.50360000000000005</v>
      </c>
      <c r="M104" s="2896">
        <f>1.0072/M101</f>
        <v>0.50360000000000005</v>
      </c>
      <c r="N104" s="2896">
        <f>1.0072/N101</f>
        <v>0.50360000000000005</v>
      </c>
    </row>
    <row r="105" spans="1:14">
      <c r="A105" s="3256"/>
      <c r="B105" s="2895">
        <v>4</v>
      </c>
      <c r="C105" s="2896">
        <f>0.9622/C101</f>
        <v>0.48110000000000003</v>
      </c>
      <c r="D105" s="2896">
        <f>0.9622/D101</f>
        <v>0.48110000000000003</v>
      </c>
      <c r="E105" s="2896">
        <f>0.8656/E101</f>
        <v>0.43280000000000002</v>
      </c>
      <c r="F105" s="2896">
        <f>0.8656/F101</f>
        <v>0.43280000000000002</v>
      </c>
      <c r="G105" s="2896">
        <f>0.8656/G101</f>
        <v>0.43280000000000002</v>
      </c>
      <c r="H105" s="2896">
        <f>0.8656/H101</f>
        <v>0.43280000000000002</v>
      </c>
      <c r="I105" s="2896">
        <f>0.8656/I101</f>
        <v>0.43280000000000002</v>
      </c>
      <c r="J105" s="2896">
        <f>0.7525/J101</f>
        <v>0.37624999999999997</v>
      </c>
      <c r="K105" s="2896">
        <f>0.7525/K101</f>
        <v>0.37624999999999997</v>
      </c>
      <c r="L105" s="2896">
        <f>0.7525/L101</f>
        <v>0.37624999999999997</v>
      </c>
      <c r="M105" s="2896">
        <f>0.7525/M101</f>
        <v>0.37624999999999997</v>
      </c>
      <c r="N105" s="2896">
        <f>0.7525/N101</f>
        <v>0.37624999999999997</v>
      </c>
    </row>
    <row r="106" spans="1:14">
      <c r="A106" s="3256"/>
      <c r="B106" s="2895">
        <v>5</v>
      </c>
      <c r="C106" s="2896">
        <f>0.8417/C101</f>
        <v>0.42085</v>
      </c>
      <c r="D106" s="2896">
        <f>0.8417/D101</f>
        <v>0.42085</v>
      </c>
      <c r="E106" s="2896">
        <f>0.7371/E101</f>
        <v>0.36854999999999999</v>
      </c>
      <c r="F106" s="2896">
        <f>0.7371/F101</f>
        <v>0.36854999999999999</v>
      </c>
      <c r="G106" s="2896">
        <f>0.7371/G101</f>
        <v>0.36854999999999999</v>
      </c>
      <c r="H106" s="2896">
        <f>0.7371/H101</f>
        <v>0.36854999999999999</v>
      </c>
      <c r="I106" s="2896">
        <f>0.7371/I101</f>
        <v>0.36854999999999999</v>
      </c>
      <c r="J106" s="2896">
        <f>0.5659/J101</f>
        <v>0.28294999999999998</v>
      </c>
      <c r="K106" s="2896">
        <f>0.5659/K101</f>
        <v>0.28294999999999998</v>
      </c>
      <c r="L106" s="2896">
        <f>0.5659/L101</f>
        <v>0.28294999999999998</v>
      </c>
      <c r="M106" s="2896">
        <f>0.5659/M101</f>
        <v>0.28294999999999998</v>
      </c>
      <c r="N106" s="2896">
        <f>0.5659/N101</f>
        <v>0.28294999999999998</v>
      </c>
    </row>
    <row r="107" spans="1:14">
      <c r="A107" s="3256"/>
      <c r="B107" s="2895">
        <v>6</v>
      </c>
      <c r="C107" s="2896">
        <f>0.7608/C101</f>
        <v>0.38040000000000002</v>
      </c>
      <c r="D107" s="2896">
        <f>0.7608/D101</f>
        <v>0.38040000000000002</v>
      </c>
      <c r="E107" s="2896">
        <f>0.6482/E101</f>
        <v>0.3241</v>
      </c>
      <c r="F107" s="2896">
        <f>0.6482/F101</f>
        <v>0.3241</v>
      </c>
      <c r="G107" s="2896">
        <f>0.6482/G101</f>
        <v>0.3241</v>
      </c>
      <c r="H107" s="2896">
        <f>0.6482/H101</f>
        <v>0.3241</v>
      </c>
      <c r="I107" s="2896">
        <f>0.6482/I101</f>
        <v>0.3241</v>
      </c>
      <c r="J107" s="2896">
        <f>0.4525/J101</f>
        <v>0.22625000000000001</v>
      </c>
      <c r="K107" s="2896">
        <f>0.4525/K101</f>
        <v>0.22625000000000001</v>
      </c>
      <c r="L107" s="2896">
        <f>0.4525/L101</f>
        <v>0.22625000000000001</v>
      </c>
      <c r="M107" s="2896">
        <f>0.4525/M101</f>
        <v>0.22625000000000001</v>
      </c>
      <c r="N107" s="2896">
        <f>0.4525/N101</f>
        <v>0.22625000000000001</v>
      </c>
    </row>
    <row r="108" spans="1:14">
      <c r="A108" s="3256"/>
      <c r="B108" s="3080" t="s">
        <v>2978</v>
      </c>
      <c r="C108" s="2897">
        <f>C99</f>
        <v>1</v>
      </c>
      <c r="D108" s="2897">
        <f t="shared" ref="D108:N108" si="33">D99</f>
        <v>1</v>
      </c>
      <c r="E108" s="2897">
        <f t="shared" si="33"/>
        <v>1</v>
      </c>
      <c r="F108" s="2897">
        <f t="shared" si="33"/>
        <v>1</v>
      </c>
      <c r="G108" s="2897">
        <f t="shared" si="33"/>
        <v>1</v>
      </c>
      <c r="H108" s="2897">
        <f t="shared" si="33"/>
        <v>1</v>
      </c>
      <c r="I108" s="2897">
        <f t="shared" si="33"/>
        <v>1</v>
      </c>
      <c r="J108" s="2897">
        <f t="shared" si="33"/>
        <v>1</v>
      </c>
      <c r="K108" s="2897">
        <f t="shared" si="33"/>
        <v>1</v>
      </c>
      <c r="L108" s="2897">
        <f t="shared" si="33"/>
        <v>1</v>
      </c>
      <c r="M108" s="2897">
        <f t="shared" si="33"/>
        <v>1</v>
      </c>
      <c r="N108" s="2897">
        <f t="shared" si="33"/>
        <v>1</v>
      </c>
    </row>
    <row r="109" spans="1:14">
      <c r="A109" s="3257"/>
      <c r="B109" s="3081"/>
      <c r="C109" s="2898">
        <f>(-0.163*(C108^2)-0.59*C108+7617)*(10^(-4))/C101</f>
        <v>0.38081235000000002</v>
      </c>
      <c r="D109" s="2898">
        <f>(-0.163*(D108^2)-0.59*D108+7617)*(10^(-4))/D101</f>
        <v>0.38081235000000002</v>
      </c>
      <c r="E109" s="2898">
        <f>(-0.161*(E108^2)-7.509*E108+6533)*(10^(-4))/E101</f>
        <v>0.32626650000000001</v>
      </c>
      <c r="F109" s="2898">
        <f>(-0.161*(F108^2)-7.509*F108+6533)*(10^(-4))/F101</f>
        <v>0.32626650000000001</v>
      </c>
      <c r="G109" s="2898">
        <f>(-0.161*(G108^2)-7.509*G108+6533)*(10^(-4))/G101</f>
        <v>0.32626650000000001</v>
      </c>
      <c r="H109" s="2898">
        <f>(-0.161*(H108^2)-7.509*H108+6533)*(10^(-4))/H101</f>
        <v>0.32626650000000001</v>
      </c>
      <c r="I109" s="2898">
        <f>(-0.161*(I108^2)-7.509*I108+6533)*(10^(-4))/I101</f>
        <v>0.32626650000000001</v>
      </c>
      <c r="J109" s="2898">
        <f>(-0.214*(J108^2)-21.991*J108+4665)*(10^(-4))/J101</f>
        <v>0.23213975000000001</v>
      </c>
      <c r="K109" s="2898">
        <f>(-0.214*(K108^2)-21.991*K108+4665)*(10^(-4))/K101</f>
        <v>0.23213975000000001</v>
      </c>
      <c r="L109" s="2898">
        <f>(-0.214*(L108^2)-21.991*L108+4665)*(10^(-4))/L101</f>
        <v>0.23213975000000001</v>
      </c>
      <c r="M109" s="2898">
        <f>(-0.214*(M108^2)-21.991*M108+4665)*(10^(-4))/M101</f>
        <v>0.23213975000000001</v>
      </c>
      <c r="N109" s="2898">
        <f>(-0.214*(N108^2)-21.991*N108+4665)*(10^(-4))/N101</f>
        <v>0.23213975000000001</v>
      </c>
    </row>
    <row r="110" spans="1:14">
      <c r="A110" s="3253" t="s">
        <v>2979</v>
      </c>
      <c r="B110" s="3253"/>
      <c r="C110" s="3253"/>
      <c r="D110" s="3253"/>
      <c r="E110" s="3253"/>
      <c r="F110" s="3253"/>
      <c r="G110" s="3253"/>
      <c r="H110" s="3253"/>
      <c r="I110" s="3253"/>
      <c r="J110" s="3253"/>
      <c r="K110" s="2901"/>
      <c r="L110" s="2901"/>
      <c r="M110" s="2901"/>
      <c r="N110" s="2901"/>
    </row>
    <row r="112" spans="1:14" ht="13.5" thickBot="1"/>
    <row r="113" spans="1:13" ht="25.5" thickBot="1">
      <c r="A113" s="903" t="s">
        <v>2980</v>
      </c>
      <c r="B113" s="1290">
        <f>G3</f>
        <v>2</v>
      </c>
      <c r="C113" s="904" t="s">
        <v>2981</v>
      </c>
      <c r="D113" s="905">
        <f>SUMPRODUCT((A115:A118=F113)*(B114:M114=H113)*B115:M118)</f>
        <v>0.91469999999999996</v>
      </c>
      <c r="E113" s="2725" t="s">
        <v>2812</v>
      </c>
      <c r="F113" s="2903" t="str">
        <f>E2</f>
        <v>商业</v>
      </c>
      <c r="G113" s="2725" t="s">
        <v>2813</v>
      </c>
      <c r="H113" s="2903" t="str">
        <f>G2</f>
        <v>二级</v>
      </c>
      <c r="I113" s="2725"/>
      <c r="J113" s="2904"/>
      <c r="K113" s="2904"/>
      <c r="L113" s="2904"/>
      <c r="M113" s="2904"/>
    </row>
    <row r="114" spans="1:13">
      <c r="A114" s="908"/>
      <c r="B114" s="2905" t="s">
        <v>2982</v>
      </c>
      <c r="C114" s="2905" t="s">
        <v>2983</v>
      </c>
      <c r="D114" s="2905" t="s">
        <v>2984</v>
      </c>
      <c r="E114" s="2906" t="s">
        <v>2985</v>
      </c>
      <c r="F114" s="2906" t="s">
        <v>2986</v>
      </c>
      <c r="G114" s="2906" t="s">
        <v>2987</v>
      </c>
      <c r="H114" s="2907" t="s">
        <v>2988</v>
      </c>
      <c r="I114" s="2907" t="s">
        <v>2989</v>
      </c>
      <c r="J114" s="2908" t="s">
        <v>2990</v>
      </c>
      <c r="K114" s="2908" t="s">
        <v>2991</v>
      </c>
      <c r="L114" s="2908" t="s">
        <v>2992</v>
      </c>
      <c r="M114" s="2909" t="s">
        <v>2993</v>
      </c>
    </row>
    <row r="115" spans="1:13">
      <c r="A115" s="909" t="s">
        <v>2877</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2878</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2879</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5" thickBot="1">
      <c r="A118" s="714" t="s">
        <v>2880</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1.1729000000000001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3002</v>
      </c>
    </row>
    <row r="2" spans="1:5" ht="15.75">
      <c r="A2" s="2910" t="s">
        <v>2994</v>
      </c>
      <c r="B2" s="2911">
        <f ca="1">SUMIF(B6:B13,"&lt;&gt;#ref!",B6:B13)</f>
        <v>4857</v>
      </c>
      <c r="C2" s="2910" t="s">
        <v>2995</v>
      </c>
      <c r="D2" s="2910" t="s">
        <v>2996</v>
      </c>
      <c r="E2" s="2911">
        <f ca="1">SUMIF(E6:E13,"&lt;&gt;#ref!",E6:E13)</f>
        <v>606.5</v>
      </c>
    </row>
    <row r="3" spans="1:5" ht="15.75">
      <c r="A3" s="2910" t="s">
        <v>2997</v>
      </c>
      <c r="B3" s="2911">
        <f ca="1">ROUND(B2*10000/E2,0)</f>
        <v>80082</v>
      </c>
      <c r="C3" s="2910" t="s">
        <v>3003</v>
      </c>
      <c r="D3" s="2912"/>
      <c r="E3" s="2912"/>
    </row>
    <row r="4" spans="1:5" ht="15.75">
      <c r="A4" s="2913"/>
      <c r="B4" s="2912"/>
      <c r="C4" s="2912"/>
      <c r="D4" s="2912"/>
      <c r="E4" s="2912"/>
    </row>
    <row r="5" spans="1:5" ht="28.5">
      <c r="A5" s="2914" t="s">
        <v>2998</v>
      </c>
      <c r="B5" s="2910" t="s">
        <v>2999</v>
      </c>
      <c r="C5" s="2911"/>
      <c r="D5" s="2912"/>
      <c r="E5" s="2910" t="s">
        <v>3000</v>
      </c>
    </row>
    <row r="6" spans="1:5" ht="15.75">
      <c r="A6" s="2915" t="s">
        <v>3001</v>
      </c>
      <c r="B6" s="2911">
        <f ca="1">SUMIF(INDIRECT("'"&amp;A6&amp;"'"&amp;"!A:A"),"总价",INDIRECT("'"&amp;A6&amp;"'"&amp;"!B:B"))</f>
        <v>4857</v>
      </c>
      <c r="C6" s="2910" t="s">
        <v>2995</v>
      </c>
      <c r="D6" s="2912"/>
      <c r="E6" s="2576">
        <f ca="1">SUMIF(INDIRECT("'"&amp;A6&amp;"'"&amp;"!C:C"),"建筑面积",INDIRECT("'"&amp;A6&amp;"'"&amp;"!D:D"))</f>
        <v>606.5</v>
      </c>
    </row>
    <row r="7" spans="1:5" ht="15.75">
      <c r="A7" s="2915"/>
      <c r="B7" s="2911" t="e">
        <f ca="1">SUMIF(INDIRECT("'"&amp;A7&amp;"'"&amp;"!A:A"),"总价",INDIRECT("'"&amp;A7&amp;"'"&amp;"!B:B"))</f>
        <v>#REF!</v>
      </c>
      <c r="C7" s="2910" t="s">
        <v>2995</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2995</v>
      </c>
      <c r="D8" s="2912"/>
      <c r="E8" s="2576" t="e">
        <f t="shared" ca="1" si="0"/>
        <v>#REF!</v>
      </c>
    </row>
    <row r="9" spans="1:5" ht="15.75">
      <c r="A9" s="2915"/>
      <c r="B9" s="2911" t="e">
        <f t="shared" ca="1" si="1"/>
        <v>#REF!</v>
      </c>
      <c r="C9" s="2910" t="s">
        <v>2995</v>
      </c>
      <c r="D9" s="2912"/>
      <c r="E9" s="2576" t="e">
        <f t="shared" ca="1" si="0"/>
        <v>#REF!</v>
      </c>
    </row>
    <row r="10" spans="1:5" ht="15.75">
      <c r="A10" s="2915"/>
      <c r="B10" s="2911" t="e">
        <f t="shared" ca="1" si="1"/>
        <v>#REF!</v>
      </c>
      <c r="C10" s="2910" t="s">
        <v>2995</v>
      </c>
      <c r="D10" s="2912"/>
      <c r="E10" s="2576" t="e">
        <f t="shared" ca="1" si="0"/>
        <v>#REF!</v>
      </c>
    </row>
    <row r="11" spans="1:5" ht="15.75">
      <c r="A11" s="2915"/>
      <c r="B11" s="2911" t="e">
        <f t="shared" ca="1" si="1"/>
        <v>#REF!</v>
      </c>
      <c r="C11" s="2910" t="s">
        <v>2995</v>
      </c>
      <c r="D11" s="2912"/>
      <c r="E11" s="2576" t="e">
        <f t="shared" ca="1" si="0"/>
        <v>#REF!</v>
      </c>
    </row>
    <row r="12" spans="1:5" ht="15.75">
      <c r="A12" s="2915"/>
      <c r="B12" s="2911" t="e">
        <f t="shared" ca="1" si="1"/>
        <v>#REF!</v>
      </c>
      <c r="C12" s="2910" t="s">
        <v>2995</v>
      </c>
      <c r="D12" s="2912"/>
      <c r="E12" s="2576" t="e">
        <f t="shared" ca="1" si="0"/>
        <v>#REF!</v>
      </c>
    </row>
    <row r="13" spans="1:5" ht="15.75">
      <c r="A13" s="2915"/>
      <c r="B13" s="2911" t="e">
        <f t="shared" ca="1" si="1"/>
        <v>#REF!</v>
      </c>
      <c r="C13" s="2910" t="s">
        <v>2995</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1150</v>
      </c>
      <c r="C1" s="3276"/>
      <c r="D1" s="3276"/>
      <c r="E1" s="3276"/>
      <c r="F1" s="3276"/>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3037</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3038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0">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3033</v>
      </c>
      <c r="B7" s="1472">
        <v>439</v>
      </c>
      <c r="C7" s="1472">
        <v>327</v>
      </c>
      <c r="D7" s="1472">
        <f>C7</f>
        <v>327</v>
      </c>
      <c r="E7" s="1472">
        <v>627</v>
      </c>
      <c r="F7" s="1473">
        <v>283</v>
      </c>
      <c r="G7" s="2926">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2"/>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1"/>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7">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4"/>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4"/>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5"/>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3">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4"/>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4"/>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5"/>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3">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4"/>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4"/>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5"/>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8">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9"/>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9"/>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0"/>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3">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4"/>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4"/>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5"/>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3">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4">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4">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5">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3">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4">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4">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5">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3">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4">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4">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5">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3">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4">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4">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5">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3">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4">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4">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5">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3">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4">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4">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5">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3">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4">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4">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5">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3">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4">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4">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5">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4">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4">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4">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4">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5">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2" t="s">
        <v>3005</v>
      </c>
      <c r="D1" s="3283"/>
      <c r="E1" s="3283"/>
      <c r="F1" s="3283"/>
      <c r="G1" s="3283"/>
      <c r="H1" s="3283"/>
      <c r="I1" s="3283"/>
      <c r="J1" s="3283"/>
      <c r="K1" s="3283"/>
      <c r="L1" s="3283"/>
      <c r="M1" s="3283"/>
      <c r="N1" s="3283"/>
      <c r="O1" s="3283"/>
      <c r="P1" s="3283"/>
      <c r="Q1" s="3283"/>
      <c r="R1" s="3283"/>
      <c r="S1" s="3284"/>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3014</v>
      </c>
      <c r="B17" s="2917"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19" t="s">
        <v>3018</v>
      </c>
      <c r="E20" s="1796"/>
      <c r="F20" s="1207" t="e">
        <f ca="1">SUMIF(INDIRECT("'"&amp;H20&amp;"'"&amp;"!A:A"),"承租人权益价值",INDIRECT("'"&amp;H20&amp;"'"&amp;"!c:c"))</f>
        <v>#REF!</v>
      </c>
      <c r="G20" s="1207" t="s">
        <v>3019</v>
      </c>
      <c r="H20" s="292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1" t="s">
        <v>33</v>
      </c>
      <c r="D22" s="3062"/>
      <c r="E22" s="3062"/>
      <c r="F22" s="3062"/>
      <c r="G22" s="3062"/>
      <c r="H22" s="3062"/>
      <c r="I22" s="3062"/>
      <c r="J22" s="3062"/>
      <c r="K22" s="3062"/>
      <c r="L22" s="3062"/>
      <c r="M22" s="3062"/>
      <c r="N22" s="3062"/>
      <c r="O22" s="3062"/>
      <c r="P22" s="3062"/>
      <c r="Q22" s="328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28455</v>
      </c>
      <c r="C2" s="2" t="s">
        <v>133</v>
      </c>
      <c r="D2" s="243"/>
      <c r="E2" s="243"/>
      <c r="F2" s="243"/>
      <c r="G2" s="243"/>
    </row>
    <row r="3" spans="1:7" s="244" customFormat="1" ht="18" customHeight="1" thickBot="1">
      <c r="A3" s="247" t="s">
        <v>85</v>
      </c>
      <c r="B3" s="248">
        <f ca="1">ROUND(B2*10000/'数据-汇总表'!E3,0)</f>
        <v>469167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12</v>
      </c>
      <c r="D10" s="1035">
        <f>'数据-汇总表'!E6</f>
        <v>606.5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v>
      </c>
      <c r="D19" s="1039">
        <f>'数据-汇总表'!E3</f>
        <v>606.5</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4207</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4207</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109</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v>
      </c>
      <c r="D37" s="261">
        <f>'数据-汇总表'!E3</f>
        <v>606.5</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v>
      </c>
      <c r="D42" s="282"/>
      <c r="E42" s="282"/>
      <c r="F42" s="283"/>
      <c r="G42" s="3150" t="s">
        <v>121</v>
      </c>
    </row>
    <row r="43" spans="1:7" ht="13.5" customHeight="1">
      <c r="A43" s="954" t="s">
        <v>792</v>
      </c>
      <c r="B43" s="259" t="s">
        <v>1064</v>
      </c>
      <c r="C43" s="282">
        <f ca="1">ROUND(IF('数据-取费表'!B22&lt;=1,C39*F22*'数据-取费表'!B21/2,C39*(POWER((1+F22),'数据-取费表'!B21/2)-1)),0)</f>
        <v>0</v>
      </c>
      <c r="D43" s="282"/>
      <c r="E43" s="282"/>
      <c r="F43" s="283"/>
      <c r="G43" s="3151"/>
    </row>
    <row r="44" spans="1:7" ht="13.5" customHeight="1">
      <c r="A44" s="954" t="s">
        <v>793</v>
      </c>
      <c r="B44" s="259" t="s">
        <v>1066</v>
      </c>
      <c r="C44" s="282">
        <f ca="1">ROUND(IF('数据-取费表'!B22&lt;=1,C40*F22*'数据-取费表'!B21/2,C40*(POWER((1+F22),'数据-取费表'!B21/2)-1)),4)</f>
        <v>4.0000000000000002E-4</v>
      </c>
      <c r="D44" s="282"/>
      <c r="E44" s="282"/>
      <c r="F44" s="283"/>
      <c r="G44" s="3152"/>
    </row>
    <row r="45" spans="1:7" s="258" customFormat="1" ht="13.5" customHeight="1">
      <c r="A45" s="951" t="s">
        <v>786</v>
      </c>
      <c r="B45" s="288" t="s">
        <v>112</v>
      </c>
      <c r="C45" s="289">
        <f>C46</f>
        <v>26</v>
      </c>
      <c r="D45" s="279">
        <f>C47</f>
        <v>4.0000000000000001E-3</v>
      </c>
      <c r="E45" s="280" t="s">
        <v>129</v>
      </c>
      <c r="F45" s="290"/>
      <c r="G45" s="291" t="s">
        <v>1072</v>
      </c>
    </row>
    <row r="46" spans="1:7" s="258" customFormat="1" ht="13.5" customHeight="1">
      <c r="A46" s="954" t="s">
        <v>794</v>
      </c>
      <c r="B46" s="292" t="s">
        <v>1065</v>
      </c>
      <c r="C46" s="293">
        <f>ROUND((C33+C39)*F27,0)</f>
        <v>26</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171</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103</v>
      </c>
      <c r="D51" s="276"/>
      <c r="E51" s="276"/>
      <c r="F51" s="308"/>
      <c r="G51" s="278" t="s">
        <v>64</v>
      </c>
    </row>
    <row r="52" spans="1:7" s="252" customFormat="1" ht="16.5" thickBot="1">
      <c r="A52" s="309" t="s">
        <v>65</v>
      </c>
      <c r="B52" s="310"/>
      <c r="C52" s="311">
        <f ca="1">C31+C51</f>
        <v>28455</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1619</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1628</v>
      </c>
      <c r="C4" s="2964"/>
      <c r="D4" s="2964"/>
      <c r="E4" s="1964"/>
    </row>
    <row r="5" spans="1:5" ht="16.5" thickTop="1">
      <c r="A5" s="1962"/>
      <c r="B5" s="2962" t="s">
        <v>1620</v>
      </c>
      <c r="C5" s="1965" t="s">
        <v>1621</v>
      </c>
      <c r="D5" s="1043">
        <f ca="1">结果表!H101</f>
        <v>3803</v>
      </c>
      <c r="E5" s="1962"/>
    </row>
    <row r="6" spans="1:5" ht="15.75">
      <c r="A6" s="1962"/>
      <c r="B6" s="2962"/>
      <c r="C6" s="1965" t="s">
        <v>1622</v>
      </c>
      <c r="D6" s="1043" t="str">
        <f ca="1">NUMBERSTRING(INT(D5*10000),2)&amp;"元整"</f>
        <v>叁仟捌佰零叁万元整</v>
      </c>
      <c r="E6" s="1962"/>
    </row>
    <row r="7" spans="1:5" ht="15.75">
      <c r="A7" s="1962"/>
      <c r="B7" s="2967"/>
      <c r="C7" s="1966" t="s">
        <v>1623</v>
      </c>
      <c r="D7" s="1044">
        <f ca="1">结果表!H102</f>
        <v>62704</v>
      </c>
      <c r="E7" s="1962"/>
    </row>
    <row r="8" spans="1:5" ht="15.75">
      <c r="A8" s="1962"/>
      <c r="B8" s="2968" t="str">
        <f>结果表!E103</f>
        <v>2.估价师知悉的法定优先受偿款</v>
      </c>
      <c r="C8" s="1967" t="s">
        <v>1624</v>
      </c>
      <c r="D8" s="1044">
        <f>结果表!H103</f>
        <v>0</v>
      </c>
      <c r="E8" s="1962"/>
    </row>
    <row r="9" spans="1:5" ht="15.75">
      <c r="A9" s="1962"/>
      <c r="B9" s="2970"/>
      <c r="C9" s="1965" t="s">
        <v>1622</v>
      </c>
      <c r="D9" s="1043" t="str">
        <f>NUMBERSTRING(INT(D8*10000),2)&amp;"元整"</f>
        <v>零元整</v>
      </c>
      <c r="E9" s="1962"/>
    </row>
    <row r="10" spans="1:5" ht="15">
      <c r="A10" s="1962"/>
      <c r="B10" s="1968" t="s">
        <v>1627</v>
      </c>
      <c r="C10" s="1969" t="s">
        <v>1625</v>
      </c>
      <c r="D10" s="1045">
        <f>结果表!H104</f>
        <v>0</v>
      </c>
      <c r="E10" s="1962"/>
    </row>
    <row r="11" spans="1:5" ht="15">
      <c r="A11" s="1962"/>
      <c r="B11" s="1968" t="s">
        <v>1629</v>
      </c>
      <c r="C11" s="1969" t="s">
        <v>1630</v>
      </c>
      <c r="D11" s="1045">
        <f>结果表!H105</f>
        <v>0</v>
      </c>
      <c r="E11" s="1962"/>
    </row>
    <row r="12" spans="1:5" ht="15">
      <c r="A12" s="1962"/>
      <c r="B12" s="1968" t="s">
        <v>1631</v>
      </c>
      <c r="C12" s="1969" t="s">
        <v>1630</v>
      </c>
      <c r="D12" s="1045">
        <f>结果表!H106</f>
        <v>0</v>
      </c>
      <c r="E12" s="1962"/>
    </row>
    <row r="13" spans="1:5" ht="15.75">
      <c r="A13" s="1962"/>
      <c r="B13" s="2961" t="str">
        <f>结果表!E107</f>
        <v>3.房地产抵押价值</v>
      </c>
      <c r="C13" s="1970" t="s">
        <v>1621</v>
      </c>
      <c r="D13" s="1046">
        <f ca="1">结果表!H107</f>
        <v>3803</v>
      </c>
      <c r="E13" s="1962"/>
    </row>
    <row r="14" spans="1:5" ht="15.75">
      <c r="A14" s="1962"/>
      <c r="B14" s="2962"/>
      <c r="C14" s="1965" t="s">
        <v>1622</v>
      </c>
      <c r="D14" s="1043" t="str">
        <f ca="1">NUMBERSTRING(INT(D13*10000),2)&amp;"元整"</f>
        <v>叁仟捌佰零叁万元整</v>
      </c>
      <c r="E14" s="1962"/>
    </row>
    <row r="15" spans="1:5" ht="15">
      <c r="A15" s="1962"/>
      <c r="B15" s="2967"/>
      <c r="C15" s="1966" t="s">
        <v>1632</v>
      </c>
      <c r="D15" s="1055">
        <f ca="1">结果表!H108</f>
        <v>62704</v>
      </c>
      <c r="E15" s="1962"/>
    </row>
    <row r="16" spans="1:5" ht="15">
      <c r="A16" s="1962"/>
      <c r="B16" s="2968" t="str">
        <f>结果表!E109</f>
        <v>——</v>
      </c>
      <c r="C16" s="1970" t="s">
        <v>1633</v>
      </c>
      <c r="D16" s="1971" t="str">
        <f>结果表!H109</f>
        <v>——</v>
      </c>
      <c r="E16" s="1962"/>
    </row>
    <row r="17" spans="1:5" ht="15.75">
      <c r="A17" s="1962"/>
      <c r="B17" s="2969"/>
      <c r="C17" s="1965" t="s">
        <v>1634</v>
      </c>
      <c r="D17" s="1043" t="e">
        <f>NUMBERSTRING(INT(D16*10000),2)&amp;"元整"</f>
        <v>#VALUE!</v>
      </c>
      <c r="E17" s="1962"/>
    </row>
    <row r="18" spans="1:5" ht="15">
      <c r="A18" s="1962"/>
      <c r="B18" s="2970"/>
      <c r="C18" s="1966" t="s">
        <v>1623</v>
      </c>
      <c r="D18" s="1055" t="str">
        <f>结果表!H110</f>
        <v>——</v>
      </c>
      <c r="E18" s="1962"/>
    </row>
    <row r="19" spans="1:5" ht="15.75">
      <c r="A19" s="1962"/>
      <c r="B19" s="2961" t="str">
        <f>结果表!E111</f>
        <v>——</v>
      </c>
      <c r="C19" s="1970" t="s">
        <v>1621</v>
      </c>
      <c r="D19" s="1044" t="str">
        <f>结果表!H111</f>
        <v>——</v>
      </c>
      <c r="E19" s="1962"/>
    </row>
    <row r="20" spans="1:5" ht="15.75">
      <c r="A20" s="1962"/>
      <c r="B20" s="2962"/>
      <c r="C20" s="1965" t="s">
        <v>1634</v>
      </c>
      <c r="D20" s="1043" t="e">
        <f>NUMBERSTRING(INT(D19*10000),2)&amp;"元整"</f>
        <v>#VALUE!</v>
      </c>
      <c r="E20" s="1962"/>
    </row>
    <row r="21" spans="1:5" ht="15.75" thickBot="1">
      <c r="A21" s="1962"/>
      <c r="B21" s="2963"/>
      <c r="C21" s="1972" t="s">
        <v>1632</v>
      </c>
      <c r="D21" s="1056" t="str">
        <f>结果表!H112</f>
        <v>——</v>
      </c>
      <c r="E21" s="1962"/>
    </row>
    <row r="22" spans="1:5" ht="15" thickTop="1">
      <c r="A22" s="1962"/>
      <c r="B22" s="1973" t="s">
        <v>1635</v>
      </c>
      <c r="C22" s="1962"/>
      <c r="D22" s="1962"/>
      <c r="E22" s="1962"/>
    </row>
    <row r="23" spans="1:5">
      <c r="A23" s="1962"/>
      <c r="B23" s="1962"/>
      <c r="C23" s="1962"/>
      <c r="D23" s="1962"/>
      <c r="E23" s="1962"/>
    </row>
    <row r="24" spans="1:5" ht="18.75">
      <c r="A24" s="1974"/>
      <c r="B24" s="1975" t="s">
        <v>1626</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7" zoomScale="90" zoomScaleNormal="90" workbookViewId="0">
      <selection activeCell="M19" sqref="M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3" t="s">
        <v>2640</v>
      </c>
      <c r="C1" s="1637" t="s">
        <v>2528</v>
      </c>
      <c r="D1" s="1624" t="s">
        <v>1377</v>
      </c>
      <c r="E1" s="2658"/>
      <c r="F1" s="2585" t="s">
        <v>3099</v>
      </c>
      <c r="G1" s="1634" t="s">
        <v>2641</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2325</v>
      </c>
      <c r="B2" s="1421">
        <f>IF(C2="——",ROUND(C49*D3/10000,0),ROUND(C49*D3/10000,0)-D2)</f>
        <v>0</v>
      </c>
      <c r="C2" s="2587" t="s">
        <v>70</v>
      </c>
      <c r="D2" s="1368" t="e">
        <f ca="1">SUMIF(INDIRECT("'"&amp;F2&amp;"'"&amp;"!A:A"),"承租人权益价值",INDIRECT("'"&amp;F2&amp;"'"&amp;"!c:c"))</f>
        <v>#REF!</v>
      </c>
      <c r="E2" s="2588" t="s">
        <v>2326</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2327</v>
      </c>
      <c r="B3" s="609">
        <f>IF(C2="——",C49,ROUND(B2*10000/D3,0))</f>
        <v>8.1</v>
      </c>
      <c r="C3" s="400" t="s">
        <v>2642</v>
      </c>
      <c r="D3" s="399">
        <f>IF(D1="",'数据-汇总表'!E3,SUMIF('数据-汇总表'!$C19:$C33,D1,'数据-汇总表'!$E19:$E33))</f>
        <v>606.5</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2643</v>
      </c>
      <c r="B4" s="402"/>
      <c r="C4" s="3198" t="s">
        <v>2644</v>
      </c>
      <c r="D4" s="3199"/>
      <c r="E4" s="3200" t="s">
        <v>2645</v>
      </c>
      <c r="F4" s="3201"/>
      <c r="G4" s="3198" t="s">
        <v>2646</v>
      </c>
      <c r="H4" s="3199"/>
      <c r="I4" s="3198" t="s">
        <v>2647</v>
      </c>
      <c r="J4" s="3199"/>
      <c r="K4" s="610" t="s">
        <v>2648</v>
      </c>
      <c r="L4" s="1133"/>
      <c r="M4" s="1134"/>
      <c r="N4" s="1134"/>
      <c r="O4" s="1134"/>
      <c r="P4" s="3202" t="s">
        <v>2649</v>
      </c>
      <c r="Q4" s="3203"/>
      <c r="R4" s="3185" t="s">
        <v>2645</v>
      </c>
      <c r="S4" s="3186"/>
      <c r="T4" s="3185" t="s">
        <v>2646</v>
      </c>
      <c r="U4" s="3186"/>
      <c r="V4" s="3210" t="s">
        <v>2647</v>
      </c>
      <c r="W4" s="3210"/>
      <c r="X4" s="1816"/>
      <c r="Y4" s="3185" t="s">
        <v>2649</v>
      </c>
      <c r="Z4" s="3186"/>
      <c r="AA4" s="3180" t="s">
        <v>2645</v>
      </c>
      <c r="AB4" s="3210" t="s">
        <v>2646</v>
      </c>
      <c r="AC4" s="3180" t="s">
        <v>2647</v>
      </c>
    </row>
    <row r="5" spans="1:29" ht="15">
      <c r="A5" s="404"/>
      <c r="B5" s="405"/>
      <c r="C5" s="3290" t="s">
        <v>3119</v>
      </c>
      <c r="D5" s="3192"/>
      <c r="E5" s="3289" t="s">
        <v>740</v>
      </c>
      <c r="F5" s="3190"/>
      <c r="G5" s="3290" t="s">
        <v>740</v>
      </c>
      <c r="H5" s="3192"/>
      <c r="I5" s="3290" t="s">
        <v>3121</v>
      </c>
      <c r="J5" s="3192"/>
      <c r="K5" s="610"/>
      <c r="L5" s="1133"/>
      <c r="M5" s="1134"/>
      <c r="N5" s="1134"/>
      <c r="O5" s="1134"/>
      <c r="P5" s="3204"/>
      <c r="Q5" s="3205"/>
      <c r="R5" s="3187"/>
      <c r="S5" s="3188"/>
      <c r="T5" s="3187"/>
      <c r="U5" s="3188"/>
      <c r="V5" s="3210"/>
      <c r="W5" s="3210"/>
      <c r="X5" s="1816"/>
      <c r="Y5" s="3187"/>
      <c r="Z5" s="3188"/>
      <c r="AA5" s="3181"/>
      <c r="AB5" s="3210"/>
      <c r="AC5" s="3181"/>
    </row>
    <row r="6" spans="1:29" ht="15.75" thickBot="1">
      <c r="A6" s="406"/>
      <c r="B6" s="407"/>
      <c r="C6" s="3193" t="str">
        <f>C5</f>
        <v>鼓楼西大街207号</v>
      </c>
      <c r="D6" s="3194"/>
      <c r="E6" s="3195" t="str">
        <f>E5</f>
        <v>鼓楼大街</v>
      </c>
      <c r="F6" s="3196"/>
      <c r="G6" s="3193" t="str">
        <f>G5</f>
        <v>鼓楼大街</v>
      </c>
      <c r="H6" s="3194"/>
      <c r="I6" s="3193" t="str">
        <f>I5</f>
        <v>鼓楼东大街</v>
      </c>
      <c r="J6" s="3194"/>
      <c r="K6" s="610" t="s">
        <v>2545</v>
      </c>
      <c r="L6" s="1133"/>
      <c r="M6" s="1134"/>
      <c r="N6" s="1134"/>
      <c r="O6" s="1134"/>
      <c r="P6" s="3206"/>
      <c r="Q6" s="3207"/>
      <c r="R6" s="3187"/>
      <c r="S6" s="3188"/>
      <c r="T6" s="3208"/>
      <c r="U6" s="3209"/>
      <c r="V6" s="3210"/>
      <c r="W6" s="3210"/>
      <c r="X6" s="1816"/>
      <c r="Y6" s="3208"/>
      <c r="Z6" s="3209"/>
      <c r="AA6" s="3182"/>
      <c r="AB6" s="3210"/>
      <c r="AC6" s="3182"/>
    </row>
    <row r="7" spans="1:29" s="117" customFormat="1" ht="15.75" thickBot="1">
      <c r="A7" s="408" t="s">
        <v>2546</v>
      </c>
      <c r="B7" s="409"/>
      <c r="C7" s="410">
        <f>'数据-取费表'!B2</f>
        <v>43256</v>
      </c>
      <c r="D7" s="411">
        <v>100</v>
      </c>
      <c r="E7" s="412">
        <f>C7</f>
        <v>43256</v>
      </c>
      <c r="F7" s="413">
        <f>SUMIF(58:58,YEAR(E7)&amp;"-"&amp;MONTH(E7),59:59)</f>
        <v>100</v>
      </c>
      <c r="G7" s="412">
        <f>C7</f>
        <v>43256</v>
      </c>
      <c r="H7" s="411">
        <f>SUMIF(58:58,YEAR(G7)&amp;"-"&amp;MONTH(G7),59:59)</f>
        <v>100</v>
      </c>
      <c r="I7" s="412">
        <f>C7</f>
        <v>43256</v>
      </c>
      <c r="J7" s="411">
        <f>SUMIF(58:58,YEAR(I7)&amp;"-"&amp;MONTH(I7),59:59)</f>
        <v>100</v>
      </c>
      <c r="K7" s="611"/>
      <c r="L7" s="1135"/>
      <c r="M7" s="1136"/>
      <c r="N7" s="1136"/>
      <c r="O7" s="1136"/>
      <c r="P7" s="3183" t="s">
        <v>2547</v>
      </c>
      <c r="Q7" s="3211"/>
      <c r="R7" s="770" t="s">
        <v>17</v>
      </c>
      <c r="S7" s="771">
        <f t="shared" ref="S7:S15" si="0">F7</f>
        <v>100</v>
      </c>
      <c r="T7" s="770" t="s">
        <v>17</v>
      </c>
      <c r="U7" s="771">
        <f t="shared" ref="U7:U15" si="1">H7</f>
        <v>100</v>
      </c>
      <c r="V7" s="770" t="s">
        <v>17</v>
      </c>
      <c r="W7" s="771">
        <f t="shared" ref="W7:W15" si="2">J7</f>
        <v>100</v>
      </c>
      <c r="X7" s="772"/>
      <c r="Y7" s="3183" t="s">
        <v>2547</v>
      </c>
      <c r="Z7" s="3184"/>
      <c r="AA7" s="773">
        <f>D7/F7</f>
        <v>1</v>
      </c>
      <c r="AB7" s="773">
        <f>D7/H7</f>
        <v>1</v>
      </c>
      <c r="AC7" s="773">
        <f>D7/J7</f>
        <v>1</v>
      </c>
    </row>
    <row r="8" spans="1:29" s="117" customFormat="1" ht="15.75" thickBot="1">
      <c r="A8" s="408" t="s">
        <v>2548</v>
      </c>
      <c r="B8" s="409"/>
      <c r="C8" s="414" t="s">
        <v>2650</v>
      </c>
      <c r="D8" s="411">
        <v>100</v>
      </c>
      <c r="E8" s="414" t="s">
        <v>3100</v>
      </c>
      <c r="F8" s="413">
        <f>SUMIF(61:61,E8,62:62)-SUMIF(61:61,C8,62:62)+100</f>
        <v>100</v>
      </c>
      <c r="G8" s="414" t="s">
        <v>3100</v>
      </c>
      <c r="H8" s="411">
        <f>SUMIF(61:61,G8,62:62)-SUMIF(61:61,C8,62:62)+100</f>
        <v>100</v>
      </c>
      <c r="I8" s="414" t="s">
        <v>3100</v>
      </c>
      <c r="J8" s="411">
        <f>SUMIF(61:61,I8,62:62)-SUMIF(61:61,C8,62:62)+100</f>
        <v>100</v>
      </c>
      <c r="K8" s="611"/>
      <c r="L8" s="1135"/>
      <c r="M8" s="1136"/>
      <c r="N8" s="1136"/>
      <c r="O8" s="1136"/>
      <c r="P8" s="3183" t="s">
        <v>2550</v>
      </c>
      <c r="Q8" s="3184"/>
      <c r="R8" s="770" t="s">
        <v>17</v>
      </c>
      <c r="S8" s="771">
        <f t="shared" si="0"/>
        <v>100</v>
      </c>
      <c r="T8" s="770" t="s">
        <v>17</v>
      </c>
      <c r="U8" s="771">
        <f t="shared" si="1"/>
        <v>100</v>
      </c>
      <c r="V8" s="770" t="s">
        <v>17</v>
      </c>
      <c r="W8" s="771">
        <f t="shared" si="2"/>
        <v>100</v>
      </c>
      <c r="X8" s="772"/>
      <c r="Y8" s="3183" t="s">
        <v>2550</v>
      </c>
      <c r="Z8" s="3184"/>
      <c r="AA8" s="773">
        <f t="shared" ref="AA8:AA46" si="3">D8/F8</f>
        <v>1</v>
      </c>
      <c r="AB8" s="773">
        <f t="shared" ref="AB8:AB46" si="4">D8/H8</f>
        <v>1</v>
      </c>
      <c r="AC8" s="773">
        <f t="shared" ref="AC8:AC46" si="5">D8/J8</f>
        <v>1</v>
      </c>
    </row>
    <row r="9" spans="1:29" s="117" customFormat="1">
      <c r="A9" s="415" t="s">
        <v>2551</v>
      </c>
      <c r="B9" s="71" t="s">
        <v>2552</v>
      </c>
      <c r="C9" s="2949" t="s">
        <v>3101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197" t="s">
        <v>2553</v>
      </c>
      <c r="Q9" s="1798" t="str">
        <f t="shared" ref="Q9:Q15" si="6">B9</f>
        <v>用途</v>
      </c>
      <c r="R9" s="770" t="s">
        <v>17</v>
      </c>
      <c r="S9" s="771">
        <f t="shared" si="0"/>
        <v>100</v>
      </c>
      <c r="T9" s="770" t="s">
        <v>17</v>
      </c>
      <c r="U9" s="771">
        <f t="shared" si="1"/>
        <v>100</v>
      </c>
      <c r="V9" s="770" t="s">
        <v>17</v>
      </c>
      <c r="W9" s="771">
        <f t="shared" si="2"/>
        <v>100</v>
      </c>
      <c r="X9" s="772"/>
      <c r="Y9" s="3026" t="s">
        <v>2554</v>
      </c>
      <c r="Z9" s="55" t="str">
        <f t="shared" ref="Z9:Z15" si="7">Q9</f>
        <v>用途</v>
      </c>
      <c r="AA9" s="773">
        <f t="shared" si="3"/>
        <v>1</v>
      </c>
      <c r="AB9" s="773">
        <f t="shared" si="4"/>
        <v>1</v>
      </c>
      <c r="AC9" s="773">
        <f t="shared" si="5"/>
        <v>1</v>
      </c>
    </row>
    <row r="10" spans="1:29" s="427" customFormat="1" ht="27.75" thickBot="1">
      <c r="A10" s="421"/>
      <c r="B10" s="422" t="s">
        <v>2555</v>
      </c>
      <c r="C10" s="423" t="s">
        <v>3102</v>
      </c>
      <c r="D10" s="136">
        <v>100</v>
      </c>
      <c r="E10" s="424" t="s">
        <v>3102</v>
      </c>
      <c r="F10" s="425">
        <f>SUMIF(65:65,E10,66:66)-SUMIF(65:65,C10,66:66)+100</f>
        <v>100</v>
      </c>
      <c r="G10" s="423" t="s">
        <v>3102</v>
      </c>
      <c r="H10" s="136">
        <f>SUMIF(65:65,G10,66:66)-SUMIF(65:65,C10,66:66)+100</f>
        <v>100</v>
      </c>
      <c r="I10" s="423" t="s">
        <v>3102</v>
      </c>
      <c r="J10" s="136">
        <f>SUMIF(65:65,I10,66:66)-SUMIF(65:65,C10,66:66)+100</f>
        <v>100</v>
      </c>
      <c r="K10" s="612">
        <v>2</v>
      </c>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197"/>
      <c r="Q11" s="1798" t="str">
        <f t="shared" si="6"/>
        <v>容积率</v>
      </c>
      <c r="R11" s="770" t="s">
        <v>17</v>
      </c>
      <c r="S11" s="771">
        <f t="shared" si="0"/>
        <v>100</v>
      </c>
      <c r="T11" s="770" t="s">
        <v>17</v>
      </c>
      <c r="U11" s="771">
        <f t="shared" si="1"/>
        <v>100</v>
      </c>
      <c r="V11" s="770" t="s">
        <v>17</v>
      </c>
      <c r="W11" s="771">
        <f t="shared" si="2"/>
        <v>100</v>
      </c>
      <c r="X11" s="772"/>
      <c r="Y11" s="3026"/>
      <c r="Z11" s="55" t="str">
        <f t="shared" si="7"/>
        <v>容积率</v>
      </c>
      <c r="AA11" s="773">
        <f t="shared" si="3"/>
        <v>1</v>
      </c>
      <c r="AB11" s="773">
        <f t="shared" si="4"/>
        <v>1</v>
      </c>
      <c r="AC11" s="773">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2557</v>
      </c>
      <c r="B15" s="69" t="s">
        <v>2651</v>
      </c>
      <c r="C15" s="2604" t="str">
        <f>估价对象房地状况!C4</f>
        <v>估价对象位于德内商圈，周边商业氛围成熟，人流量较大，商业繁华较好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4" t="s">
        <v>2558</v>
      </c>
      <c r="Q15" s="1813" t="str">
        <f t="shared" si="6"/>
        <v>商业繁华度</v>
      </c>
      <c r="R15" s="774" t="s">
        <v>17</v>
      </c>
      <c r="S15" s="775">
        <f t="shared" si="0"/>
        <v>100</v>
      </c>
      <c r="T15" s="774" t="s">
        <v>17</v>
      </c>
      <c r="U15" s="775">
        <f t="shared" si="1"/>
        <v>100</v>
      </c>
      <c r="V15" s="774" t="s">
        <v>17</v>
      </c>
      <c r="W15" s="775">
        <f t="shared" si="2"/>
        <v>100</v>
      </c>
      <c r="X15" s="1816"/>
      <c r="Y15" s="3217" t="s">
        <v>2558</v>
      </c>
      <c r="Z15" s="1817" t="str">
        <f t="shared" si="7"/>
        <v>商业繁华度</v>
      </c>
      <c r="AA15" s="1814">
        <f t="shared" si="3"/>
        <v>1</v>
      </c>
      <c r="AB15" s="1814">
        <f t="shared" si="4"/>
        <v>1</v>
      </c>
      <c r="AC15" s="1814">
        <f t="shared" si="5"/>
        <v>1</v>
      </c>
    </row>
    <row r="16" spans="1:29" ht="15">
      <c r="A16" s="428"/>
      <c r="B16" s="446"/>
      <c r="C16" s="447" t="s">
        <v>3093</v>
      </c>
      <c r="D16" s="448"/>
      <c r="E16" s="447" t="s">
        <v>3093</v>
      </c>
      <c r="F16" s="449"/>
      <c r="G16" s="447" t="s">
        <v>3093</v>
      </c>
      <c r="H16" s="450"/>
      <c r="I16" s="447" t="s">
        <v>3093</v>
      </c>
      <c r="J16" s="448"/>
      <c r="K16" s="615"/>
      <c r="L16" s="1143"/>
      <c r="M16" s="1134"/>
      <c r="N16" s="1134"/>
      <c r="O16" s="1134"/>
      <c r="P16" s="3225"/>
      <c r="Q16" s="1813"/>
      <c r="R16" s="774"/>
      <c r="S16" s="775"/>
      <c r="T16" s="774"/>
      <c r="U16" s="775"/>
      <c r="V16" s="774"/>
      <c r="W16" s="775"/>
      <c r="X16" s="1816"/>
      <c r="Y16" s="3218"/>
      <c r="Z16" s="1817"/>
      <c r="AA16" s="1814">
        <v>1</v>
      </c>
      <c r="AB16" s="1814">
        <v>1</v>
      </c>
      <c r="AC16" s="1814">
        <v>1</v>
      </c>
    </row>
    <row r="17" spans="1:29" ht="99.75">
      <c r="A17" s="428"/>
      <c r="B17" s="451" t="s">
        <v>2095</v>
      </c>
      <c r="C17" s="2608" t="str">
        <f>估价对象房地状况!C6</f>
        <v>估价对象周边交通路网密集、公共交通通达情况较好、停车便捷程度一般，综合评价交通便捷度较好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5"/>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09" t="s">
        <v>3093</v>
      </c>
      <c r="D18" s="450"/>
      <c r="E18" s="2611" t="s">
        <v>3093</v>
      </c>
      <c r="F18" s="453"/>
      <c r="G18" s="2610" t="s">
        <v>3093</v>
      </c>
      <c r="H18" s="448"/>
      <c r="I18" s="2611" t="s">
        <v>3093</v>
      </c>
      <c r="J18" s="448"/>
      <c r="K18" s="615"/>
      <c r="L18" s="1143"/>
      <c r="M18" s="1134"/>
      <c r="N18" s="1134"/>
      <c r="O18" s="1134"/>
      <c r="P18" s="3225"/>
      <c r="Q18" s="1813"/>
      <c r="R18" s="774"/>
      <c r="S18" s="775"/>
      <c r="T18" s="774"/>
      <c r="U18" s="775"/>
      <c r="V18" s="774"/>
      <c r="W18" s="775"/>
      <c r="X18" s="1816"/>
      <c r="Y18" s="3218"/>
      <c r="Z18" s="1817"/>
      <c r="AA18" s="1814">
        <v>1</v>
      </c>
      <c r="AB18" s="1814">
        <v>1</v>
      </c>
      <c r="AC18" s="1814">
        <v>1</v>
      </c>
    </row>
    <row r="19" spans="1:29" ht="42.75">
      <c r="A19" s="428"/>
      <c r="B19" s="451" t="s">
        <v>2652</v>
      </c>
      <c r="C19" s="2608"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5"/>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t="s">
        <v>3093</v>
      </c>
      <c r="D20" s="448"/>
      <c r="E20" s="2606" t="s">
        <v>3093</v>
      </c>
      <c r="F20" s="449"/>
      <c r="G20" s="2605" t="s">
        <v>3093</v>
      </c>
      <c r="H20" s="448"/>
      <c r="I20" s="2606" t="s">
        <v>3093</v>
      </c>
      <c r="J20" s="448"/>
      <c r="K20" s="615"/>
      <c r="L20" s="1143"/>
      <c r="M20" s="1134"/>
      <c r="N20" s="1134"/>
      <c r="O20" s="1134"/>
      <c r="P20" s="3225"/>
      <c r="Q20" s="1813"/>
      <c r="R20" s="774"/>
      <c r="S20" s="775"/>
      <c r="T20" s="774"/>
      <c r="U20" s="775"/>
      <c r="V20" s="774"/>
      <c r="W20" s="775"/>
      <c r="X20" s="1816"/>
      <c r="Y20" s="3218"/>
      <c r="Z20" s="1817"/>
      <c r="AA20" s="1814">
        <v>1</v>
      </c>
      <c r="AB20" s="1814">
        <v>1</v>
      </c>
      <c r="AC20" s="1814">
        <v>1</v>
      </c>
    </row>
    <row r="21" spans="1:29" ht="15">
      <c r="A21" s="428"/>
      <c r="B21" s="1387" t="s">
        <v>2653</v>
      </c>
      <c r="C21" s="2608"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09" t="s">
        <v>3113</v>
      </c>
      <c r="D22" s="448"/>
      <c r="E22" s="447" t="s">
        <v>3113</v>
      </c>
      <c r="F22" s="449"/>
      <c r="G22" s="447" t="s">
        <v>3113</v>
      </c>
      <c r="H22" s="448"/>
      <c r="I22" s="447" t="s">
        <v>3113</v>
      </c>
      <c r="J22" s="448"/>
      <c r="K22" s="1386"/>
      <c r="L22" s="1143"/>
      <c r="M22" s="1134"/>
      <c r="N22" s="1134"/>
      <c r="O22" s="1134"/>
      <c r="P22" s="3225"/>
      <c r="Q22" s="1813"/>
      <c r="R22" s="774"/>
      <c r="S22" s="775"/>
      <c r="T22" s="774"/>
      <c r="U22" s="775"/>
      <c r="V22" s="774"/>
      <c r="W22" s="775"/>
      <c r="X22" s="1816"/>
      <c r="Y22" s="3218"/>
      <c r="Z22" s="1817"/>
      <c r="AA22" s="1814">
        <v>1</v>
      </c>
      <c r="AB22" s="1814">
        <v>1</v>
      </c>
      <c r="AC22" s="1814">
        <v>1</v>
      </c>
    </row>
    <row r="23" spans="1:29" ht="85.5">
      <c r="A23" s="428"/>
      <c r="B23" s="451" t="s">
        <v>2100</v>
      </c>
      <c r="C23" s="2665" t="str">
        <f>估价对象房地状况!C9</f>
        <v>区域自然环境：什刹海公园、后海公园；人文环境：北京古钱币博物馆；综合评价环境状况较好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5"/>
      <c r="Q23" s="1813" t="str">
        <f>B23</f>
        <v>自然及人文环境</v>
      </c>
      <c r="R23" s="774" t="s">
        <v>17</v>
      </c>
      <c r="S23" s="775">
        <f>F23</f>
        <v>100</v>
      </c>
      <c r="T23" s="774" t="s">
        <v>17</v>
      </c>
      <c r="U23" s="775">
        <f>H23</f>
        <v>100</v>
      </c>
      <c r="V23" s="774" t="s">
        <v>17</v>
      </c>
      <c r="W23" s="775">
        <f>J23</f>
        <v>100</v>
      </c>
      <c r="X23" s="1816"/>
      <c r="Y23" s="3218"/>
      <c r="Z23" s="1817" t="str">
        <f>Q23</f>
        <v>自然及人文环境</v>
      </c>
      <c r="AA23" s="1814">
        <f t="shared" si="3"/>
        <v>1</v>
      </c>
      <c r="AB23" s="1814">
        <f t="shared" si="4"/>
        <v>1</v>
      </c>
      <c r="AC23" s="1814">
        <f t="shared" si="5"/>
        <v>1</v>
      </c>
    </row>
    <row r="24" spans="1:29" ht="15">
      <c r="A24" s="428"/>
      <c r="B24" s="456"/>
      <c r="C24" s="447" t="s">
        <v>3093</v>
      </c>
      <c r="D24" s="448"/>
      <c r="E24" s="2606" t="s">
        <v>3093</v>
      </c>
      <c r="F24" s="449"/>
      <c r="G24" s="2605" t="s">
        <v>3093</v>
      </c>
      <c r="H24" s="448"/>
      <c r="I24" s="2606" t="s">
        <v>3093</v>
      </c>
      <c r="J24" s="448"/>
      <c r="K24" s="615"/>
      <c r="L24" s="1143"/>
      <c r="M24" s="1134"/>
      <c r="N24" s="1134"/>
      <c r="O24" s="1134"/>
      <c r="P24" s="3225"/>
      <c r="Q24" s="1813"/>
      <c r="R24" s="774"/>
      <c r="S24" s="775"/>
      <c r="T24" s="774"/>
      <c r="U24" s="775"/>
      <c r="V24" s="774"/>
      <c r="W24" s="775"/>
      <c r="X24" s="1816"/>
      <c r="Y24" s="3218"/>
      <c r="Z24" s="1817"/>
      <c r="AA24" s="1814">
        <v>1</v>
      </c>
      <c r="AB24" s="1814">
        <v>1</v>
      </c>
      <c r="AC24" s="1814">
        <v>1</v>
      </c>
    </row>
    <row r="25" spans="1:29" ht="15">
      <c r="A25" s="428"/>
      <c r="B25" s="422" t="s">
        <v>2654</v>
      </c>
      <c r="C25" s="3291" t="s">
        <v>3104</v>
      </c>
      <c r="D25" s="435">
        <v>100</v>
      </c>
      <c r="E25" s="616" t="s">
        <v>3104</v>
      </c>
      <c r="F25" s="461">
        <f>SUMIF(86:86,E25,87:87)-SUMIF(86:86,C25,87:87)+100</f>
        <v>100</v>
      </c>
      <c r="G25" s="616" t="s">
        <v>3104</v>
      </c>
      <c r="H25" s="435">
        <f>SUMIF(86:86,G25,87:87)-SUMIF(86:86,C25,87:87)+100</f>
        <v>100</v>
      </c>
      <c r="I25" s="616" t="s">
        <v>3104</v>
      </c>
      <c r="J25" s="435">
        <f>SUMIF(86:86,I25,87:87)-SUMIF(86:86,C25,87:87)+100</f>
        <v>100</v>
      </c>
      <c r="K25" s="612"/>
      <c r="L25" s="1143"/>
      <c r="M25" s="1134"/>
      <c r="N25" s="1134"/>
      <c r="O25" s="1134"/>
      <c r="P25" s="3225"/>
      <c r="Q25" s="1813" t="str">
        <f t="shared" ref="Q25:Q46" si="11">B25</f>
        <v>临街状况</v>
      </c>
      <c r="R25" s="774" t="s">
        <v>17</v>
      </c>
      <c r="S25" s="775">
        <f>F25</f>
        <v>100</v>
      </c>
      <c r="T25" s="774" t="s">
        <v>17</v>
      </c>
      <c r="U25" s="775">
        <f>H25</f>
        <v>100</v>
      </c>
      <c r="V25" s="774" t="s">
        <v>17</v>
      </c>
      <c r="W25" s="775">
        <f>J25</f>
        <v>100</v>
      </c>
      <c r="X25" s="1816"/>
      <c r="Y25" s="3218"/>
      <c r="Z25" s="1817" t="str">
        <f>Q25</f>
        <v>临街状况</v>
      </c>
      <c r="AA25" s="1814">
        <f t="shared" si="3"/>
        <v>1</v>
      </c>
      <c r="AB25" s="1814">
        <f t="shared" si="4"/>
        <v>1</v>
      </c>
      <c r="AC25" s="1814">
        <f t="shared" si="5"/>
        <v>1</v>
      </c>
    </row>
    <row r="26" spans="1:29" ht="15" hidden="1">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5"/>
      <c r="Q26" s="1813" t="str">
        <f t="shared" si="11"/>
        <v>平面位置/可视性</v>
      </c>
      <c r="R26" s="774" t="s">
        <v>17</v>
      </c>
      <c r="S26" s="775">
        <f>F26</f>
        <v>100</v>
      </c>
      <c r="T26" s="774" t="s">
        <v>17</v>
      </c>
      <c r="U26" s="775">
        <f>H26</f>
        <v>100</v>
      </c>
      <c r="V26" s="774" t="s">
        <v>17</v>
      </c>
      <c r="W26" s="775">
        <f>J26</f>
        <v>100</v>
      </c>
      <c r="X26" s="1816"/>
      <c r="Y26" s="3218"/>
      <c r="Z26" s="1817" t="str">
        <f>Q26</f>
        <v>平面位置/可视性</v>
      </c>
      <c r="AA26" s="1814">
        <f t="shared" si="3"/>
        <v>1</v>
      </c>
      <c r="AB26" s="1814">
        <f t="shared" si="4"/>
        <v>1</v>
      </c>
      <c r="AC26" s="1814">
        <f t="shared" si="5"/>
        <v>1</v>
      </c>
    </row>
    <row r="27" spans="1:29" s="117" customFormat="1" ht="15">
      <c r="A27" s="431"/>
      <c r="B27" s="451" t="s">
        <v>2656</v>
      </c>
      <c r="C27" s="3296" t="s">
        <v>3093</v>
      </c>
      <c r="D27" s="462">
        <v>100</v>
      </c>
      <c r="E27" s="2666" t="s">
        <v>3093</v>
      </c>
      <c r="F27" s="464">
        <f>SUMIF(90:90,E27,91:91)-SUMIF(90:90,C27,91:91)+100</f>
        <v>100</v>
      </c>
      <c r="G27" s="2666" t="s">
        <v>3093</v>
      </c>
      <c r="H27" s="462">
        <f>SUMIF(90:90,G27,91:91)-SUMIF(90:90,C27,91:91)+100</f>
        <v>100</v>
      </c>
      <c r="I27" s="2666" t="s">
        <v>3093</v>
      </c>
      <c r="J27" s="462">
        <f>SUMIF(90:90,I27,91:91)-SUMIF(90:90,C27,91:91)+100</f>
        <v>100</v>
      </c>
      <c r="K27" s="612"/>
      <c r="L27" s="1135"/>
      <c r="M27" s="1136"/>
      <c r="N27" s="1136"/>
      <c r="O27" s="1136"/>
      <c r="P27" s="3225"/>
      <c r="Q27" s="1798" t="str">
        <f t="shared" si="11"/>
        <v>人流量</v>
      </c>
      <c r="R27" s="770" t="s">
        <v>17</v>
      </c>
      <c r="S27" s="771">
        <f>F27</f>
        <v>100</v>
      </c>
      <c r="T27" s="770" t="s">
        <v>17</v>
      </c>
      <c r="U27" s="771">
        <f>H27</f>
        <v>100</v>
      </c>
      <c r="V27" s="770" t="s">
        <v>17</v>
      </c>
      <c r="W27" s="771">
        <f>J27</f>
        <v>100</v>
      </c>
      <c r="X27" s="772"/>
      <c r="Y27" s="3218"/>
      <c r="Z27" s="55" t="str">
        <f>Q27</f>
        <v>人流量</v>
      </c>
      <c r="AA27" s="1814">
        <f>D27/F27</f>
        <v>1</v>
      </c>
      <c r="AB27" s="1814">
        <f>D27/H27</f>
        <v>1</v>
      </c>
      <c r="AC27" s="1814">
        <f>D27/J27</f>
        <v>1</v>
      </c>
    </row>
    <row r="28" spans="1:29" ht="15.75" thickBot="1">
      <c r="A28" s="428"/>
      <c r="B28" s="422" t="s">
        <v>2657</v>
      </c>
      <c r="C28" s="616" t="s">
        <v>3123</v>
      </c>
      <c r="D28" s="435">
        <v>100</v>
      </c>
      <c r="E28" s="616" t="s">
        <v>3123</v>
      </c>
      <c r="F28" s="461">
        <f>SUMIF(92:92,E28,93:93)-SUMIF(92:92,C28,93:93)+100</f>
        <v>100</v>
      </c>
      <c r="G28" s="616" t="s">
        <v>3126</v>
      </c>
      <c r="H28" s="3292">
        <f>SUMIF(92:92,G28,93:93)-SUMIF(92:92,C28,93:93)+100</f>
        <v>95</v>
      </c>
      <c r="I28" s="616" t="s">
        <v>3123</v>
      </c>
      <c r="J28" s="435">
        <f>SUMIF(92:92,I28,93:93)-SUMIF(92:92,C28,93:93)+100</f>
        <v>100</v>
      </c>
      <c r="K28" s="613"/>
      <c r="L28" s="1143"/>
      <c r="M28" s="1134"/>
      <c r="N28" s="1134"/>
      <c r="O28" s="1134"/>
      <c r="P28" s="3225"/>
      <c r="Q28" s="1813" t="str">
        <f t="shared" si="11"/>
        <v>楼层</v>
      </c>
      <c r="R28" s="774" t="s">
        <v>17</v>
      </c>
      <c r="S28" s="775">
        <f t="shared" ref="S28:S46" si="12">F28</f>
        <v>100</v>
      </c>
      <c r="T28" s="774" t="s">
        <v>17</v>
      </c>
      <c r="U28" s="775">
        <f t="shared" ref="U28:U46" si="13">H28</f>
        <v>95</v>
      </c>
      <c r="V28" s="774" t="s">
        <v>17</v>
      </c>
      <c r="W28" s="775">
        <f t="shared" ref="W28:W46" si="14">J28</f>
        <v>100</v>
      </c>
      <c r="X28" s="1816"/>
      <c r="Y28" s="3218"/>
      <c r="Z28" s="1817" t="str">
        <f t="shared" ref="Z28:Z46" si="15">Q28</f>
        <v>楼层</v>
      </c>
      <c r="AA28" s="1814">
        <f t="shared" si="3"/>
        <v>1</v>
      </c>
      <c r="AB28" s="1814">
        <f t="shared" si="4"/>
        <v>1.0526315789473684</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5"/>
      <c r="Q29" s="1813">
        <f t="shared" si="11"/>
        <v>111</v>
      </c>
      <c r="R29" s="774" t="s">
        <v>17</v>
      </c>
      <c r="S29" s="775">
        <f t="shared" si="12"/>
        <v>100</v>
      </c>
      <c r="T29" s="774" t="s">
        <v>17</v>
      </c>
      <c r="U29" s="775">
        <f t="shared" si="13"/>
        <v>100</v>
      </c>
      <c r="V29" s="774" t="s">
        <v>17</v>
      </c>
      <c r="W29" s="775">
        <f t="shared" si="14"/>
        <v>100</v>
      </c>
      <c r="X29" s="1816"/>
      <c r="Y29" s="3218"/>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5"/>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5"/>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1814">
        <f t="shared" si="5"/>
        <v>1</v>
      </c>
    </row>
    <row r="32" spans="1:29" ht="15">
      <c r="A32" s="440" t="s">
        <v>2561</v>
      </c>
      <c r="B32" s="71" t="s">
        <v>2658</v>
      </c>
      <c r="C32" s="3293" t="s">
        <v>3107</v>
      </c>
      <c r="D32" s="467">
        <v>100</v>
      </c>
      <c r="E32" s="2618" t="s">
        <v>3107</v>
      </c>
      <c r="F32" s="461">
        <f>SUMIF(100:100,E32,101:101)-SUMIF(100:100,C32,101:101)+100</f>
        <v>100</v>
      </c>
      <c r="G32" s="2618" t="s">
        <v>3107</v>
      </c>
      <c r="H32" s="435">
        <f>SUMIF(100:100,G32,101:101)-SUMIF(100:100,C32,101:101)+100</f>
        <v>100</v>
      </c>
      <c r="I32" s="2618" t="s">
        <v>3107</v>
      </c>
      <c r="J32" s="467">
        <f>SUMIF(100:100,I32,101:101)-SUMIF(100:100,C32,101:101)+100</f>
        <v>100</v>
      </c>
      <c r="K32" s="612"/>
      <c r="L32" s="1143"/>
      <c r="M32" s="1134"/>
      <c r="N32" s="1134"/>
      <c r="O32" s="1134"/>
      <c r="P32" s="3219" t="s">
        <v>2563</v>
      </c>
      <c r="Q32" s="1813" t="str">
        <f t="shared" si="11"/>
        <v>商业类型</v>
      </c>
      <c r="R32" s="774" t="s">
        <v>17</v>
      </c>
      <c r="S32" s="775">
        <f t="shared" si="12"/>
        <v>100</v>
      </c>
      <c r="T32" s="774" t="s">
        <v>17</v>
      </c>
      <c r="U32" s="775">
        <f t="shared" si="13"/>
        <v>100</v>
      </c>
      <c r="V32" s="774" t="s">
        <v>17</v>
      </c>
      <c r="W32" s="775">
        <f t="shared" si="14"/>
        <v>100</v>
      </c>
      <c r="X32" s="1816"/>
      <c r="Y32" s="3222" t="s">
        <v>2563</v>
      </c>
      <c r="Z32" s="1817" t="str">
        <f t="shared" si="15"/>
        <v>商业类型</v>
      </c>
      <c r="AA32" s="1814">
        <f t="shared" si="3"/>
        <v>1</v>
      </c>
      <c r="AB32" s="1814">
        <f t="shared" si="4"/>
        <v>1</v>
      </c>
      <c r="AC32" s="1814">
        <f t="shared" si="5"/>
        <v>1</v>
      </c>
    </row>
    <row r="33" spans="1:29" s="471" customFormat="1" ht="15">
      <c r="A33" s="468"/>
      <c r="B33" s="422" t="s">
        <v>2564</v>
      </c>
      <c r="C33" s="3294">
        <v>606.5</v>
      </c>
      <c r="D33" s="136">
        <v>100</v>
      </c>
      <c r="E33" s="430">
        <v>350</v>
      </c>
      <c r="F33" s="425">
        <f>LOOKUP(E33,103:103,104:104)-LOOKUP(C33,103:103,104:104)+100</f>
        <v>102</v>
      </c>
      <c r="G33" s="429">
        <v>1800</v>
      </c>
      <c r="H33" s="136">
        <f>LOOKUP(G33,103:103,104:104)-LOOKUP(C33,103:103,104:104)+100</f>
        <v>96</v>
      </c>
      <c r="I33" s="429">
        <v>400</v>
      </c>
      <c r="J33" s="136">
        <f>LOOKUP(I33,103:103,104:104)-LOOKUP(C33,103:103,104:104)+100</f>
        <v>102</v>
      </c>
      <c r="K33" s="613"/>
      <c r="L33" s="1141"/>
      <c r="M33" s="1144"/>
      <c r="N33" s="1144"/>
      <c r="O33" s="1144"/>
      <c r="P33" s="3220"/>
      <c r="Q33" s="776" t="str">
        <f t="shared" si="11"/>
        <v>项目建筑规模</v>
      </c>
      <c r="R33" s="777" t="s">
        <v>17</v>
      </c>
      <c r="S33" s="778">
        <f t="shared" si="12"/>
        <v>102</v>
      </c>
      <c r="T33" s="777" t="s">
        <v>17</v>
      </c>
      <c r="U33" s="778">
        <f t="shared" si="13"/>
        <v>96</v>
      </c>
      <c r="V33" s="777" t="s">
        <v>17</v>
      </c>
      <c r="W33" s="778">
        <f t="shared" si="14"/>
        <v>102</v>
      </c>
      <c r="X33" s="779"/>
      <c r="Y33" s="3222"/>
      <c r="Z33" s="780" t="str">
        <f t="shared" si="15"/>
        <v>项目建筑规模</v>
      </c>
      <c r="AA33" s="1814">
        <f t="shared" si="3"/>
        <v>0.98039215686274506</v>
      </c>
      <c r="AB33" s="1814">
        <f t="shared" si="4"/>
        <v>1.0416666666666667</v>
      </c>
      <c r="AC33" s="1814">
        <f t="shared" si="5"/>
        <v>0.98039215686274506</v>
      </c>
    </row>
    <row r="34" spans="1:29" ht="15">
      <c r="A34" s="472"/>
      <c r="B34" s="422" t="s">
        <v>2565</v>
      </c>
      <c r="C34" s="2620" t="s">
        <v>3111</v>
      </c>
      <c r="D34" s="435">
        <v>100</v>
      </c>
      <c r="E34" s="2620" t="s">
        <v>3111</v>
      </c>
      <c r="F34" s="461">
        <f>SUMIF(105:105,E34,106:106)-SUMIF(105:105,C34,106:106)+100</f>
        <v>100</v>
      </c>
      <c r="G34" s="2620" t="s">
        <v>3109</v>
      </c>
      <c r="H34" s="435">
        <f>SUMIF(105:105,G34,106:106)-SUMIF(105:105,C34,106:106)+100</f>
        <v>104</v>
      </c>
      <c r="I34" s="2620" t="s">
        <v>3111</v>
      </c>
      <c r="J34" s="435">
        <f>SUMIF(105:105,I34,106:106)-SUMIF(105:105,C34,106:106)+100</f>
        <v>100</v>
      </c>
      <c r="K34" s="612">
        <v>4</v>
      </c>
      <c r="L34" s="1143"/>
      <c r="M34" s="1134"/>
      <c r="N34" s="1134"/>
      <c r="O34" s="1134"/>
      <c r="P34" s="3220"/>
      <c r="Q34" s="1813" t="str">
        <f t="shared" si="11"/>
        <v>建筑结构</v>
      </c>
      <c r="R34" s="774" t="s">
        <v>17</v>
      </c>
      <c r="S34" s="775">
        <f t="shared" si="12"/>
        <v>100</v>
      </c>
      <c r="T34" s="774" t="s">
        <v>17</v>
      </c>
      <c r="U34" s="775">
        <f t="shared" si="13"/>
        <v>104</v>
      </c>
      <c r="V34" s="774" t="s">
        <v>17</v>
      </c>
      <c r="W34" s="775">
        <f t="shared" si="14"/>
        <v>100</v>
      </c>
      <c r="X34" s="1816"/>
      <c r="Y34" s="3222"/>
      <c r="Z34" s="1817" t="str">
        <f t="shared" si="15"/>
        <v>建筑结构</v>
      </c>
      <c r="AA34" s="1814">
        <f t="shared" si="3"/>
        <v>1</v>
      </c>
      <c r="AB34" s="1814">
        <f t="shared" si="4"/>
        <v>0.96153846153846156</v>
      </c>
      <c r="AC34" s="1814">
        <f t="shared" si="5"/>
        <v>1</v>
      </c>
    </row>
    <row r="35" spans="1:29" ht="15">
      <c r="A35" s="472"/>
      <c r="B35" s="422" t="s">
        <v>2659</v>
      </c>
      <c r="C35" s="3295" t="s">
        <v>3094</v>
      </c>
      <c r="D35" s="435">
        <v>100</v>
      </c>
      <c r="E35" s="2614" t="s">
        <v>3094</v>
      </c>
      <c r="F35" s="461">
        <f>SUMIF(107:107,E35,108:108)-SUMIF(107:107,C35,108:108)+100</f>
        <v>100</v>
      </c>
      <c r="G35" s="2614" t="s">
        <v>3093</v>
      </c>
      <c r="H35" s="435">
        <f>SUMIF(107:107,G35,108:108)-SUMIF(107:107,C35,108:108)+100</f>
        <v>102</v>
      </c>
      <c r="I35" s="2614" t="s">
        <v>3094</v>
      </c>
      <c r="J35" s="435">
        <f>SUMIF(107:107,I35,108:108)-SUMIF(107:107,C35,108:108)+100</f>
        <v>100</v>
      </c>
      <c r="K35" s="612">
        <v>2</v>
      </c>
      <c r="L35" s="1143"/>
      <c r="M35" s="1134"/>
      <c r="N35" s="1134"/>
      <c r="O35" s="1134"/>
      <c r="P35" s="3220"/>
      <c r="Q35" s="1813" t="str">
        <f t="shared" si="11"/>
        <v>公共部分装修</v>
      </c>
      <c r="R35" s="774" t="s">
        <v>17</v>
      </c>
      <c r="S35" s="775">
        <f t="shared" si="12"/>
        <v>100</v>
      </c>
      <c r="T35" s="774" t="s">
        <v>17</v>
      </c>
      <c r="U35" s="775">
        <f t="shared" si="13"/>
        <v>102</v>
      </c>
      <c r="V35" s="774" t="s">
        <v>17</v>
      </c>
      <c r="W35" s="775">
        <f t="shared" si="14"/>
        <v>100</v>
      </c>
      <c r="X35" s="1816"/>
      <c r="Y35" s="3222"/>
      <c r="Z35" s="1817" t="str">
        <f t="shared" si="15"/>
        <v>公共部分装修</v>
      </c>
      <c r="AA35" s="1814">
        <f t="shared" si="3"/>
        <v>1</v>
      </c>
      <c r="AB35" s="1814">
        <f t="shared" si="4"/>
        <v>0.98039215686274506</v>
      </c>
      <c r="AC35" s="1814">
        <f t="shared" si="5"/>
        <v>1</v>
      </c>
    </row>
    <row r="36" spans="1:29" ht="15">
      <c r="A36" s="472"/>
      <c r="B36" s="422" t="s">
        <v>2660</v>
      </c>
      <c r="C36" s="474">
        <v>0.6</v>
      </c>
      <c r="D36" s="435">
        <v>100</v>
      </c>
      <c r="E36" s="474">
        <f>C36</f>
        <v>0.6</v>
      </c>
      <c r="F36" s="461">
        <f>LOOKUP(E36,110:110,111:111)-LOOKUP(C36,110:110,111:111)+100</f>
        <v>100</v>
      </c>
      <c r="G36" s="474">
        <v>0.85</v>
      </c>
      <c r="H36" s="461">
        <f>LOOKUP(G36,110:110,111:111)-LOOKUP(C36,110:110,111:111)+100</f>
        <v>106</v>
      </c>
      <c r="I36" s="474">
        <f>C36</f>
        <v>0.6</v>
      </c>
      <c r="J36" s="435">
        <f>LOOKUP(I36,110:110,111:111)-LOOKUP(C36,110:110,111:111)+100</f>
        <v>100</v>
      </c>
      <c r="K36" s="612">
        <v>3</v>
      </c>
      <c r="L36" s="1143"/>
      <c r="M36" s="1134"/>
      <c r="N36" s="1134"/>
      <c r="O36" s="1134"/>
      <c r="P36" s="3220"/>
      <c r="Q36" s="1813" t="str">
        <f t="shared" si="11"/>
        <v>成新度</v>
      </c>
      <c r="R36" s="774" t="s">
        <v>17</v>
      </c>
      <c r="S36" s="775">
        <f t="shared" si="12"/>
        <v>100</v>
      </c>
      <c r="T36" s="774" t="s">
        <v>17</v>
      </c>
      <c r="U36" s="775">
        <f t="shared" si="13"/>
        <v>106</v>
      </c>
      <c r="V36" s="774" t="s">
        <v>17</v>
      </c>
      <c r="W36" s="775">
        <f t="shared" si="14"/>
        <v>100</v>
      </c>
      <c r="X36" s="1816"/>
      <c r="Y36" s="3222"/>
      <c r="Z36" s="1817" t="str">
        <f t="shared" si="15"/>
        <v>成新度</v>
      </c>
      <c r="AA36" s="1814">
        <f t="shared" si="3"/>
        <v>1</v>
      </c>
      <c r="AB36" s="1814">
        <f t="shared" si="4"/>
        <v>0.94339622641509435</v>
      </c>
      <c r="AC36" s="1814">
        <f t="shared" si="5"/>
        <v>1</v>
      </c>
    </row>
    <row r="37" spans="1:29" s="117" customFormat="1" ht="15.75" thickBot="1">
      <c r="A37" s="473"/>
      <c r="B37" s="422" t="s">
        <v>2661</v>
      </c>
      <c r="C37" s="2614" t="s">
        <v>3103</v>
      </c>
      <c r="D37" s="136">
        <v>100</v>
      </c>
      <c r="E37" s="2614" t="s">
        <v>3103</v>
      </c>
      <c r="F37" s="461">
        <f>SUMIF(112:112,E37,113:113)-SUMIF(112:112,C37,113:113)+100</f>
        <v>100</v>
      </c>
      <c r="G37" s="2614" t="s">
        <v>3103</v>
      </c>
      <c r="H37" s="435">
        <f>SUMIF(112:112,G37,113:113)-SUMIF(112:112,C37,113:113)+100</f>
        <v>100</v>
      </c>
      <c r="I37" s="2614" t="s">
        <v>3103</v>
      </c>
      <c r="J37" s="435">
        <f>SUMIF(112:112,I37,113:113)-SUMIF(112:112,C37,113:113)+100</f>
        <v>100</v>
      </c>
      <c r="K37" s="612">
        <v>1</v>
      </c>
      <c r="L37" s="1135"/>
      <c r="M37" s="1136"/>
      <c r="N37" s="1136"/>
      <c r="O37" s="1136"/>
      <c r="P37" s="3220"/>
      <c r="Q37" s="1798"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hidden="1">
      <c r="A38" s="472"/>
      <c r="B38" s="422" t="s">
        <v>2662</v>
      </c>
      <c r="C38" s="2614" t="s">
        <v>3115</v>
      </c>
      <c r="D38" s="435">
        <v>100</v>
      </c>
      <c r="E38" s="2614" t="s">
        <v>3115</v>
      </c>
      <c r="F38" s="461">
        <f>SUMIF(114:114,E38,115:115)-SUMIF(114:114,C38,115:115)+100</f>
        <v>100</v>
      </c>
      <c r="G38" s="2614" t="s">
        <v>3115</v>
      </c>
      <c r="H38" s="435">
        <f>SUMIF(114:114,G38,115:115)-SUMIF(114:114,C38,115:115)+100</f>
        <v>100</v>
      </c>
      <c r="I38" s="2614" t="s">
        <v>3115</v>
      </c>
      <c r="J38" s="435">
        <f>SUMIF(114:114,I38,115:115)-SUMIF(114:114,C38,115:115)+100</f>
        <v>100</v>
      </c>
      <c r="K38" s="612"/>
      <c r="L38" s="1143"/>
      <c r="M38" s="1134"/>
      <c r="N38" s="1134"/>
      <c r="O38" s="1134"/>
      <c r="P38" s="3220" t="s">
        <v>2563</v>
      </c>
      <c r="Q38" s="1813" t="str">
        <f t="shared" si="11"/>
        <v>业态</v>
      </c>
      <c r="R38" s="774" t="s">
        <v>17</v>
      </c>
      <c r="S38" s="775">
        <f t="shared" si="12"/>
        <v>100</v>
      </c>
      <c r="T38" s="774" t="s">
        <v>17</v>
      </c>
      <c r="U38" s="775">
        <f t="shared" si="13"/>
        <v>100</v>
      </c>
      <c r="V38" s="774" t="s">
        <v>17</v>
      </c>
      <c r="W38" s="775">
        <f t="shared" si="14"/>
        <v>100</v>
      </c>
      <c r="X38" s="1816"/>
      <c r="Y38" s="3222" t="s">
        <v>2563</v>
      </c>
      <c r="Z38" s="1817" t="str">
        <f t="shared" si="15"/>
        <v>业态</v>
      </c>
      <c r="AA38" s="1814">
        <f t="shared" si="3"/>
        <v>1</v>
      </c>
      <c r="AB38" s="1814">
        <f t="shared" si="4"/>
        <v>1</v>
      </c>
      <c r="AC38" s="1814">
        <f t="shared" si="5"/>
        <v>1</v>
      </c>
    </row>
    <row r="39" spans="1:29" ht="15" hidden="1">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20"/>
      <c r="Q39" s="1813" t="str">
        <f t="shared" si="11"/>
        <v>层高</v>
      </c>
      <c r="R39" s="774" t="s">
        <v>17</v>
      </c>
      <c r="S39" s="775">
        <f t="shared" si="12"/>
        <v>100</v>
      </c>
      <c r="T39" s="774" t="s">
        <v>17</v>
      </c>
      <c r="U39" s="775">
        <f t="shared" si="13"/>
        <v>100</v>
      </c>
      <c r="V39" s="774" t="s">
        <v>17</v>
      </c>
      <c r="W39" s="775">
        <f t="shared" si="14"/>
        <v>100</v>
      </c>
      <c r="X39" s="1816"/>
      <c r="Y39" s="3222"/>
      <c r="Z39" s="1817" t="str">
        <f t="shared" si="15"/>
        <v>层高</v>
      </c>
      <c r="AA39" s="1814">
        <f t="shared" si="3"/>
        <v>1</v>
      </c>
      <c r="AB39" s="1814">
        <f t="shared" si="4"/>
        <v>1</v>
      </c>
      <c r="AC39" s="1814">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3" t="str">
        <f t="shared" si="11"/>
        <v>单套建筑面积</v>
      </c>
      <c r="R40" s="774" t="s">
        <v>17</v>
      </c>
      <c r="S40" s="775">
        <f t="shared" si="12"/>
        <v>100</v>
      </c>
      <c r="T40" s="774" t="s">
        <v>17</v>
      </c>
      <c r="U40" s="775">
        <f t="shared" si="13"/>
        <v>100</v>
      </c>
      <c r="V40" s="774" t="s">
        <v>17</v>
      </c>
      <c r="W40" s="775">
        <f t="shared" si="14"/>
        <v>100</v>
      </c>
      <c r="X40" s="1816"/>
      <c r="Y40" s="3222"/>
      <c r="Z40" s="1817" t="str">
        <f t="shared" si="15"/>
        <v>单套建筑面积</v>
      </c>
      <c r="AA40" s="1814">
        <f t="shared" si="3"/>
        <v>1</v>
      </c>
      <c r="AB40" s="1814">
        <f t="shared" si="4"/>
        <v>1</v>
      </c>
      <c r="AC40" s="1814">
        <f t="shared" si="5"/>
        <v>1</v>
      </c>
    </row>
    <row r="41" spans="1:29" s="471" customFormat="1" ht="15" hidden="1">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4">
        <f t="shared" si="3"/>
        <v>1</v>
      </c>
      <c r="AB41" s="1814">
        <f t="shared" si="4"/>
        <v>1</v>
      </c>
      <c r="AC41" s="1814">
        <f t="shared" si="5"/>
        <v>1</v>
      </c>
    </row>
    <row r="42" spans="1:29" ht="15" hidden="1">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20"/>
      <c r="Q42" s="1813" t="str">
        <f t="shared" si="11"/>
        <v>内部装修</v>
      </c>
      <c r="R42" s="774" t="s">
        <v>17</v>
      </c>
      <c r="S42" s="775">
        <f t="shared" si="12"/>
        <v>100</v>
      </c>
      <c r="T42" s="774" t="s">
        <v>17</v>
      </c>
      <c r="U42" s="775">
        <f t="shared" si="13"/>
        <v>100</v>
      </c>
      <c r="V42" s="774" t="s">
        <v>17</v>
      </c>
      <c r="W42" s="775">
        <f t="shared" si="14"/>
        <v>100</v>
      </c>
      <c r="X42" s="1816"/>
      <c r="Y42" s="3222"/>
      <c r="Z42" s="1817" t="str">
        <f t="shared" si="15"/>
        <v>内部装修</v>
      </c>
      <c r="AA42" s="1814">
        <f t="shared" si="3"/>
        <v>1</v>
      </c>
      <c r="AB42" s="1814">
        <f t="shared" si="4"/>
        <v>1</v>
      </c>
      <c r="AC42" s="1814">
        <f t="shared" si="5"/>
        <v>1</v>
      </c>
    </row>
    <row r="43" spans="1:29" ht="15" hidden="1">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20"/>
      <c r="Q43" s="1813" t="str">
        <f t="shared" si="11"/>
        <v>内部装修维护情况</v>
      </c>
      <c r="R43" s="774" t="s">
        <v>17</v>
      </c>
      <c r="S43" s="775">
        <f t="shared" si="12"/>
        <v>100</v>
      </c>
      <c r="T43" s="774" t="s">
        <v>17</v>
      </c>
      <c r="U43" s="775">
        <f t="shared" si="13"/>
        <v>100</v>
      </c>
      <c r="V43" s="774" t="s">
        <v>17</v>
      </c>
      <c r="W43" s="775">
        <f t="shared" si="14"/>
        <v>100</v>
      </c>
      <c r="X43" s="1816"/>
      <c r="Y43" s="3222"/>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8">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3">
        <f t="shared" si="11"/>
        <v>111</v>
      </c>
      <c r="R45" s="774" t="s">
        <v>17</v>
      </c>
      <c r="S45" s="775">
        <f t="shared" si="12"/>
        <v>100</v>
      </c>
      <c r="T45" s="774" t="s">
        <v>17</v>
      </c>
      <c r="U45" s="775">
        <f t="shared" si="13"/>
        <v>100</v>
      </c>
      <c r="V45" s="774" t="s">
        <v>17</v>
      </c>
      <c r="W45" s="775">
        <f t="shared" si="14"/>
        <v>100</v>
      </c>
      <c r="X45" s="1816"/>
      <c r="Y45" s="3222"/>
      <c r="Z45" s="1817">
        <f t="shared" si="15"/>
        <v>111</v>
      </c>
      <c r="AA45" s="1814">
        <f t="shared" si="3"/>
        <v>1</v>
      </c>
      <c r="AB45" s="1814">
        <f t="shared" si="4"/>
        <v>1</v>
      </c>
      <c r="AC45" s="1814">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3">
        <f t="shared" si="11"/>
        <v>111</v>
      </c>
      <c r="R46" s="774" t="s">
        <v>17</v>
      </c>
      <c r="S46" s="775">
        <f t="shared" si="12"/>
        <v>100</v>
      </c>
      <c r="T46" s="774" t="s">
        <v>17</v>
      </c>
      <c r="U46" s="775">
        <f t="shared" si="13"/>
        <v>100</v>
      </c>
      <c r="V46" s="774" t="s">
        <v>17</v>
      </c>
      <c r="W46" s="775">
        <f t="shared" si="14"/>
        <v>100</v>
      </c>
      <c r="X46" s="1816"/>
      <c r="Y46" s="3223"/>
      <c r="Z46" s="1817">
        <f t="shared" si="15"/>
        <v>111</v>
      </c>
      <c r="AA46" s="1814">
        <f t="shared" si="3"/>
        <v>1</v>
      </c>
      <c r="AB46" s="1814">
        <f t="shared" si="4"/>
        <v>1</v>
      </c>
      <c r="AC46" s="1814">
        <f t="shared" si="5"/>
        <v>1</v>
      </c>
    </row>
    <row r="47" spans="1:29" ht="15">
      <c r="A47" s="479" t="s">
        <v>2575</v>
      </c>
      <c r="B47" s="480"/>
      <c r="C47" s="1410" t="s">
        <v>1</v>
      </c>
      <c r="D47" s="1411"/>
      <c r="E47" s="1412">
        <f>Sheet1!O9</f>
        <v>7.6</v>
      </c>
      <c r="F47" s="1413"/>
      <c r="G47" s="1414">
        <f>Sheet1!$O$37</f>
        <v>9.1</v>
      </c>
      <c r="H47" s="1415"/>
      <c r="I47" s="1412">
        <f>Sheet1!Q25</f>
        <v>8.1999999999999993</v>
      </c>
      <c r="J47" s="1415"/>
      <c r="K47" s="783"/>
      <c r="L47" s="1146"/>
      <c r="M47" s="1147"/>
      <c r="N47" s="1134"/>
      <c r="O47" s="1147"/>
      <c r="P47" s="3215" t="str">
        <f>A47</f>
        <v>成交单价（元/平方米）</v>
      </c>
      <c r="Q47" s="3215"/>
      <c r="R47" s="3210">
        <f>E47</f>
        <v>7.6</v>
      </c>
      <c r="S47" s="3210"/>
      <c r="T47" s="3210">
        <f>G47</f>
        <v>9.1</v>
      </c>
      <c r="U47" s="3210"/>
      <c r="V47" s="3210">
        <f>I47</f>
        <v>8.1999999999999993</v>
      </c>
      <c r="W47" s="3210"/>
      <c r="X47" s="759"/>
      <c r="Y47" s="781"/>
      <c r="Z47" s="759"/>
      <c r="AA47" s="759"/>
      <c r="AB47" s="759"/>
      <c r="AC47" s="759"/>
    </row>
    <row r="48" spans="1:29" ht="15.75" thickBot="1">
      <c r="A48" s="486" t="s">
        <v>2667</v>
      </c>
      <c r="B48" s="487"/>
      <c r="C48" s="1416">
        <f>R49</f>
        <v>8.1</v>
      </c>
      <c r="D48" s="1417"/>
      <c r="E48" s="1418">
        <f>R48</f>
        <v>7.5</v>
      </c>
      <c r="F48" s="1418"/>
      <c r="G48" s="1416">
        <f>T48</f>
        <v>8.9</v>
      </c>
      <c r="H48" s="1417"/>
      <c r="I48" s="1418">
        <f>V48</f>
        <v>8</v>
      </c>
      <c r="J48" s="1417"/>
      <c r="K48" s="784"/>
      <c r="L48" s="1146"/>
      <c r="M48" s="1147"/>
      <c r="N48" s="1134"/>
      <c r="O48" s="1147"/>
      <c r="P48" s="3215" t="str">
        <f>A48</f>
        <v>比较价值（元/平方米）</v>
      </c>
      <c r="Q48" s="3215"/>
      <c r="R48" s="3216">
        <f>IF(F1="售价",ROUND(PRODUCT(R47,AA7:AA46),0),ROUND(PRODUCT(R47,AA7:AA46),1))</f>
        <v>7.5</v>
      </c>
      <c r="S48" s="3216"/>
      <c r="T48" s="3216">
        <f>IF(F1="售价",ROUND(PRODUCT(T47,AB7:AB46),0),ROUND(PRODUCT(T47,AB7:AB46),1))</f>
        <v>8.9</v>
      </c>
      <c r="U48" s="3216"/>
      <c r="V48" s="3216">
        <f>IF(F1="售价",ROUND(PRODUCT(V47,AC7:AC46),0),ROUND(PRODUCT(V47,AC7:AC46),1))</f>
        <v>8</v>
      </c>
      <c r="W48" s="3216"/>
      <c r="X48" s="759"/>
      <c r="Y48" s="759"/>
      <c r="Z48" s="759"/>
      <c r="AA48" s="759"/>
      <c r="AB48" s="759"/>
      <c r="AC48" s="759"/>
    </row>
    <row r="49" spans="1:29" ht="15.75" thickBot="1">
      <c r="A49" s="492" t="s">
        <v>2668</v>
      </c>
      <c r="B49" s="493"/>
      <c r="C49" s="1420">
        <f>R49</f>
        <v>8.1</v>
      </c>
      <c r="D49" s="1420"/>
      <c r="E49" s="1420"/>
      <c r="F49" s="1420"/>
      <c r="G49" s="1420"/>
      <c r="H49" s="1420"/>
      <c r="I49" s="1420"/>
      <c r="J49" s="1420"/>
      <c r="K49" s="785"/>
      <c r="L49" s="1146"/>
      <c r="M49" s="1147"/>
      <c r="N49" s="1134"/>
      <c r="O49" s="1147"/>
      <c r="P49" s="3212" t="str">
        <f>A49</f>
        <v>估价对象XX用房的比较价值（楼面单价，元/平方米）</v>
      </c>
      <c r="Q49" s="3213"/>
      <c r="R49" s="3214">
        <f>IF(F1="售价",ROUND(AVERAGE(R48:V48),0),ROUND(AVERAGE(R48:V48),1))</f>
        <v>8.1</v>
      </c>
      <c r="S49" s="3214"/>
      <c r="T49" s="3214"/>
      <c r="U49" s="3214"/>
      <c r="V49" s="3214"/>
      <c r="W49" s="321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1.3333333333333197E-2</v>
      </c>
      <c r="F52" s="500" t="str">
        <f>IF(OR(E52&gt;=0.3,E52&lt;=-0.3),"超过30%","")</f>
        <v/>
      </c>
      <c r="G52" s="499">
        <f>IF(G47&lt;G48,G48/G47-1,G47/G48-1)</f>
        <v>2.2471910112359383E-2</v>
      </c>
      <c r="H52" s="500" t="str">
        <f>IF(OR(G52&gt;=0.3,G52&lt;=-0.3),"超过30%","")</f>
        <v/>
      </c>
      <c r="I52" s="499">
        <f>IF(I47&lt;I48,I48/I47-1,I47/I48-1)</f>
        <v>2.4999999999999911E-2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0.18666666666666676</v>
      </c>
      <c r="F53" s="500" t="str">
        <f>IF(OR(E53&gt;=0.2,E53&lt;=-0.2),"超过20%","")</f>
        <v/>
      </c>
      <c r="G53" s="499">
        <f>IF(G48&lt;I48,I48/G48-1,G48/I48-1)</f>
        <v>0.11250000000000004</v>
      </c>
      <c r="H53" s="500" t="str">
        <f>IF(OR(G53&gt;=0.2,G53&lt;=-0.2),"超过20%","")</f>
        <v/>
      </c>
      <c r="I53" s="499">
        <f>IF(I48&lt;E48,E48/I48-1,I48/E48-1)</f>
        <v>6.6666666666666652E-2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0.19736842105263164</v>
      </c>
      <c r="F54" s="500" t="str">
        <f>IF(OR(E54&gt;=0.3,E54&lt;=-0.3),"超过30%","")</f>
        <v/>
      </c>
      <c r="G54" s="499">
        <f>IF(G47&lt;I47,I47/G47-1,G47/I47-1)</f>
        <v>0.10975609756097571</v>
      </c>
      <c r="H54" s="500" t="str">
        <f>IF(OR(G54&gt;=0.3,G54&lt;=-0.3),"超过30%","")</f>
        <v/>
      </c>
      <c r="I54" s="499">
        <f>IF(I47&lt;E47,E47/I47-1,I47/E47-1)</f>
        <v>7.8947368421052655E-2</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2546</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2586</v>
      </c>
      <c r="B63" s="528" t="s">
        <v>2552</v>
      </c>
      <c r="C63" s="529" t="str">
        <f>C9</f>
        <v>商业</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1"/>
      <c r="Q66" s="504"/>
    </row>
    <row r="67" spans="1:17" ht="15.75" thickTop="1">
      <c r="A67" s="534"/>
      <c r="B67" s="546" t="s">
        <v>2556</v>
      </c>
      <c r="C67" s="547" t="str">
        <f>C68&amp;"（含）"&amp;"-"&amp;D68</f>
        <v>1（含）-2</v>
      </c>
      <c r="D67" s="547" t="str">
        <f t="shared" ref="D67:L67" si="17">D68&amp;"（含）"&amp;"-"&amp;E68</f>
        <v>2（含）-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v>1</v>
      </c>
      <c r="D68" s="549">
        <v>2</v>
      </c>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2678</v>
      </c>
      <c r="C86" s="2950" t="s">
        <v>3105</v>
      </c>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2950" t="s">
        <v>3120</v>
      </c>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t="s">
        <v>3106</v>
      </c>
      <c r="D92" s="554" t="s">
        <v>3124</v>
      </c>
      <c r="E92" s="554" t="s">
        <v>3125</v>
      </c>
      <c r="F92" s="554"/>
      <c r="G92" s="554"/>
      <c r="H92" s="554"/>
      <c r="I92" s="554"/>
      <c r="J92" s="554"/>
      <c r="K92" s="554"/>
      <c r="L92" s="580"/>
      <c r="M92" s="581"/>
      <c r="N92" s="1155"/>
      <c r="O92" s="1155"/>
      <c r="P92" s="2631"/>
      <c r="Q92" s="504"/>
    </row>
    <row r="93" spans="1:17" ht="15.75" thickBot="1">
      <c r="A93" s="534"/>
      <c r="B93" s="543"/>
      <c r="C93" s="536">
        <v>100</v>
      </c>
      <c r="D93" s="536">
        <v>90</v>
      </c>
      <c r="E93" s="536">
        <v>85</v>
      </c>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2561</v>
      </c>
      <c r="B100" s="528" t="s">
        <v>2679</v>
      </c>
      <c r="C100" s="2951" t="s">
        <v>3108</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29.25" thickTop="1">
      <c r="A102" s="534"/>
      <c r="B102" s="538" t="s">
        <v>2611</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v>0</v>
      </c>
      <c r="D103" s="595">
        <v>500</v>
      </c>
      <c r="E103" s="595">
        <v>1000</v>
      </c>
      <c r="F103" s="595">
        <v>1500</v>
      </c>
      <c r="G103" s="595">
        <v>2000</v>
      </c>
      <c r="H103" s="595"/>
      <c r="I103" s="595"/>
      <c r="J103" s="596"/>
      <c r="K103" s="596"/>
      <c r="L103" s="597"/>
      <c r="M103" s="598"/>
      <c r="N103" s="1157"/>
      <c r="O103" s="1157"/>
      <c r="P103" s="2632"/>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56"/>
      <c r="O104" s="1156"/>
      <c r="P104" s="2632"/>
      <c r="Q104" s="559"/>
    </row>
    <row r="105" spans="1:17" ht="15" thickTop="1">
      <c r="A105" s="599"/>
      <c r="B105" s="538" t="s">
        <v>2612</v>
      </c>
      <c r="C105" s="2950" t="s">
        <v>3110</v>
      </c>
      <c r="D105" s="2950" t="s">
        <v>3112</v>
      </c>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96</v>
      </c>
      <c r="E106" s="544">
        <f t="shared" si="24"/>
        <v>92</v>
      </c>
      <c r="F106" s="544">
        <f t="shared" si="24"/>
        <v>88</v>
      </c>
      <c r="G106" s="544">
        <f t="shared" si="24"/>
        <v>84</v>
      </c>
      <c r="H106" s="544">
        <f t="shared" si="24"/>
        <v>80</v>
      </c>
      <c r="I106" s="544">
        <f t="shared" si="24"/>
        <v>76</v>
      </c>
      <c r="J106" s="544">
        <f t="shared" si="24"/>
        <v>72</v>
      </c>
      <c r="K106" s="544">
        <f t="shared" si="24"/>
        <v>68</v>
      </c>
      <c r="L106" s="544">
        <f t="shared" si="24"/>
        <v>64</v>
      </c>
      <c r="M106" s="545">
        <f t="shared" si="24"/>
        <v>60</v>
      </c>
      <c r="N106" s="1156"/>
      <c r="O106" s="1156"/>
      <c r="P106" s="2631"/>
      <c r="Q106" s="504"/>
    </row>
    <row r="107" spans="1:17" ht="15" thickTop="1">
      <c r="A107" s="599"/>
      <c r="B107" s="538" t="s">
        <v>2614</v>
      </c>
      <c r="C107" s="2950" t="s">
        <v>3127</v>
      </c>
      <c r="D107" s="2950" t="s">
        <v>3120</v>
      </c>
      <c r="E107" s="2950" t="s">
        <v>3118</v>
      </c>
      <c r="F107" s="2952" t="s">
        <v>3128</v>
      </c>
      <c r="G107" s="2952" t="s">
        <v>3129</v>
      </c>
      <c r="H107" s="583"/>
      <c r="I107" s="583"/>
      <c r="J107" s="583"/>
      <c r="K107" s="584"/>
      <c r="L107" s="585"/>
      <c r="M107" s="586"/>
      <c r="N107" s="1155"/>
      <c r="O107" s="1155"/>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6"/>
      <c r="O111" s="1156"/>
      <c r="P111" s="2631"/>
      <c r="Q111" s="504"/>
    </row>
    <row r="112" spans="1:17" s="471" customFormat="1" ht="15" thickTop="1">
      <c r="A112" s="593"/>
      <c r="B112" s="538" t="s">
        <v>2616</v>
      </c>
      <c r="C112" s="2950" t="s">
        <v>3114</v>
      </c>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2"/>
      <c r="Q113" s="559"/>
    </row>
    <row r="114" spans="1:17" ht="15" thickTop="1">
      <c r="A114" s="599"/>
      <c r="B114" s="538" t="s">
        <v>2680</v>
      </c>
      <c r="C114" s="2950" t="s">
        <v>3116</v>
      </c>
      <c r="D114" s="2950" t="s">
        <v>3117</v>
      </c>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2681</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2682</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Q37"/>
  <sheetViews>
    <sheetView topLeftCell="A22" workbookViewId="0">
      <selection activeCell="Q26" sqref="Q26"/>
    </sheetView>
  </sheetViews>
  <sheetFormatPr defaultRowHeight="13.5"/>
  <sheetData>
    <row r="9" spans="15:15">
      <c r="O9">
        <v>7.6</v>
      </c>
    </row>
    <row r="18" spans="15:17">
      <c r="O18">
        <v>6.9</v>
      </c>
    </row>
    <row r="25" spans="15:17">
      <c r="Q25">
        <v>8.1999999999999993</v>
      </c>
    </row>
    <row r="26" spans="15:17">
      <c r="O26">
        <v>9.3000000000000007</v>
      </c>
    </row>
    <row r="37" spans="15:15">
      <c r="O37">
        <v>9.1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1639</v>
      </c>
      <c r="B2" s="2972" t="s">
        <v>1640</v>
      </c>
      <c r="C2" s="2972" t="s">
        <v>1641</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1636</v>
      </c>
      <c r="E3" s="1047" t="s">
        <v>1642</v>
      </c>
      <c r="F3" s="1047" t="s">
        <v>1636</v>
      </c>
      <c r="G3" s="1047" t="s">
        <v>1637</v>
      </c>
      <c r="H3" s="1047" t="s">
        <v>1636</v>
      </c>
      <c r="I3" s="1047" t="s">
        <v>1637</v>
      </c>
    </row>
    <row r="4" spans="1:9" ht="30">
      <c r="A4" s="1976" t="str">
        <f>项目基本情况!S2</f>
        <v>北京市西城区鼓楼西大街207号房地产</v>
      </c>
      <c r="B4" s="1047">
        <f>项目基本情况!C17</f>
        <v>606.5</v>
      </c>
      <c r="C4" s="1047">
        <f>项目基本情况!C18</f>
        <v>303.25</v>
      </c>
      <c r="D4" s="1047" t="e">
        <f ca="1">结果表!D118</f>
        <v>#REF!</v>
      </c>
      <c r="E4" s="1047" t="e">
        <f ca="1">结果表!E118</f>
        <v>#REF!</v>
      </c>
      <c r="F4" s="1047" t="e">
        <f ca="1">结果表!F118</f>
        <v>#REF!</v>
      </c>
      <c r="G4" s="1047" t="e">
        <f ca="1">结果表!G118</f>
        <v>#REF!</v>
      </c>
      <c r="H4" s="1047">
        <f ca="1">结果表!H118</f>
        <v>3803</v>
      </c>
      <c r="I4" s="1047">
        <f ca="1">结果表!I118</f>
        <v>62704</v>
      </c>
    </row>
    <row r="5" spans="1:9" ht="30" customHeight="1">
      <c r="A5" s="2973" t="s">
        <v>1638</v>
      </c>
      <c r="B5" s="2973"/>
      <c r="C5" s="2973"/>
      <c r="D5" s="2974" t="e">
        <f ca="1">结果表!D119</f>
        <v>#REF!</v>
      </c>
      <c r="E5" s="2974"/>
      <c r="F5" s="2974" t="e">
        <f ca="1">结果表!F119</f>
        <v>#REF!</v>
      </c>
      <c r="G5" s="2974"/>
      <c r="H5" s="2974" t="str">
        <f ca="1">结果表!H119</f>
        <v>叁仟捌佰零叁万元整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1638</v>
      </c>
      <c r="B7" s="2973"/>
      <c r="C7" s="2973"/>
      <c r="D7" s="2976" t="str">
        <f>结果表!D121</f>
        <v>零元整</v>
      </c>
      <c r="E7" s="2977"/>
      <c r="F7" s="2977"/>
      <c r="G7" s="2977"/>
      <c r="H7" s="2977"/>
      <c r="I7" s="2978"/>
    </row>
    <row r="8" spans="1:9" ht="15.75">
      <c r="A8" s="2975" t="str">
        <f>结果表!A122</f>
        <v>房地产抵押价值</v>
      </c>
      <c r="B8" s="2975"/>
      <c r="C8" s="2975"/>
      <c r="D8" s="2975">
        <f ca="1">结果表!D122</f>
        <v>3803</v>
      </c>
      <c r="E8" s="2975"/>
      <c r="F8" s="2975"/>
      <c r="G8" s="2975"/>
      <c r="H8" s="2975"/>
      <c r="I8" s="2975"/>
    </row>
    <row r="9" spans="1:9" ht="15">
      <c r="A9" s="2973" t="s">
        <v>1638</v>
      </c>
      <c r="B9" s="2973"/>
      <c r="C9" s="2973"/>
      <c r="D9" s="2974" t="str">
        <f ca="1">结果表!D123</f>
        <v>叁仟捌佰零叁万元整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1638</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1638</v>
      </c>
      <c r="B13" s="2979"/>
      <c r="C13" s="2979"/>
      <c r="D13" s="2980" t="e">
        <f>结果表!D127</f>
        <v>#VALUE!</v>
      </c>
      <c r="E13" s="2980"/>
      <c r="F13" s="2980"/>
      <c r="G13" s="2980"/>
      <c r="H13" s="2980"/>
      <c r="I13" s="2980"/>
    </row>
    <row r="14" spans="1:9" ht="15" thickTop="1">
      <c r="A14" s="2981" t="s">
        <v>1643</v>
      </c>
      <c r="B14" s="2981"/>
      <c r="C14" s="2981"/>
      <c r="D14" s="2981"/>
      <c r="E14" s="2981"/>
      <c r="F14" s="2981"/>
      <c r="G14" s="2981"/>
      <c r="H14" s="2981"/>
      <c r="I14" s="2981"/>
    </row>
    <row r="16" spans="1:9" ht="18.75">
      <c r="A16" s="1977" t="s">
        <v>1626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1660</v>
      </c>
      <c r="B1" s="2982"/>
      <c r="C1" s="2982"/>
      <c r="D1" s="2982"/>
    </row>
    <row r="2" spans="1:4" ht="18">
      <c r="A2" s="2983" t="s">
        <v>1644</v>
      </c>
      <c r="B2" s="2983"/>
      <c r="C2" s="2983"/>
      <c r="D2" s="2983"/>
    </row>
    <row r="3" spans="1:4" ht="18.75">
      <c r="A3" s="1980" t="s">
        <v>1645</v>
      </c>
      <c r="B3" s="1980" t="s">
        <v>1646</v>
      </c>
      <c r="C3" s="1980" t="s">
        <v>1647</v>
      </c>
      <c r="D3" s="1980" t="s">
        <v>1648</v>
      </c>
    </row>
    <row r="4" spans="1:4" ht="56.25" customHeight="1">
      <c r="A4" s="1981">
        <f>项目基本情况!B4</f>
        <v>0</v>
      </c>
      <c r="B4" s="1982">
        <f>项目基本情况!C4</f>
        <v>0</v>
      </c>
      <c r="C4" s="1983"/>
      <c r="D4" s="1984" t="s">
        <v>1649</v>
      </c>
    </row>
    <row r="5" spans="1:4" ht="56.25" customHeight="1">
      <c r="A5" s="1981">
        <f>项目基本情况!D4</f>
        <v>0</v>
      </c>
      <c r="B5" s="1982">
        <f>项目基本情况!E4</f>
        <v>0</v>
      </c>
      <c r="C5" s="1985"/>
      <c r="D5" s="1984" t="s">
        <v>1649</v>
      </c>
    </row>
    <row r="6" spans="1:4" ht="18">
      <c r="A6" s="2983" t="s">
        <v>1650</v>
      </c>
      <c r="B6" s="2983"/>
      <c r="C6" s="2983"/>
      <c r="D6" s="2983"/>
    </row>
    <row r="7" spans="1:4" ht="18.75">
      <c r="A7" s="1980" t="s">
        <v>1645</v>
      </c>
      <c r="B7" s="1982" t="s">
        <v>1651</v>
      </c>
      <c r="C7" s="1980" t="s">
        <v>1647</v>
      </c>
      <c r="D7" s="1980" t="s">
        <v>1648</v>
      </c>
    </row>
    <row r="8" spans="1:4" ht="56.25" customHeight="1">
      <c r="A8" s="1986" t="s">
        <v>869</v>
      </c>
      <c r="B8" s="1986" t="s">
        <v>1</v>
      </c>
      <c r="C8" s="1983"/>
      <c r="D8" s="1984" t="s">
        <v>1649</v>
      </c>
    </row>
    <row r="9" spans="1:4">
      <c r="A9" s="728"/>
      <c r="B9" s="728"/>
      <c r="C9" s="728"/>
      <c r="D9" s="728"/>
    </row>
    <row r="10" spans="1:4" ht="18.75">
      <c r="A10" s="1987" t="s">
        <v>1652</v>
      </c>
      <c r="B10" s="728"/>
      <c r="C10" s="728"/>
      <c r="D10" s="728"/>
    </row>
    <row r="11" spans="1:4" ht="30" customHeight="1">
      <c r="A11" s="2984" t="s">
        <v>1653</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（1）根据估价对象《房屋所有权证》原件、《国有土地使用权》原件，截至价值时点，估价对象抵押权未见登记。</v>
      </c>
      <c r="B15" s="2985"/>
      <c r="C15" s="2985"/>
      <c r="D15" s="2985"/>
    </row>
    <row r="16" spans="1:4" ht="30" customHeight="1">
      <c r="A16" s="2988" t="s">
        <v>1654</v>
      </c>
      <c r="B16" s="2988"/>
      <c r="C16" s="2988"/>
      <c r="D16" s="2988"/>
    </row>
    <row r="17" spans="1:4" ht="144" customHeight="1">
      <c r="A17" s="2988" t="s">
        <v>1655</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1656</v>
      </c>
      <c r="B22" s="2990"/>
      <c r="C22" s="2990"/>
      <c r="D22" s="2990"/>
    </row>
    <row r="23" spans="1:4">
      <c r="A23" s="1988"/>
      <c r="B23" s="1960"/>
      <c r="C23" s="1960"/>
      <c r="D23" s="1960"/>
    </row>
    <row r="24" spans="1:4">
      <c r="A24" s="1988"/>
      <c r="B24" s="1960"/>
      <c r="C24" s="1960"/>
      <c r="D24" s="1960"/>
    </row>
    <row r="25" spans="1:4" ht="18.75">
      <c r="A25" s="1989" t="s">
        <v>1657</v>
      </c>
    </row>
    <row r="26" spans="1:4" ht="18">
      <c r="A26" s="1958"/>
    </row>
    <row r="27" spans="1:4" ht="18.75">
      <c r="A27" s="1958" t="s">
        <v>1658</v>
      </c>
    </row>
    <row r="30" spans="1:4" ht="18.75">
      <c r="D30" s="1989" t="s">
        <v>1659</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996" customWidth="1"/>
    <col min="2" max="16384" width="14.5" style="1978"/>
  </cols>
  <sheetData>
    <row r="1" spans="1:7" s="1993" customFormat="1" ht="18.75">
      <c r="A1" s="1992" t="s">
        <v>1661</v>
      </c>
    </row>
    <row r="3" spans="1:7">
      <c r="A3" s="1994" t="s">
        <v>82</v>
      </c>
      <c r="B3" s="1978" t="s">
        <v>1662</v>
      </c>
      <c r="G3" s="1995"/>
    </row>
    <row r="4" spans="1:7">
      <c r="G4" s="1995"/>
    </row>
    <row r="5" spans="1:7">
      <c r="A5" s="1997" t="s">
        <v>73</v>
      </c>
      <c r="B5" s="1978" t="s">
        <v>1663</v>
      </c>
      <c r="G5" s="1995"/>
    </row>
    <row r="6" spans="1:7">
      <c r="G6" s="1995"/>
    </row>
    <row r="7" spans="1:7">
      <c r="A7" s="1998" t="s">
        <v>135</v>
      </c>
      <c r="B7" s="1978" t="s">
        <v>1664</v>
      </c>
      <c r="G7" s="1995"/>
    </row>
    <row r="8" spans="1:7">
      <c r="G8" s="1995"/>
    </row>
    <row r="9" spans="1:7">
      <c r="A9" s="1999" t="s">
        <v>74</v>
      </c>
      <c r="B9" s="1978" t="s">
        <v>1665</v>
      </c>
    </row>
    <row r="11" spans="1:7">
      <c r="A11" s="2000" t="s">
        <v>75</v>
      </c>
      <c r="B11" s="2001" t="s">
        <v>72</v>
      </c>
    </row>
    <row r="13" spans="1:7">
      <c r="A13" s="2002" t="s">
        <v>1666</v>
      </c>
    </row>
    <row r="15" spans="1:7" ht="13.5">
      <c r="A15" s="2996" t="s">
        <v>1667</v>
      </c>
      <c r="B15" s="2991" t="s">
        <v>136</v>
      </c>
      <c r="C15" s="2992"/>
    </row>
    <row r="16" spans="1:7" ht="13.5">
      <c r="A16" s="2997"/>
      <c r="B16" s="2991" t="s">
        <v>69</v>
      </c>
      <c r="C16" s="2992"/>
    </row>
    <row r="17" spans="1:3" ht="13.5">
      <c r="A17" s="2997"/>
      <c r="B17" s="2994" t="s">
        <v>1668</v>
      </c>
      <c r="C17" s="2003" t="s">
        <v>1667</v>
      </c>
    </row>
    <row r="18" spans="1:3" ht="13.5">
      <c r="A18" s="2997"/>
      <c r="B18" s="2994"/>
      <c r="C18" s="2003" t="s">
        <v>1669</v>
      </c>
    </row>
    <row r="19" spans="1:3" ht="13.5">
      <c r="A19" s="2997"/>
      <c r="B19" s="2994"/>
      <c r="C19" s="2003" t="s">
        <v>1670</v>
      </c>
    </row>
    <row r="20" spans="1:3" ht="13.5">
      <c r="A20" s="2998"/>
      <c r="B20" s="2993" t="s">
        <v>1671</v>
      </c>
      <c r="C20" s="2992"/>
    </row>
    <row r="21" spans="1:3" ht="13.5">
      <c r="A21" s="2004" t="s">
        <v>1672</v>
      </c>
      <c r="B21" s="2005"/>
      <c r="C21" s="2006"/>
    </row>
    <row r="22" spans="1:3" ht="13.5">
      <c r="A22" s="2995" t="s">
        <v>1673</v>
      </c>
      <c r="B22" s="2993" t="s">
        <v>1674</v>
      </c>
      <c r="C22" s="2992"/>
    </row>
    <row r="23" spans="1:3" ht="13.5">
      <c r="A23" s="2995"/>
      <c r="B23" s="2993" t="s">
        <v>1675</v>
      </c>
      <c r="C23" s="2992"/>
    </row>
    <row r="24" spans="1:3" ht="13.5">
      <c r="A24" s="2995"/>
      <c r="B24" s="2993" t="s">
        <v>1676</v>
      </c>
      <c r="C24" s="2992"/>
    </row>
    <row r="25" spans="1:3" ht="13.5">
      <c r="A25" s="2995"/>
      <c r="B25" s="2994" t="s">
        <v>1677</v>
      </c>
      <c r="C25" s="2003" t="s">
        <v>1678</v>
      </c>
    </row>
    <row r="26" spans="1:3" ht="13.5">
      <c r="A26" s="2995"/>
      <c r="B26" s="2994"/>
      <c r="C26" s="2003" t="s">
        <v>1679</v>
      </c>
    </row>
    <row r="27" spans="1:3" ht="13.5">
      <c r="A27" s="2995"/>
      <c r="B27" s="2994"/>
      <c r="C27" s="2003" t="s">
        <v>1680</v>
      </c>
    </row>
    <row r="28" spans="1:3" ht="13.5">
      <c r="A28" s="2995"/>
      <c r="B28" s="2994"/>
      <c r="C28" s="2003" t="s">
        <v>1681</v>
      </c>
    </row>
    <row r="29" spans="1:3" ht="13.5">
      <c r="A29" s="2995"/>
      <c r="B29" s="2994"/>
      <c r="C29" s="2003" t="s">
        <v>1682</v>
      </c>
    </row>
    <row r="30" spans="1:3" ht="13.5">
      <c r="A30" s="2995"/>
      <c r="B30" s="2994"/>
      <c r="C30" s="2003" t="s">
        <v>1683</v>
      </c>
    </row>
    <row r="31" spans="1:3" ht="13.5">
      <c r="A31" s="2995"/>
      <c r="B31" s="2994"/>
      <c r="C31" s="2003" t="s">
        <v>1684</v>
      </c>
    </row>
    <row r="32" spans="1:3" ht="13.5">
      <c r="A32" s="2995"/>
      <c r="B32" s="2994"/>
      <c r="C32" s="2003" t="s">
        <v>1685</v>
      </c>
    </row>
    <row r="33" spans="1:3" ht="13.5">
      <c r="A33" s="2995"/>
      <c r="B33" s="2994"/>
      <c r="C33" s="2003" t="s">
        <v>1686</v>
      </c>
    </row>
    <row r="34" spans="1:3">
      <c r="A34" s="2007" t="s">
        <v>76</v>
      </c>
    </row>
    <row r="37" spans="1:3">
      <c r="A37" s="2007" t="s">
        <v>1687</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37" sqref="B3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43257</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3044</v>
      </c>
      <c r="B12" s="1025">
        <v>1120110054</v>
      </c>
      <c r="C12" s="2941">
        <v>43937</v>
      </c>
      <c r="D12" s="1705" t="s">
        <v>3044</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比较法-商业（租金）</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2018-06-06T05:26:53Z</dcterms:modified>
</cp:coreProperties>
</file>